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765" windowWidth="14805" windowHeight="7350" tabRatio="946" firstSheet="7" activeTab="10"/>
  </bookViews>
  <sheets>
    <sheet name="2014-15" sheetId="2" state="hidden" r:id="rId1"/>
    <sheet name="2015-16 (till Feb)" sheetId="1" state="hidden" r:id="rId2"/>
    <sheet name="Table 1" sheetId="75" r:id="rId3"/>
    <sheet name="Tables 2 onwards" sheetId="76" r:id="rId4"/>
    <sheet name="Summary" sheetId="74" r:id="rId5"/>
    <sheet name="VVF - Prodtn &amp; Sales" sheetId="73" r:id="rId6"/>
    <sheet name=" VVF Sales - PUC &amp; Non PUC" sheetId="72" r:id="rId7"/>
    <sheet name="Import Summary" sheetId="43" r:id="rId8"/>
    <sheet name="Imports 2013-14" sheetId="14" r:id="rId9"/>
    <sheet name="Imports 2014-15" sheetId="5" r:id="rId10"/>
    <sheet name="Imports 2015-16" sheetId="4" r:id="rId11"/>
    <sheet name="Imports 2016-17" sheetId="16" r:id="rId12"/>
    <sheet name="Imports Safeguard format" sheetId="40" state="hidden" r:id="rId13"/>
    <sheet name="Exchange Rates" sheetId="41" r:id="rId14"/>
    <sheet name="TradeData-MAL" sheetId="53" state="hidden" r:id="rId15"/>
    <sheet name="COP" sheetId="77" r:id="rId16"/>
    <sheet name="Dutywise" sheetId="78" r:id="rId17"/>
    <sheet name="V1214 HUL Others and V1618TA" sheetId="79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DAT1" localSheetId="6">#REF!</definedName>
    <definedName name="_DAT1" localSheetId="8">#REF!</definedName>
    <definedName name="_DAT1" localSheetId="11">#REF!</definedName>
    <definedName name="_DAT1" localSheetId="17">#REF!</definedName>
    <definedName name="_DAT1" localSheetId="5">#REF!</definedName>
    <definedName name="_DAT1">#REF!</definedName>
    <definedName name="_DAT10" localSheetId="8">#REF!</definedName>
    <definedName name="_DAT10" localSheetId="11">#REF!</definedName>
    <definedName name="_DAT10" localSheetId="5">#REF!</definedName>
    <definedName name="_DAT10">#REF!</definedName>
    <definedName name="_DAT11" localSheetId="6">#REF!</definedName>
    <definedName name="_DAT11" localSheetId="8">#REF!</definedName>
    <definedName name="_DAT11" localSheetId="11">#REF!</definedName>
    <definedName name="_DAT11" localSheetId="17">#REF!</definedName>
    <definedName name="_DAT11" localSheetId="5">#REF!</definedName>
    <definedName name="_DAT11">#REF!</definedName>
    <definedName name="_DAT12" localSheetId="6">#REF!</definedName>
    <definedName name="_DAT12" localSheetId="8">#REF!</definedName>
    <definedName name="_DAT12" localSheetId="11">#REF!</definedName>
    <definedName name="_DAT12" localSheetId="17">#REF!</definedName>
    <definedName name="_DAT12" localSheetId="5">#REF!</definedName>
    <definedName name="_DAT12">#REF!</definedName>
    <definedName name="_DAT13" localSheetId="6">#REF!</definedName>
    <definedName name="_DAT13" localSheetId="8">#REF!</definedName>
    <definedName name="_DAT13" localSheetId="11">#REF!</definedName>
    <definedName name="_DAT13" localSheetId="17">#REF!</definedName>
    <definedName name="_DAT13" localSheetId="5">#REF!</definedName>
    <definedName name="_DAT13">#REF!</definedName>
    <definedName name="_DAT14" localSheetId="6">#REF!</definedName>
    <definedName name="_DAT14" localSheetId="8">#REF!</definedName>
    <definedName name="_DAT14" localSheetId="11">#REF!</definedName>
    <definedName name="_DAT14" localSheetId="17">#REF!</definedName>
    <definedName name="_DAT14" localSheetId="5">#REF!</definedName>
    <definedName name="_DAT14">#REF!</definedName>
    <definedName name="_DAT15" localSheetId="8">#REF!</definedName>
    <definedName name="_DAT15" localSheetId="11">#REF!</definedName>
    <definedName name="_DAT15" localSheetId="5">#REF!</definedName>
    <definedName name="_DAT15">#REF!</definedName>
    <definedName name="_DAT2" localSheetId="8">#REF!</definedName>
    <definedName name="_DAT2" localSheetId="11">#REF!</definedName>
    <definedName name="_DAT2" localSheetId="5">#REF!</definedName>
    <definedName name="_DAT2">#REF!</definedName>
    <definedName name="_DAT3" localSheetId="6">#REF!</definedName>
    <definedName name="_DAT3" localSheetId="8">#REF!</definedName>
    <definedName name="_DAT3" localSheetId="11">#REF!</definedName>
    <definedName name="_DAT3" localSheetId="17">#REF!</definedName>
    <definedName name="_DAT3" localSheetId="5">#REF!</definedName>
    <definedName name="_DAT3">#REF!</definedName>
    <definedName name="_DAT4" localSheetId="6">#REF!</definedName>
    <definedName name="_DAT4" localSheetId="8">#REF!</definedName>
    <definedName name="_DAT4" localSheetId="11">#REF!</definedName>
    <definedName name="_DAT4" localSheetId="17">#REF!</definedName>
    <definedName name="_DAT4" localSheetId="5">#REF!</definedName>
    <definedName name="_DAT4">#REF!</definedName>
    <definedName name="_DAT5" localSheetId="6">#REF!</definedName>
    <definedName name="_DAT5" localSheetId="8">#REF!</definedName>
    <definedName name="_DAT5" localSheetId="11">#REF!</definedName>
    <definedName name="_DAT5" localSheetId="17">#REF!</definedName>
    <definedName name="_DAT5" localSheetId="5">#REF!</definedName>
    <definedName name="_DAT5">#REF!</definedName>
    <definedName name="_DAT6" localSheetId="6">#REF!</definedName>
    <definedName name="_DAT6" localSheetId="8">#REF!</definedName>
    <definedName name="_DAT6" localSheetId="11">#REF!</definedName>
    <definedName name="_DAT6" localSheetId="17">#REF!</definedName>
    <definedName name="_DAT6" localSheetId="5">#REF!</definedName>
    <definedName name="_DAT6">#REF!</definedName>
    <definedName name="_DAT7" localSheetId="8">#REF!</definedName>
    <definedName name="_DAT7" localSheetId="11">#REF!</definedName>
    <definedName name="_DAT7" localSheetId="5">#REF!</definedName>
    <definedName name="_DAT7">#REF!</definedName>
    <definedName name="_DAT8" localSheetId="6">#REF!</definedName>
    <definedName name="_DAT8" localSheetId="8">#REF!</definedName>
    <definedName name="_DAT8" localSheetId="11">#REF!</definedName>
    <definedName name="_DAT8" localSheetId="17">#REF!</definedName>
    <definedName name="_DAT8" localSheetId="5">#REF!</definedName>
    <definedName name="_DAT8">#REF!</definedName>
    <definedName name="_DAT9" localSheetId="6">#REF!</definedName>
    <definedName name="_DAT9" localSheetId="8">#REF!</definedName>
    <definedName name="_DAT9" localSheetId="11">#REF!</definedName>
    <definedName name="_DAT9" localSheetId="17">#REF!</definedName>
    <definedName name="_DAT9" localSheetId="5">#REF!</definedName>
    <definedName name="_DAT9">#REF!</definedName>
    <definedName name="_Fill" hidden="1">[1]di!$B$7:$B$21</definedName>
    <definedName name="_Key1" localSheetId="17" hidden="1">#REF!</definedName>
    <definedName name="_Key1" hidden="1">#REF!</definedName>
    <definedName name="_Key2" localSheetId="17" hidden="1">#REF!</definedName>
    <definedName name="_Key2" hidden="1">#REF!</definedName>
    <definedName name="_Sort" localSheetId="17" hidden="1">#REF!</definedName>
    <definedName name="_Sort" hidden="1">#REF!</definedName>
    <definedName name="a">[2]DATA!$A$905:$IV$1194</definedName>
    <definedName name="ab">'[3]10. Data lists'!$I$5:$I$11</definedName>
    <definedName name="Alcohol">'[4]10. Data lists'!$G$5:$G$11</definedName>
    <definedName name="AS2DocOpenMode" hidden="1">"AS2DocumentEdit"</definedName>
    <definedName name="asd" localSheetId="17">#REF!</definedName>
    <definedName name="asd">#REF!</definedName>
    <definedName name="B" localSheetId="17">[5]Sheet1!#REF!</definedName>
    <definedName name="B">[5]Sheet1!#REF!</definedName>
    <definedName name="BI">'[4]2.14. Cost computation - MO'!$AA$16</definedName>
    <definedName name="bibit2" localSheetId="17" hidden="1">#REF!</definedName>
    <definedName name="bibit2" hidden="1">#REF!</definedName>
    <definedName name="Blending">'[4]10. Data lists'!$H$5:$H$11</definedName>
    <definedName name="cc" localSheetId="17">[5]Sheet1!#REF!</definedName>
    <definedName name="cc">[5]Sheet1!#REF!</definedName>
    <definedName name="D">[6]Sheet2!$A$1:$IV$298</definedName>
    <definedName name="DATA1" localSheetId="17">#REF!</definedName>
    <definedName name="DATA1">#REF!</definedName>
    <definedName name="DATA10" localSheetId="17">#REF!</definedName>
    <definedName name="DATA10">#REF!</definedName>
    <definedName name="DATA11" localSheetId="17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G">'[4]10. Data lists'!$E$5:$E$11</definedName>
    <definedName name="djnkan" localSheetId="17">[5]Sheet1!#REF!</definedName>
    <definedName name="djnkan">[5]Sheet1!#REF!</definedName>
    <definedName name="F">[7]DATA!$A$606:$ES$886</definedName>
    <definedName name="Fractional">'[4]10. Data lists'!$D$5:$D$11</definedName>
    <definedName name="G">[8]DATA!$A$902:$IV$1190</definedName>
    <definedName name="Hyd">'[4]10. Data lists'!$F$5:$F$11</definedName>
    <definedName name="kkk" localSheetId="17">#REF!</definedName>
    <definedName name="kkk">#REF!</definedName>
    <definedName name="Location">'[4]10. Data lists'!$I$5:$I$11</definedName>
    <definedName name="noodle" localSheetId="17">[5]Sheet1!#REF!</definedName>
    <definedName name="noodle">[5]Sheet1!#REF!</definedName>
    <definedName name="oil">[9]List!$D$3:$D$12</definedName>
    <definedName name="ONE" localSheetId="17" hidden="1">#REF!</definedName>
    <definedName name="ONE" hidden="1">#REF!</definedName>
    <definedName name="Percentage">[9]List!$C$3:$C$22</definedName>
    <definedName name="Plain">'[4]10. Data lists'!$C$5:$C$11</definedName>
    <definedName name="Project_Name">'[10]Base Info'!$D$3</definedName>
    <definedName name="SAN">[11]DATA!$A$306:$IV$604</definedName>
    <definedName name="slmlaskdsakdl">'[12]10. Data lists'!$D$5:$D$11</definedName>
    <definedName name="Splitting">'[4]10. Data lists'!$B$5:$B$11</definedName>
    <definedName name="TEST0" localSheetId="6">#REF!</definedName>
    <definedName name="TEST0" localSheetId="8">#REF!</definedName>
    <definedName name="TEST0" localSheetId="11">#REF!</definedName>
    <definedName name="TEST0" localSheetId="5">#REF!</definedName>
    <definedName name="TEST0">#REF!</definedName>
    <definedName name="TEST1">#REF!</definedName>
    <definedName name="TEST2">#REF!</definedName>
    <definedName name="TESTHKEY" localSheetId="8">#REF!</definedName>
    <definedName name="TESTHKEY" localSheetId="11">#REF!</definedName>
    <definedName name="TESTHKEY" localSheetId="5">#REF!</definedName>
    <definedName name="TESTHKEY">#REF!</definedName>
    <definedName name="TESTKEYS" localSheetId="8">#REF!</definedName>
    <definedName name="TESTKEYS" localSheetId="11">#REF!</definedName>
    <definedName name="TESTKEYS" localSheetId="5">#REF!</definedName>
    <definedName name="TESTKEYS">#REF!</definedName>
    <definedName name="TESTVKEY" localSheetId="8">#REF!</definedName>
    <definedName name="TESTVKEY" localSheetId="11">#REF!</definedName>
    <definedName name="TESTVKEY" localSheetId="5">#REF!</definedName>
    <definedName name="TESTVKEY">#REF!</definedName>
    <definedName name="x">'[3]10. Data lists'!$I$5:$I$11</definedName>
  </definedNames>
  <calcPr calcId="145621"/>
</workbook>
</file>

<file path=xl/calcChain.xml><?xml version="1.0" encoding="utf-8"?>
<calcChain xmlns="http://schemas.openxmlformats.org/spreadsheetml/2006/main">
  <c r="CN18" i="78" l="1"/>
  <c r="CN19" i="78"/>
  <c r="CN20" i="78"/>
  <c r="CN21" i="78"/>
  <c r="CN22" i="78"/>
  <c r="CN23" i="78"/>
  <c r="CN24" i="78"/>
  <c r="CN25" i="78"/>
  <c r="CN26" i="78"/>
  <c r="CN27" i="78"/>
  <c r="CN28" i="78"/>
  <c r="CN29" i="78"/>
  <c r="CN30" i="78"/>
  <c r="CN31" i="78"/>
  <c r="CN32" i="78"/>
  <c r="CN33" i="78"/>
  <c r="CN34" i="78"/>
  <c r="CN35" i="78"/>
  <c r="CN36" i="78"/>
  <c r="CN37" i="78"/>
  <c r="CN38" i="78"/>
  <c r="CN39" i="78"/>
  <c r="CN40" i="78"/>
  <c r="CN41" i="78"/>
  <c r="CN42" i="78"/>
  <c r="CN43" i="78"/>
  <c r="CN44" i="78"/>
  <c r="CN45" i="78"/>
  <c r="CN46" i="78"/>
  <c r="CN47" i="78"/>
  <c r="CN48" i="78"/>
  <c r="CN49" i="78"/>
  <c r="CN50" i="78"/>
  <c r="CN51" i="78"/>
  <c r="CN52" i="78"/>
  <c r="CN53" i="78"/>
  <c r="CN54" i="78"/>
  <c r="CN55" i="78"/>
  <c r="CN56" i="78"/>
  <c r="CN57" i="78"/>
  <c r="CN58" i="78"/>
  <c r="CN59" i="78"/>
  <c r="CN60" i="78"/>
  <c r="CN61" i="78"/>
  <c r="CN62" i="78"/>
  <c r="CN63" i="78"/>
  <c r="CN64" i="78"/>
  <c r="CN65" i="78"/>
  <c r="CN66" i="78"/>
  <c r="CN67" i="78"/>
  <c r="CN68" i="78"/>
  <c r="CN69" i="78"/>
  <c r="CN70" i="78"/>
  <c r="CN71" i="78"/>
  <c r="CN72" i="78"/>
  <c r="CN73" i="78"/>
  <c r="CN74" i="78"/>
  <c r="CN75" i="78"/>
  <c r="CN76" i="78"/>
  <c r="CN77" i="78"/>
  <c r="CN78" i="78"/>
  <c r="CN79" i="78"/>
  <c r="CN80" i="78"/>
  <c r="CN81" i="78"/>
  <c r="CN82" i="78"/>
  <c r="CN83" i="78"/>
  <c r="CN84" i="78"/>
  <c r="CN85" i="78"/>
  <c r="CN86" i="78"/>
  <c r="CN87" i="78"/>
  <c r="CN88" i="78"/>
  <c r="CN89" i="78"/>
  <c r="CN90" i="78"/>
  <c r="CN91" i="78"/>
  <c r="CN92" i="78"/>
  <c r="CN93" i="78"/>
  <c r="CN94" i="78"/>
  <c r="CN95" i="78"/>
  <c r="CN96" i="78"/>
  <c r="CN97" i="78"/>
  <c r="CN98" i="78"/>
  <c r="CN99" i="78"/>
  <c r="CN100" i="78"/>
  <c r="CN101" i="78"/>
  <c r="CN102" i="78"/>
  <c r="CN103" i="78"/>
  <c r="CB18" i="78"/>
  <c r="CB19" i="78"/>
  <c r="CB20" i="78"/>
  <c r="CB21" i="78"/>
  <c r="CB22" i="78"/>
  <c r="CB23" i="78"/>
  <c r="CB24" i="78"/>
  <c r="CB25" i="78"/>
  <c r="CB26" i="78"/>
  <c r="CB27" i="78"/>
  <c r="CB28" i="78"/>
  <c r="CB29" i="78"/>
  <c r="CB30" i="78"/>
  <c r="CB31" i="78"/>
  <c r="CB32" i="78"/>
  <c r="CB33" i="78"/>
  <c r="CB34" i="78"/>
  <c r="CB35" i="78"/>
  <c r="CB36" i="78"/>
  <c r="CB37" i="78"/>
  <c r="CB38" i="78"/>
  <c r="CB39" i="78"/>
  <c r="CB40" i="78"/>
  <c r="CB41" i="78"/>
  <c r="CB42" i="78"/>
  <c r="CB43" i="78"/>
  <c r="CB44" i="78"/>
  <c r="CB45" i="78"/>
  <c r="CB46" i="78"/>
  <c r="CB47" i="78"/>
  <c r="CB48" i="78"/>
  <c r="CB49" i="78"/>
  <c r="CB50" i="78"/>
  <c r="CB51" i="78"/>
  <c r="CB52" i="78"/>
  <c r="CB53" i="78"/>
  <c r="CB54" i="78"/>
  <c r="CB55" i="78"/>
  <c r="CB56" i="78"/>
  <c r="CB57" i="78"/>
  <c r="CB58" i="78"/>
  <c r="CB59" i="78"/>
  <c r="CB60" i="78"/>
  <c r="CB61" i="78"/>
  <c r="CB62" i="78"/>
  <c r="CB63" i="78"/>
  <c r="CB64" i="78"/>
  <c r="CB65" i="78"/>
  <c r="CB66" i="78"/>
  <c r="CB67" i="78"/>
  <c r="CB68" i="78"/>
  <c r="CB69" i="78"/>
  <c r="CB70" i="78"/>
  <c r="CB71" i="78"/>
  <c r="CB72" i="78"/>
  <c r="CB73" i="78"/>
  <c r="CB74" i="78"/>
  <c r="CB75" i="78"/>
  <c r="CB76" i="78"/>
  <c r="CB77" i="78"/>
  <c r="CB78" i="78"/>
  <c r="CB79" i="78"/>
  <c r="CB80" i="78"/>
  <c r="CB81" i="78"/>
  <c r="CB82" i="78"/>
  <c r="CB83" i="78"/>
  <c r="CB84" i="78"/>
  <c r="CB85" i="78"/>
  <c r="CB86" i="78"/>
  <c r="CB87" i="78"/>
  <c r="CB88" i="78"/>
  <c r="CB89" i="78"/>
  <c r="CB90" i="78"/>
  <c r="CB91" i="78"/>
  <c r="CB92" i="78"/>
  <c r="CB93" i="78"/>
  <c r="CB94" i="78"/>
  <c r="CB95" i="78"/>
  <c r="CB96" i="78"/>
  <c r="CB97" i="78"/>
  <c r="CB98" i="78"/>
  <c r="CB99" i="78"/>
  <c r="CB100" i="78"/>
  <c r="CB101" i="78"/>
  <c r="CB102" i="78"/>
  <c r="CB103" i="78"/>
  <c r="AT56" i="78"/>
  <c r="AU56" i="78"/>
  <c r="AV56" i="78"/>
  <c r="AW56" i="78"/>
  <c r="AX56" i="78"/>
  <c r="AY56" i="78"/>
  <c r="AZ56" i="78"/>
  <c r="BA56" i="78"/>
  <c r="BB56" i="78"/>
  <c r="BC56" i="78"/>
  <c r="AT57" i="78"/>
  <c r="AU57" i="78"/>
  <c r="AV57" i="78"/>
  <c r="AW57" i="78"/>
  <c r="AX57" i="78"/>
  <c r="AY57" i="78"/>
  <c r="AZ57" i="78"/>
  <c r="BA57" i="78"/>
  <c r="BB57" i="78"/>
  <c r="BC57" i="78"/>
  <c r="AT58" i="78"/>
  <c r="AU58" i="78"/>
  <c r="AV58" i="78"/>
  <c r="AW58" i="78"/>
  <c r="AX58" i="78"/>
  <c r="AY58" i="78"/>
  <c r="AZ58" i="78"/>
  <c r="BA58" i="78"/>
  <c r="BB58" i="78"/>
  <c r="BC58" i="78"/>
  <c r="AT59" i="78"/>
  <c r="AU59" i="78"/>
  <c r="AV59" i="78"/>
  <c r="AW59" i="78"/>
  <c r="AX59" i="78"/>
  <c r="AY59" i="78"/>
  <c r="AZ59" i="78"/>
  <c r="BA59" i="78"/>
  <c r="BB59" i="78"/>
  <c r="BC59" i="78"/>
  <c r="AT60" i="78"/>
  <c r="AU60" i="78"/>
  <c r="AV60" i="78"/>
  <c r="AW60" i="78"/>
  <c r="AX60" i="78"/>
  <c r="AY60" i="78"/>
  <c r="AZ60" i="78"/>
  <c r="BA60" i="78"/>
  <c r="BB60" i="78"/>
  <c r="BC60" i="78"/>
  <c r="AT61" i="78"/>
  <c r="AU61" i="78"/>
  <c r="AV61" i="78"/>
  <c r="AW61" i="78"/>
  <c r="AX61" i="78"/>
  <c r="AY61" i="78"/>
  <c r="AZ61" i="78"/>
  <c r="BA61" i="78"/>
  <c r="BB61" i="78"/>
  <c r="BC61" i="78"/>
  <c r="AT62" i="78"/>
  <c r="AU62" i="78"/>
  <c r="AV62" i="78"/>
  <c r="AW62" i="78"/>
  <c r="AX62" i="78"/>
  <c r="AY62" i="78"/>
  <c r="AZ62" i="78"/>
  <c r="BA62" i="78"/>
  <c r="BB62" i="78"/>
  <c r="BC62" i="78"/>
  <c r="AT63" i="78"/>
  <c r="AU63" i="78"/>
  <c r="AV63" i="78"/>
  <c r="AW63" i="78"/>
  <c r="AX63" i="78"/>
  <c r="AY63" i="78"/>
  <c r="AZ63" i="78"/>
  <c r="BA63" i="78"/>
  <c r="BB63" i="78"/>
  <c r="BC63" i="78"/>
  <c r="AT64" i="78"/>
  <c r="AU64" i="78"/>
  <c r="AV64" i="78"/>
  <c r="AW64" i="78"/>
  <c r="AX64" i="78"/>
  <c r="AY64" i="78"/>
  <c r="AZ64" i="78"/>
  <c r="BA64" i="78"/>
  <c r="BB64" i="78"/>
  <c r="BC64" i="78"/>
  <c r="AT65" i="78"/>
  <c r="AU65" i="78"/>
  <c r="AV65" i="78"/>
  <c r="AW65" i="78"/>
  <c r="AX65" i="78"/>
  <c r="AY65" i="78"/>
  <c r="AZ65" i="78"/>
  <c r="BA65" i="78"/>
  <c r="BB65" i="78"/>
  <c r="BC65" i="78"/>
  <c r="AT66" i="78"/>
  <c r="AU66" i="78"/>
  <c r="AV66" i="78"/>
  <c r="AW66" i="78"/>
  <c r="AX66" i="78"/>
  <c r="AY66" i="78"/>
  <c r="AZ66" i="78"/>
  <c r="BA66" i="78"/>
  <c r="BB66" i="78"/>
  <c r="BC66" i="78"/>
  <c r="AT67" i="78"/>
  <c r="AU67" i="78"/>
  <c r="AV67" i="78"/>
  <c r="AW67" i="78"/>
  <c r="AX67" i="78"/>
  <c r="AY67" i="78"/>
  <c r="AZ67" i="78"/>
  <c r="BA67" i="78"/>
  <c r="BB67" i="78"/>
  <c r="BC67" i="78"/>
  <c r="AT68" i="78"/>
  <c r="AU68" i="78"/>
  <c r="AV68" i="78"/>
  <c r="AW68" i="78"/>
  <c r="AX68" i="78"/>
  <c r="AY68" i="78"/>
  <c r="AZ68" i="78"/>
  <c r="BA68" i="78"/>
  <c r="BB68" i="78"/>
  <c r="BC68" i="78"/>
  <c r="AT69" i="78"/>
  <c r="AU69" i="78"/>
  <c r="AV69" i="78"/>
  <c r="AW69" i="78"/>
  <c r="AX69" i="78"/>
  <c r="AY69" i="78"/>
  <c r="AZ69" i="78"/>
  <c r="BA69" i="78"/>
  <c r="BB69" i="78"/>
  <c r="BC69" i="78"/>
  <c r="AT70" i="78"/>
  <c r="AU70" i="78"/>
  <c r="AV70" i="78"/>
  <c r="AW70" i="78"/>
  <c r="AX70" i="78"/>
  <c r="AY70" i="78"/>
  <c r="AZ70" i="78"/>
  <c r="BA70" i="78"/>
  <c r="BB70" i="78"/>
  <c r="BC70" i="78"/>
  <c r="AT71" i="78"/>
  <c r="AU71" i="78"/>
  <c r="AV71" i="78"/>
  <c r="AW71" i="78"/>
  <c r="AX71" i="78"/>
  <c r="AY71" i="78"/>
  <c r="AZ71" i="78"/>
  <c r="BA71" i="78"/>
  <c r="BB71" i="78"/>
  <c r="BC71" i="78"/>
  <c r="AT72" i="78"/>
  <c r="AU72" i="78"/>
  <c r="AV72" i="78"/>
  <c r="AW72" i="78"/>
  <c r="AX72" i="78"/>
  <c r="AY72" i="78"/>
  <c r="AZ72" i="78"/>
  <c r="BA72" i="78"/>
  <c r="BB72" i="78"/>
  <c r="BC72" i="78"/>
  <c r="AT73" i="78"/>
  <c r="AU73" i="78"/>
  <c r="AV73" i="78"/>
  <c r="AW73" i="78"/>
  <c r="AX73" i="78"/>
  <c r="AY73" i="78"/>
  <c r="AZ73" i="78"/>
  <c r="BA73" i="78"/>
  <c r="BB73" i="78"/>
  <c r="BC73" i="78"/>
  <c r="AT74" i="78"/>
  <c r="AU74" i="78"/>
  <c r="AV74" i="78"/>
  <c r="AW74" i="78"/>
  <c r="AX74" i="78"/>
  <c r="AY74" i="78"/>
  <c r="AZ74" i="78"/>
  <c r="BA74" i="78"/>
  <c r="BB74" i="78"/>
  <c r="BC74" i="78"/>
  <c r="AT75" i="78"/>
  <c r="AU75" i="78"/>
  <c r="AV75" i="78"/>
  <c r="AW75" i="78"/>
  <c r="AX75" i="78"/>
  <c r="AY75" i="78"/>
  <c r="AZ75" i="78"/>
  <c r="BA75" i="78"/>
  <c r="BB75" i="78"/>
  <c r="BC75" i="78"/>
  <c r="AT76" i="78"/>
  <c r="AU76" i="78"/>
  <c r="AV76" i="78"/>
  <c r="AW76" i="78"/>
  <c r="AX76" i="78"/>
  <c r="AY76" i="78"/>
  <c r="AZ76" i="78"/>
  <c r="BA76" i="78"/>
  <c r="BB76" i="78"/>
  <c r="BC76" i="78"/>
  <c r="AT77" i="78"/>
  <c r="AU77" i="78"/>
  <c r="AV77" i="78"/>
  <c r="AW77" i="78"/>
  <c r="AX77" i="78"/>
  <c r="AY77" i="78"/>
  <c r="AZ77" i="78"/>
  <c r="BA77" i="78"/>
  <c r="BB77" i="78"/>
  <c r="BC77" i="78"/>
  <c r="AT78" i="78"/>
  <c r="AU78" i="78"/>
  <c r="AV78" i="78"/>
  <c r="AW78" i="78"/>
  <c r="AX78" i="78"/>
  <c r="AY78" i="78"/>
  <c r="AZ78" i="78"/>
  <c r="BA78" i="78"/>
  <c r="BB78" i="78"/>
  <c r="BC78" i="78"/>
  <c r="AT79" i="78"/>
  <c r="AU79" i="78"/>
  <c r="AV79" i="78"/>
  <c r="AW79" i="78"/>
  <c r="AX79" i="78"/>
  <c r="AY79" i="78"/>
  <c r="AZ79" i="78"/>
  <c r="BA79" i="78"/>
  <c r="BB79" i="78"/>
  <c r="BC79" i="78"/>
  <c r="AT80" i="78"/>
  <c r="AU80" i="78"/>
  <c r="AV80" i="78"/>
  <c r="AW80" i="78"/>
  <c r="AX80" i="78"/>
  <c r="AY80" i="78"/>
  <c r="AZ80" i="78"/>
  <c r="BA80" i="78"/>
  <c r="BB80" i="78"/>
  <c r="BC80" i="78"/>
  <c r="AT81" i="78"/>
  <c r="AU81" i="78"/>
  <c r="AV81" i="78"/>
  <c r="AW81" i="78"/>
  <c r="AX81" i="78"/>
  <c r="AY81" i="78"/>
  <c r="AZ81" i="78"/>
  <c r="BA81" i="78"/>
  <c r="BB81" i="78"/>
  <c r="BC81" i="78"/>
  <c r="AT82" i="78"/>
  <c r="AU82" i="78"/>
  <c r="AV82" i="78"/>
  <c r="AW82" i="78"/>
  <c r="AX82" i="78"/>
  <c r="AY82" i="78"/>
  <c r="AZ82" i="78"/>
  <c r="BA82" i="78"/>
  <c r="BB82" i="78"/>
  <c r="BC82" i="78"/>
  <c r="AT83" i="78"/>
  <c r="AU83" i="78"/>
  <c r="AV83" i="78"/>
  <c r="AW83" i="78"/>
  <c r="AX83" i="78"/>
  <c r="AY83" i="78"/>
  <c r="AZ83" i="78"/>
  <c r="BA83" i="78"/>
  <c r="BB83" i="78"/>
  <c r="BC83" i="78"/>
  <c r="AT84" i="78"/>
  <c r="AU84" i="78"/>
  <c r="AV84" i="78"/>
  <c r="AW84" i="78"/>
  <c r="AX84" i="78"/>
  <c r="AY84" i="78"/>
  <c r="AZ84" i="78"/>
  <c r="BA84" i="78"/>
  <c r="BB84" i="78"/>
  <c r="BC84" i="78"/>
  <c r="AT85" i="78"/>
  <c r="AU85" i="78"/>
  <c r="AV85" i="78"/>
  <c r="AW85" i="78"/>
  <c r="AX85" i="78"/>
  <c r="AY85" i="78"/>
  <c r="AZ85" i="78"/>
  <c r="BA85" i="78"/>
  <c r="BB85" i="78"/>
  <c r="BC85" i="78"/>
  <c r="AT86" i="78"/>
  <c r="AU86" i="78"/>
  <c r="AV86" i="78"/>
  <c r="AW86" i="78"/>
  <c r="AX86" i="78"/>
  <c r="AY86" i="78"/>
  <c r="AZ86" i="78"/>
  <c r="BA86" i="78"/>
  <c r="BB86" i="78"/>
  <c r="BC86" i="78"/>
  <c r="AT87" i="78"/>
  <c r="AU87" i="78"/>
  <c r="AV87" i="78"/>
  <c r="AW87" i="78"/>
  <c r="AX87" i="78"/>
  <c r="AY87" i="78"/>
  <c r="AZ87" i="78"/>
  <c r="BA87" i="78"/>
  <c r="BB87" i="78"/>
  <c r="BC87" i="78"/>
  <c r="AT88" i="78"/>
  <c r="AU88" i="78"/>
  <c r="AV88" i="78"/>
  <c r="AW88" i="78"/>
  <c r="AX88" i="78"/>
  <c r="AY88" i="78"/>
  <c r="AZ88" i="78"/>
  <c r="BA88" i="78"/>
  <c r="BB88" i="78"/>
  <c r="BC88" i="78"/>
  <c r="AT89" i="78"/>
  <c r="AU89" i="78"/>
  <c r="AV89" i="78"/>
  <c r="AW89" i="78"/>
  <c r="AX89" i="78"/>
  <c r="AY89" i="78"/>
  <c r="AZ89" i="78"/>
  <c r="BA89" i="78"/>
  <c r="BB89" i="78"/>
  <c r="BC89" i="78"/>
  <c r="AT90" i="78"/>
  <c r="AU90" i="78"/>
  <c r="AV90" i="78"/>
  <c r="AW90" i="78"/>
  <c r="AX90" i="78"/>
  <c r="AY90" i="78"/>
  <c r="AZ90" i="78"/>
  <c r="BA90" i="78"/>
  <c r="BB90" i="78"/>
  <c r="BC90" i="78"/>
  <c r="AT91" i="78"/>
  <c r="AU91" i="78"/>
  <c r="AV91" i="78"/>
  <c r="AW91" i="78"/>
  <c r="AX91" i="78"/>
  <c r="AY91" i="78"/>
  <c r="AZ91" i="78"/>
  <c r="BA91" i="78"/>
  <c r="BB91" i="78"/>
  <c r="BC91" i="78"/>
  <c r="AT92" i="78"/>
  <c r="AU92" i="78"/>
  <c r="AV92" i="78"/>
  <c r="AW92" i="78"/>
  <c r="AX92" i="78"/>
  <c r="AY92" i="78"/>
  <c r="AZ92" i="78"/>
  <c r="BA92" i="78"/>
  <c r="BB92" i="78"/>
  <c r="BC92" i="78"/>
  <c r="AT93" i="78"/>
  <c r="AU93" i="78"/>
  <c r="AV93" i="78"/>
  <c r="AW93" i="78"/>
  <c r="AX93" i="78"/>
  <c r="AY93" i="78"/>
  <c r="AZ93" i="78"/>
  <c r="BA93" i="78"/>
  <c r="BB93" i="78"/>
  <c r="BC93" i="78"/>
  <c r="AT94" i="78"/>
  <c r="AU94" i="78"/>
  <c r="AV94" i="78"/>
  <c r="AW94" i="78"/>
  <c r="AX94" i="78"/>
  <c r="AY94" i="78"/>
  <c r="AZ94" i="78"/>
  <c r="BA94" i="78"/>
  <c r="BB94" i="78"/>
  <c r="BC94" i="78"/>
  <c r="AT95" i="78"/>
  <c r="AU95" i="78"/>
  <c r="AV95" i="78"/>
  <c r="AW95" i="78"/>
  <c r="AX95" i="78"/>
  <c r="AY95" i="78"/>
  <c r="AZ95" i="78"/>
  <c r="BA95" i="78"/>
  <c r="BB95" i="78"/>
  <c r="BC95" i="78"/>
  <c r="AT96" i="78"/>
  <c r="AU96" i="78"/>
  <c r="AV96" i="78"/>
  <c r="AW96" i="78"/>
  <c r="AX96" i="78"/>
  <c r="AY96" i="78"/>
  <c r="AZ96" i="78"/>
  <c r="BA96" i="78"/>
  <c r="BB96" i="78"/>
  <c r="BC96" i="78"/>
  <c r="AT97" i="78"/>
  <c r="AU97" i="78"/>
  <c r="AV97" i="78"/>
  <c r="AW97" i="78"/>
  <c r="AX97" i="78"/>
  <c r="AY97" i="78"/>
  <c r="AZ97" i="78"/>
  <c r="BA97" i="78"/>
  <c r="BB97" i="78"/>
  <c r="BC97" i="78"/>
  <c r="AT98" i="78"/>
  <c r="AU98" i="78"/>
  <c r="AV98" i="78"/>
  <c r="AW98" i="78"/>
  <c r="AX98" i="78"/>
  <c r="AY98" i="78"/>
  <c r="AZ98" i="78"/>
  <c r="BA98" i="78"/>
  <c r="BB98" i="78"/>
  <c r="BC98" i="78"/>
  <c r="AT99" i="78"/>
  <c r="AU99" i="78"/>
  <c r="AV99" i="78"/>
  <c r="AW99" i="78"/>
  <c r="AX99" i="78"/>
  <c r="AY99" i="78"/>
  <c r="AZ99" i="78"/>
  <c r="BA99" i="78"/>
  <c r="BB99" i="78"/>
  <c r="BC99" i="78"/>
  <c r="AT100" i="78"/>
  <c r="AU100" i="78"/>
  <c r="AV100" i="78"/>
  <c r="AW100" i="78"/>
  <c r="AX100" i="78"/>
  <c r="AY100" i="78"/>
  <c r="AZ100" i="78"/>
  <c r="BA100" i="78"/>
  <c r="BB100" i="78"/>
  <c r="BC100" i="78"/>
  <c r="AT101" i="78"/>
  <c r="AU101" i="78"/>
  <c r="AV101" i="78"/>
  <c r="AW101" i="78"/>
  <c r="AX101" i="78"/>
  <c r="AY101" i="78"/>
  <c r="AZ101" i="78"/>
  <c r="BA101" i="78"/>
  <c r="BB101" i="78"/>
  <c r="BC101" i="78"/>
  <c r="AT102" i="78"/>
  <c r="AU102" i="78"/>
  <c r="AV102" i="78"/>
  <c r="AW102" i="78"/>
  <c r="AX102" i="78"/>
  <c r="AY102" i="78"/>
  <c r="AZ102" i="78"/>
  <c r="BA102" i="78"/>
  <c r="BB102" i="78"/>
  <c r="BC102" i="78"/>
  <c r="AT103" i="78"/>
  <c r="AU103" i="78"/>
  <c r="AV103" i="78"/>
  <c r="AW103" i="78"/>
  <c r="AX103" i="78"/>
  <c r="AY103" i="78"/>
  <c r="AZ103" i="78"/>
  <c r="BA103" i="78"/>
  <c r="BB103" i="78"/>
  <c r="BC103" i="78"/>
  <c r="BF56" i="78"/>
  <c r="BG56" i="78"/>
  <c r="BH56" i="78"/>
  <c r="BI56" i="78"/>
  <c r="BJ56" i="78"/>
  <c r="BK56" i="78"/>
  <c r="BL56" i="78"/>
  <c r="BM56" i="78"/>
  <c r="BN56" i="78"/>
  <c r="BO56" i="78"/>
  <c r="BF57" i="78"/>
  <c r="BG57" i="78"/>
  <c r="BH57" i="78"/>
  <c r="BI57" i="78"/>
  <c r="BJ57" i="78"/>
  <c r="BK57" i="78"/>
  <c r="BL57" i="78"/>
  <c r="BM57" i="78"/>
  <c r="BN57" i="78"/>
  <c r="BO57" i="78"/>
  <c r="BF58" i="78"/>
  <c r="BG58" i="78"/>
  <c r="BH58" i="78"/>
  <c r="BI58" i="78"/>
  <c r="BJ58" i="78"/>
  <c r="BK58" i="78"/>
  <c r="BL58" i="78"/>
  <c r="BM58" i="78"/>
  <c r="BN58" i="78"/>
  <c r="BO58" i="78"/>
  <c r="BF59" i="78"/>
  <c r="BG59" i="78"/>
  <c r="BH59" i="78"/>
  <c r="BI59" i="78"/>
  <c r="BJ59" i="78"/>
  <c r="BK59" i="78"/>
  <c r="BL59" i="78"/>
  <c r="BM59" i="78"/>
  <c r="BN59" i="78"/>
  <c r="BO59" i="78"/>
  <c r="BF60" i="78"/>
  <c r="BG60" i="78"/>
  <c r="BH60" i="78"/>
  <c r="BI60" i="78"/>
  <c r="BJ60" i="78"/>
  <c r="BK60" i="78"/>
  <c r="BL60" i="78"/>
  <c r="BM60" i="78"/>
  <c r="BN60" i="78"/>
  <c r="BO60" i="78"/>
  <c r="BF61" i="78"/>
  <c r="BG61" i="78"/>
  <c r="BH61" i="78"/>
  <c r="BI61" i="78"/>
  <c r="BJ61" i="78"/>
  <c r="BK61" i="78"/>
  <c r="BL61" i="78"/>
  <c r="BM61" i="78"/>
  <c r="BN61" i="78"/>
  <c r="BO61" i="78"/>
  <c r="BF62" i="78"/>
  <c r="BG62" i="78"/>
  <c r="BH62" i="78"/>
  <c r="BI62" i="78"/>
  <c r="BJ62" i="78"/>
  <c r="BK62" i="78"/>
  <c r="BL62" i="78"/>
  <c r="BM62" i="78"/>
  <c r="BN62" i="78"/>
  <c r="BO62" i="78"/>
  <c r="BF63" i="78"/>
  <c r="BG63" i="78"/>
  <c r="BH63" i="78"/>
  <c r="BI63" i="78"/>
  <c r="BJ63" i="78"/>
  <c r="BK63" i="78"/>
  <c r="BL63" i="78"/>
  <c r="BM63" i="78"/>
  <c r="BN63" i="78"/>
  <c r="BO63" i="78"/>
  <c r="BF64" i="78"/>
  <c r="BG64" i="78"/>
  <c r="BH64" i="78"/>
  <c r="BI64" i="78"/>
  <c r="BJ64" i="78"/>
  <c r="BK64" i="78"/>
  <c r="BL64" i="78"/>
  <c r="BM64" i="78"/>
  <c r="BN64" i="78"/>
  <c r="BO64" i="78"/>
  <c r="BF65" i="78"/>
  <c r="BG65" i="78"/>
  <c r="BH65" i="78"/>
  <c r="BI65" i="78"/>
  <c r="BJ65" i="78"/>
  <c r="BK65" i="78"/>
  <c r="BL65" i="78"/>
  <c r="BM65" i="78"/>
  <c r="BN65" i="78"/>
  <c r="BO65" i="78"/>
  <c r="BF66" i="78"/>
  <c r="BG66" i="78"/>
  <c r="BH66" i="78"/>
  <c r="BI66" i="78"/>
  <c r="BJ66" i="78"/>
  <c r="BK66" i="78"/>
  <c r="BL66" i="78"/>
  <c r="BM66" i="78"/>
  <c r="BN66" i="78"/>
  <c r="BO66" i="78"/>
  <c r="BF67" i="78"/>
  <c r="BG67" i="78"/>
  <c r="BH67" i="78"/>
  <c r="BI67" i="78"/>
  <c r="BJ67" i="78"/>
  <c r="BK67" i="78"/>
  <c r="BL67" i="78"/>
  <c r="BM67" i="78"/>
  <c r="BN67" i="78"/>
  <c r="BO67" i="78"/>
  <c r="BF68" i="78"/>
  <c r="BG68" i="78"/>
  <c r="BH68" i="78"/>
  <c r="BI68" i="78"/>
  <c r="BJ68" i="78"/>
  <c r="BK68" i="78"/>
  <c r="BL68" i="78"/>
  <c r="BM68" i="78"/>
  <c r="BN68" i="78"/>
  <c r="BO68" i="78"/>
  <c r="BF69" i="78"/>
  <c r="BG69" i="78"/>
  <c r="BH69" i="78"/>
  <c r="BI69" i="78"/>
  <c r="BJ69" i="78"/>
  <c r="BK69" i="78"/>
  <c r="BL69" i="78"/>
  <c r="BM69" i="78"/>
  <c r="BN69" i="78"/>
  <c r="BO69" i="78"/>
  <c r="BF70" i="78"/>
  <c r="BG70" i="78"/>
  <c r="BH70" i="78"/>
  <c r="BI70" i="78"/>
  <c r="BJ70" i="78"/>
  <c r="BK70" i="78"/>
  <c r="BL70" i="78"/>
  <c r="BM70" i="78"/>
  <c r="BN70" i="78"/>
  <c r="BO70" i="78"/>
  <c r="BF71" i="78"/>
  <c r="BG71" i="78"/>
  <c r="BH71" i="78"/>
  <c r="BI71" i="78"/>
  <c r="BJ71" i="78"/>
  <c r="BK71" i="78"/>
  <c r="BL71" i="78"/>
  <c r="BM71" i="78"/>
  <c r="BN71" i="78"/>
  <c r="BO71" i="78"/>
  <c r="BF72" i="78"/>
  <c r="BG72" i="78"/>
  <c r="BH72" i="78"/>
  <c r="BI72" i="78"/>
  <c r="BJ72" i="78"/>
  <c r="BK72" i="78"/>
  <c r="BL72" i="78"/>
  <c r="BM72" i="78"/>
  <c r="BN72" i="78"/>
  <c r="BO72" i="78"/>
  <c r="BF73" i="78"/>
  <c r="BG73" i="78"/>
  <c r="BH73" i="78"/>
  <c r="BI73" i="78"/>
  <c r="BJ73" i="78"/>
  <c r="BK73" i="78"/>
  <c r="BL73" i="78"/>
  <c r="BM73" i="78"/>
  <c r="BN73" i="78"/>
  <c r="BO73" i="78"/>
  <c r="BF74" i="78"/>
  <c r="BG74" i="78"/>
  <c r="BH74" i="78"/>
  <c r="BI74" i="78"/>
  <c r="BJ74" i="78"/>
  <c r="BK74" i="78"/>
  <c r="BL74" i="78"/>
  <c r="BM74" i="78"/>
  <c r="BN74" i="78"/>
  <c r="BO74" i="78"/>
  <c r="BF75" i="78"/>
  <c r="BG75" i="78"/>
  <c r="BH75" i="78"/>
  <c r="BI75" i="78"/>
  <c r="BJ75" i="78"/>
  <c r="BK75" i="78"/>
  <c r="BL75" i="78"/>
  <c r="BM75" i="78"/>
  <c r="BN75" i="78"/>
  <c r="BO75" i="78"/>
  <c r="BF76" i="78"/>
  <c r="BG76" i="78"/>
  <c r="BH76" i="78"/>
  <c r="BI76" i="78"/>
  <c r="BJ76" i="78"/>
  <c r="BK76" i="78"/>
  <c r="BL76" i="78"/>
  <c r="BM76" i="78"/>
  <c r="BN76" i="78"/>
  <c r="BO76" i="78"/>
  <c r="BF77" i="78"/>
  <c r="BG77" i="78"/>
  <c r="BH77" i="78"/>
  <c r="BI77" i="78"/>
  <c r="BJ77" i="78"/>
  <c r="BK77" i="78"/>
  <c r="BL77" i="78"/>
  <c r="BM77" i="78"/>
  <c r="BN77" i="78"/>
  <c r="BO77" i="78"/>
  <c r="BF78" i="78"/>
  <c r="BG78" i="78"/>
  <c r="BH78" i="78"/>
  <c r="BI78" i="78"/>
  <c r="BJ78" i="78"/>
  <c r="BK78" i="78"/>
  <c r="BL78" i="78"/>
  <c r="BM78" i="78"/>
  <c r="BN78" i="78"/>
  <c r="BO78" i="78"/>
  <c r="BF79" i="78"/>
  <c r="BG79" i="78"/>
  <c r="BH79" i="78"/>
  <c r="BI79" i="78"/>
  <c r="BJ79" i="78"/>
  <c r="BK79" i="78"/>
  <c r="BL79" i="78"/>
  <c r="BM79" i="78"/>
  <c r="BN79" i="78"/>
  <c r="BO79" i="78"/>
  <c r="BF80" i="78"/>
  <c r="BG80" i="78"/>
  <c r="BH80" i="78"/>
  <c r="BI80" i="78"/>
  <c r="BJ80" i="78"/>
  <c r="BK80" i="78"/>
  <c r="BL80" i="78"/>
  <c r="BM80" i="78"/>
  <c r="BN80" i="78"/>
  <c r="BO80" i="78"/>
  <c r="BF81" i="78"/>
  <c r="BG81" i="78"/>
  <c r="BH81" i="78"/>
  <c r="BI81" i="78"/>
  <c r="BJ81" i="78"/>
  <c r="BK81" i="78"/>
  <c r="BL81" i="78"/>
  <c r="BM81" i="78"/>
  <c r="BN81" i="78"/>
  <c r="BO81" i="78"/>
  <c r="BF82" i="78"/>
  <c r="BG82" i="78"/>
  <c r="BH82" i="78"/>
  <c r="BI82" i="78"/>
  <c r="BJ82" i="78"/>
  <c r="BK82" i="78"/>
  <c r="BL82" i="78"/>
  <c r="BM82" i="78"/>
  <c r="BN82" i="78"/>
  <c r="BO82" i="78"/>
  <c r="BF83" i="78"/>
  <c r="BG83" i="78"/>
  <c r="BH83" i="78"/>
  <c r="BI83" i="78"/>
  <c r="BJ83" i="78"/>
  <c r="BK83" i="78"/>
  <c r="BL83" i="78"/>
  <c r="BM83" i="78"/>
  <c r="BN83" i="78"/>
  <c r="BO83" i="78"/>
  <c r="BF84" i="78"/>
  <c r="BG84" i="78"/>
  <c r="BH84" i="78"/>
  <c r="BI84" i="78"/>
  <c r="BJ84" i="78"/>
  <c r="BK84" i="78"/>
  <c r="BL84" i="78"/>
  <c r="BM84" i="78"/>
  <c r="BN84" i="78"/>
  <c r="BO84" i="78"/>
  <c r="BF85" i="78"/>
  <c r="BG85" i="78"/>
  <c r="BH85" i="78"/>
  <c r="BI85" i="78"/>
  <c r="BJ85" i="78"/>
  <c r="BK85" i="78"/>
  <c r="BL85" i="78"/>
  <c r="BM85" i="78"/>
  <c r="BN85" i="78"/>
  <c r="BO85" i="78"/>
  <c r="BF86" i="78"/>
  <c r="BG86" i="78"/>
  <c r="BH86" i="78"/>
  <c r="BI86" i="78"/>
  <c r="BJ86" i="78"/>
  <c r="BK86" i="78"/>
  <c r="BL86" i="78"/>
  <c r="BM86" i="78"/>
  <c r="BN86" i="78"/>
  <c r="BO86" i="78"/>
  <c r="BF87" i="78"/>
  <c r="BG87" i="78"/>
  <c r="BH87" i="78"/>
  <c r="BI87" i="78"/>
  <c r="BJ87" i="78"/>
  <c r="BK87" i="78"/>
  <c r="BL87" i="78"/>
  <c r="BM87" i="78"/>
  <c r="BN87" i="78"/>
  <c r="BO87" i="78"/>
  <c r="BF88" i="78"/>
  <c r="BG88" i="78"/>
  <c r="BH88" i="78"/>
  <c r="BI88" i="78"/>
  <c r="BJ88" i="78"/>
  <c r="BK88" i="78"/>
  <c r="BL88" i="78"/>
  <c r="BM88" i="78"/>
  <c r="BN88" i="78"/>
  <c r="BO88" i="78"/>
  <c r="BF89" i="78"/>
  <c r="BG89" i="78"/>
  <c r="BH89" i="78"/>
  <c r="BI89" i="78"/>
  <c r="BJ89" i="78"/>
  <c r="BK89" i="78"/>
  <c r="BL89" i="78"/>
  <c r="BM89" i="78"/>
  <c r="BN89" i="78"/>
  <c r="BO89" i="78"/>
  <c r="BF90" i="78"/>
  <c r="BG90" i="78"/>
  <c r="BH90" i="78"/>
  <c r="BI90" i="78"/>
  <c r="BJ90" i="78"/>
  <c r="BK90" i="78"/>
  <c r="BL90" i="78"/>
  <c r="BM90" i="78"/>
  <c r="BN90" i="78"/>
  <c r="BO90" i="78"/>
  <c r="BF91" i="78"/>
  <c r="BG91" i="78"/>
  <c r="BH91" i="78"/>
  <c r="BI91" i="78"/>
  <c r="BJ91" i="78"/>
  <c r="BK91" i="78"/>
  <c r="BL91" i="78"/>
  <c r="BM91" i="78"/>
  <c r="BN91" i="78"/>
  <c r="BO91" i="78"/>
  <c r="BF92" i="78"/>
  <c r="BG92" i="78"/>
  <c r="BH92" i="78"/>
  <c r="BI92" i="78"/>
  <c r="BJ92" i="78"/>
  <c r="BK92" i="78"/>
  <c r="BL92" i="78"/>
  <c r="BM92" i="78"/>
  <c r="BN92" i="78"/>
  <c r="BO92" i="78"/>
  <c r="BF93" i="78"/>
  <c r="BG93" i="78"/>
  <c r="BH93" i="78"/>
  <c r="BI93" i="78"/>
  <c r="BJ93" i="78"/>
  <c r="BK93" i="78"/>
  <c r="BL93" i="78"/>
  <c r="BM93" i="78"/>
  <c r="BN93" i="78"/>
  <c r="BO93" i="78"/>
  <c r="BF94" i="78"/>
  <c r="BG94" i="78"/>
  <c r="BH94" i="78"/>
  <c r="BI94" i="78"/>
  <c r="BJ94" i="78"/>
  <c r="BK94" i="78"/>
  <c r="BL94" i="78"/>
  <c r="BM94" i="78"/>
  <c r="BN94" i="78"/>
  <c r="BO94" i="78"/>
  <c r="BF95" i="78"/>
  <c r="BG95" i="78"/>
  <c r="BH95" i="78"/>
  <c r="BI95" i="78"/>
  <c r="BJ95" i="78"/>
  <c r="BK95" i="78"/>
  <c r="BL95" i="78"/>
  <c r="BM95" i="78"/>
  <c r="BN95" i="78"/>
  <c r="BO95" i="78"/>
  <c r="BF96" i="78"/>
  <c r="BG96" i="78"/>
  <c r="BH96" i="78"/>
  <c r="BI96" i="78"/>
  <c r="BJ96" i="78"/>
  <c r="BK96" i="78"/>
  <c r="BL96" i="78"/>
  <c r="BM96" i="78"/>
  <c r="BN96" i="78"/>
  <c r="BO96" i="78"/>
  <c r="BF97" i="78"/>
  <c r="BG97" i="78"/>
  <c r="BH97" i="78"/>
  <c r="BI97" i="78"/>
  <c r="BJ97" i="78"/>
  <c r="BK97" i="78"/>
  <c r="BL97" i="78"/>
  <c r="BM97" i="78"/>
  <c r="BN97" i="78"/>
  <c r="BO97" i="78"/>
  <c r="BF98" i="78"/>
  <c r="BG98" i="78"/>
  <c r="BH98" i="78"/>
  <c r="BI98" i="78"/>
  <c r="BJ98" i="78"/>
  <c r="BK98" i="78"/>
  <c r="BL98" i="78"/>
  <c r="BM98" i="78"/>
  <c r="BN98" i="78"/>
  <c r="BO98" i="78"/>
  <c r="BF99" i="78"/>
  <c r="BG99" i="78"/>
  <c r="BH99" i="78"/>
  <c r="BI99" i="78"/>
  <c r="BJ99" i="78"/>
  <c r="BK99" i="78"/>
  <c r="BL99" i="78"/>
  <c r="BM99" i="78"/>
  <c r="BN99" i="78"/>
  <c r="BO99" i="78"/>
  <c r="BF100" i="78"/>
  <c r="BG100" i="78"/>
  <c r="BH100" i="78"/>
  <c r="BI100" i="78"/>
  <c r="BJ100" i="78"/>
  <c r="BK100" i="78"/>
  <c r="BL100" i="78"/>
  <c r="BM100" i="78"/>
  <c r="BN100" i="78"/>
  <c r="BO100" i="78"/>
  <c r="BF101" i="78"/>
  <c r="BG101" i="78"/>
  <c r="BH101" i="78"/>
  <c r="BI101" i="78"/>
  <c r="BJ101" i="78"/>
  <c r="BK101" i="78"/>
  <c r="BL101" i="78"/>
  <c r="BM101" i="78"/>
  <c r="BN101" i="78"/>
  <c r="BO101" i="78"/>
  <c r="BF102" i="78"/>
  <c r="BG102" i="78"/>
  <c r="BH102" i="78"/>
  <c r="BI102" i="78"/>
  <c r="BJ102" i="78"/>
  <c r="BK102" i="78"/>
  <c r="BL102" i="78"/>
  <c r="BM102" i="78"/>
  <c r="BN102" i="78"/>
  <c r="BO102" i="78"/>
  <c r="BF103" i="78"/>
  <c r="BG103" i="78"/>
  <c r="BH103" i="78"/>
  <c r="BI103" i="78"/>
  <c r="BJ103" i="78"/>
  <c r="BK103" i="78"/>
  <c r="BL103" i="78"/>
  <c r="BM103" i="78"/>
  <c r="BN103" i="78"/>
  <c r="BO103" i="78"/>
  <c r="BD18" i="78"/>
  <c r="BD19" i="78"/>
  <c r="BD20" i="78"/>
  <c r="BD21" i="78"/>
  <c r="BD22" i="78"/>
  <c r="BD23" i="78"/>
  <c r="BD24" i="78"/>
  <c r="BD25" i="78"/>
  <c r="BD26" i="78"/>
  <c r="BD27" i="78"/>
  <c r="BD28" i="78"/>
  <c r="BD29" i="78"/>
  <c r="BD30" i="78"/>
  <c r="BD31" i="78"/>
  <c r="BD32" i="78"/>
  <c r="BD33" i="78"/>
  <c r="BD34" i="78"/>
  <c r="BD35" i="78"/>
  <c r="BD36" i="78"/>
  <c r="BD37" i="78"/>
  <c r="BD38" i="78"/>
  <c r="BD39" i="78"/>
  <c r="BD40" i="78"/>
  <c r="BD41" i="78"/>
  <c r="BD42" i="78"/>
  <c r="BD43" i="78"/>
  <c r="BD44" i="78"/>
  <c r="BD45" i="78"/>
  <c r="BD46" i="78"/>
  <c r="BD47" i="78"/>
  <c r="BD48" i="78"/>
  <c r="BD49" i="78"/>
  <c r="BD50" i="78"/>
  <c r="BD51" i="78"/>
  <c r="BD52" i="78"/>
  <c r="BD53" i="78"/>
  <c r="BD54" i="78"/>
  <c r="BD55" i="78"/>
  <c r="BD56" i="78"/>
  <c r="BD57" i="78"/>
  <c r="BD58" i="78"/>
  <c r="BD59" i="78"/>
  <c r="BD60" i="78"/>
  <c r="BD61" i="78"/>
  <c r="BD62" i="78"/>
  <c r="BD63" i="78"/>
  <c r="BD64" i="78"/>
  <c r="BD65" i="78"/>
  <c r="BD66" i="78"/>
  <c r="BD67" i="78"/>
  <c r="BD68" i="78"/>
  <c r="BD69" i="78"/>
  <c r="BD70" i="78"/>
  <c r="BD71" i="78"/>
  <c r="BD72" i="78"/>
  <c r="BD73" i="78"/>
  <c r="BD74" i="78"/>
  <c r="BD75" i="78"/>
  <c r="BD76" i="78"/>
  <c r="BD77" i="78"/>
  <c r="BD78" i="78"/>
  <c r="BD79" i="78"/>
  <c r="BD80" i="78"/>
  <c r="BD81" i="78"/>
  <c r="BD82" i="78"/>
  <c r="BD83" i="78"/>
  <c r="BD84" i="78"/>
  <c r="BD85" i="78"/>
  <c r="BD86" i="78"/>
  <c r="BD87" i="78"/>
  <c r="BD88" i="78"/>
  <c r="BD89" i="78"/>
  <c r="BD90" i="78"/>
  <c r="BD91" i="78"/>
  <c r="BD92" i="78"/>
  <c r="BD93" i="78"/>
  <c r="BD94" i="78"/>
  <c r="BD95" i="78"/>
  <c r="BD96" i="78"/>
  <c r="BD97" i="78"/>
  <c r="BD98" i="78"/>
  <c r="BD99" i="78"/>
  <c r="BD100" i="78"/>
  <c r="BD101" i="78"/>
  <c r="BD102" i="78"/>
  <c r="BD103" i="78"/>
  <c r="CN17" i="78"/>
  <c r="CB17" i="78"/>
  <c r="CN16" i="78"/>
  <c r="CB16" i="78"/>
  <c r="CN15" i="78"/>
  <c r="CB15" i="78"/>
  <c r="CN14" i="78"/>
  <c r="CB14" i="78"/>
  <c r="CN13" i="78"/>
  <c r="CB13" i="78"/>
  <c r="CN12" i="78"/>
  <c r="CB12" i="78"/>
  <c r="CN11" i="78"/>
  <c r="CB11" i="78"/>
  <c r="CN10" i="78"/>
  <c r="CB10" i="78"/>
  <c r="CN9" i="78"/>
  <c r="CB9" i="78"/>
  <c r="CN8" i="78"/>
  <c r="CB8" i="78"/>
  <c r="AR19" i="78" l="1"/>
  <c r="AR18" i="78"/>
  <c r="AR17" i="78"/>
  <c r="AI19" i="78"/>
  <c r="AI18" i="78"/>
  <c r="AI17" i="78"/>
  <c r="Z19" i="78"/>
  <c r="Z18" i="78"/>
  <c r="Z17" i="78"/>
  <c r="Q19" i="78"/>
  <c r="Q18" i="78"/>
  <c r="Q17" i="78"/>
  <c r="BP55" i="78" l="1"/>
  <c r="BP54" i="78"/>
  <c r="BP53" i="78"/>
  <c r="BP52" i="78"/>
  <c r="BP51" i="78"/>
  <c r="BP50" i="78"/>
  <c r="BP49" i="78"/>
  <c r="BP48" i="78"/>
  <c r="BP47" i="78"/>
  <c r="BP46" i="78"/>
  <c r="BP45" i="78"/>
  <c r="BP44" i="78"/>
  <c r="BP43" i="78"/>
  <c r="BP42" i="78"/>
  <c r="BP41" i="78"/>
  <c r="BP40" i="78"/>
  <c r="BP39" i="78"/>
  <c r="BP38" i="78"/>
  <c r="BP37" i="78"/>
  <c r="BP36" i="78"/>
  <c r="BP35" i="78"/>
  <c r="BP34" i="78"/>
  <c r="BP33" i="78"/>
  <c r="BP32" i="78"/>
  <c r="BP31" i="78"/>
  <c r="BP30" i="78"/>
  <c r="BP29" i="78"/>
  <c r="BP28" i="78"/>
  <c r="BP27" i="78"/>
  <c r="BP26" i="78"/>
  <c r="BP25" i="78"/>
  <c r="BP24" i="78"/>
  <c r="BP23" i="78"/>
  <c r="BP22" i="78"/>
  <c r="BP21" i="78"/>
  <c r="BP20" i="78"/>
  <c r="BP19" i="78"/>
  <c r="BP18" i="78"/>
  <c r="BP17" i="78"/>
  <c r="BP16" i="78"/>
  <c r="BP15" i="78"/>
  <c r="BP14" i="78"/>
  <c r="BP13" i="78"/>
  <c r="BP12" i="78"/>
  <c r="BP11" i="78"/>
  <c r="BP10" i="78"/>
  <c r="BP9" i="78"/>
  <c r="BP8" i="78"/>
  <c r="BD9" i="78"/>
  <c r="BD10" i="78"/>
  <c r="BD11" i="78"/>
  <c r="BD12" i="78"/>
  <c r="BD13" i="78"/>
  <c r="BD14" i="78"/>
  <c r="BD15" i="78"/>
  <c r="BD16" i="78"/>
  <c r="BD17" i="78"/>
  <c r="BD8" i="78"/>
  <c r="BP93" i="78" l="1"/>
  <c r="BP94" i="78"/>
  <c r="BP95" i="78"/>
  <c r="BP96" i="78"/>
  <c r="BP97" i="78"/>
  <c r="BP98" i="78"/>
  <c r="BP99" i="78"/>
  <c r="BP100" i="78"/>
  <c r="BP101" i="78"/>
  <c r="BP102" i="78"/>
  <c r="BP103" i="78"/>
  <c r="BP92" i="78"/>
  <c r="BP81" i="78"/>
  <c r="BP82" i="78"/>
  <c r="BP83" i="78"/>
  <c r="BP84" i="78"/>
  <c r="BP85" i="78"/>
  <c r="BP86" i="78"/>
  <c r="BP87" i="78"/>
  <c r="BP88" i="78"/>
  <c r="BP89" i="78"/>
  <c r="BP90" i="78"/>
  <c r="BP91" i="78"/>
  <c r="BP80" i="78"/>
  <c r="BP69" i="78"/>
  <c r="BP70" i="78"/>
  <c r="BP71" i="78"/>
  <c r="BP72" i="78"/>
  <c r="BP73" i="78"/>
  <c r="BP74" i="78"/>
  <c r="BP75" i="78"/>
  <c r="BP76" i="78"/>
  <c r="BP77" i="78"/>
  <c r="BP78" i="78"/>
  <c r="BP79" i="78"/>
  <c r="BP68" i="78"/>
  <c r="BP56" i="78"/>
  <c r="AQ162" i="16"/>
  <c r="AP162" i="16"/>
  <c r="AO162" i="16"/>
  <c r="AN162" i="16"/>
  <c r="AM162" i="16"/>
  <c r="AW162" i="16" s="1"/>
  <c r="AL162" i="16"/>
  <c r="AV162" i="16" s="1"/>
  <c r="AK162" i="16"/>
  <c r="AU162" i="16" s="1"/>
  <c r="AJ162" i="16"/>
  <c r="AI162" i="16"/>
  <c r="AH162" i="16"/>
  <c r="AG162" i="16"/>
  <c r="AF162" i="16"/>
  <c r="AR162" i="16" s="1"/>
  <c r="AB162" i="16"/>
  <c r="AA162" i="16"/>
  <c r="Z162" i="16"/>
  <c r="Y162" i="16"/>
  <c r="X162" i="16"/>
  <c r="W162" i="16"/>
  <c r="V162" i="16"/>
  <c r="U162" i="16"/>
  <c r="T162" i="16"/>
  <c r="S162" i="16"/>
  <c r="R162" i="16"/>
  <c r="Q162" i="16"/>
  <c r="AC162" i="16" s="1"/>
  <c r="M162" i="16"/>
  <c r="L162" i="16"/>
  <c r="K162" i="16"/>
  <c r="J162" i="16"/>
  <c r="I162" i="16"/>
  <c r="H162" i="16"/>
  <c r="G162" i="16"/>
  <c r="F162" i="16"/>
  <c r="E162" i="16"/>
  <c r="D162" i="16"/>
  <c r="C162" i="16"/>
  <c r="B162" i="16"/>
  <c r="N162" i="16" s="1"/>
  <c r="AQ161" i="16"/>
  <c r="AP161" i="16"/>
  <c r="AO161" i="16"/>
  <c r="AN161" i="16"/>
  <c r="AM161" i="16"/>
  <c r="AW161" i="16" s="1"/>
  <c r="AL161" i="16"/>
  <c r="AV161" i="16" s="1"/>
  <c r="AK161" i="16"/>
  <c r="AU161" i="16" s="1"/>
  <c r="AJ161" i="16"/>
  <c r="AI161" i="16"/>
  <c r="AH161" i="16"/>
  <c r="AG161" i="16"/>
  <c r="AF161" i="16"/>
  <c r="AR161" i="16" s="1"/>
  <c r="AB161" i="16"/>
  <c r="AA161" i="16"/>
  <c r="Z161" i="16"/>
  <c r="Y161" i="16"/>
  <c r="X161" i="16"/>
  <c r="W161" i="16"/>
  <c r="V161" i="16"/>
  <c r="U161" i="16"/>
  <c r="T161" i="16"/>
  <c r="S161" i="16"/>
  <c r="R161" i="16"/>
  <c r="Q161" i="16"/>
  <c r="AC161" i="16" s="1"/>
  <c r="M161" i="16"/>
  <c r="L161" i="16"/>
  <c r="K161" i="16"/>
  <c r="J161" i="16"/>
  <c r="I161" i="16"/>
  <c r="H161" i="16"/>
  <c r="G161" i="16"/>
  <c r="F161" i="16"/>
  <c r="E161" i="16"/>
  <c r="D161" i="16"/>
  <c r="C161" i="16"/>
  <c r="B161" i="16"/>
  <c r="N161" i="16" s="1"/>
  <c r="AQ160" i="16"/>
  <c r="AP160" i="16"/>
  <c r="AO160" i="16"/>
  <c r="AN160" i="16"/>
  <c r="AM160" i="16"/>
  <c r="AW160" i="16" s="1"/>
  <c r="AL160" i="16"/>
  <c r="AV160" i="16" s="1"/>
  <c r="AK160" i="16"/>
  <c r="AU160" i="16" s="1"/>
  <c r="AJ160" i="16"/>
  <c r="AI160" i="16"/>
  <c r="AH160" i="16"/>
  <c r="AG160" i="16"/>
  <c r="AF160" i="16"/>
  <c r="AR160" i="16" s="1"/>
  <c r="AB160" i="16"/>
  <c r="AA160" i="16"/>
  <c r="Z160" i="16"/>
  <c r="Y160" i="16"/>
  <c r="X160" i="16"/>
  <c r="W160" i="16"/>
  <c r="V160" i="16"/>
  <c r="U160" i="16"/>
  <c r="T160" i="16"/>
  <c r="S160" i="16"/>
  <c r="R160" i="16"/>
  <c r="Q160" i="16"/>
  <c r="AC160" i="16" s="1"/>
  <c r="M160" i="16"/>
  <c r="L160" i="16"/>
  <c r="K160" i="16"/>
  <c r="J160" i="16"/>
  <c r="I160" i="16"/>
  <c r="H160" i="16"/>
  <c r="G160" i="16"/>
  <c r="F160" i="16"/>
  <c r="E160" i="16"/>
  <c r="D160" i="16"/>
  <c r="C160" i="16"/>
  <c r="B160" i="16"/>
  <c r="N160" i="16" s="1"/>
  <c r="O162" i="16" s="1"/>
  <c r="AQ159" i="16"/>
  <c r="AP159" i="16"/>
  <c r="AO159" i="16"/>
  <c r="AN159" i="16"/>
  <c r="AM159" i="16"/>
  <c r="AW159" i="16" s="1"/>
  <c r="AL159" i="16"/>
  <c r="AV159" i="16" s="1"/>
  <c r="AK159" i="16"/>
  <c r="AU159" i="16" s="1"/>
  <c r="AJ159" i="16"/>
  <c r="AI159" i="16"/>
  <c r="AH159" i="16"/>
  <c r="AG159" i="16"/>
  <c r="AF159" i="16"/>
  <c r="AR159" i="16" s="1"/>
  <c r="AB159" i="16"/>
  <c r="AA159" i="16"/>
  <c r="Z159" i="16"/>
  <c r="Y159" i="16"/>
  <c r="X159" i="16"/>
  <c r="W159" i="16"/>
  <c r="V159" i="16"/>
  <c r="U159" i="16"/>
  <c r="T159" i="16"/>
  <c r="S159" i="16"/>
  <c r="R159" i="16"/>
  <c r="Q159" i="16"/>
  <c r="AC159" i="16" s="1"/>
  <c r="M159" i="16"/>
  <c r="L159" i="16"/>
  <c r="K159" i="16"/>
  <c r="J159" i="16"/>
  <c r="I159" i="16"/>
  <c r="H159" i="16"/>
  <c r="G159" i="16"/>
  <c r="F159" i="16"/>
  <c r="E159" i="16"/>
  <c r="D159" i="16"/>
  <c r="C159" i="16"/>
  <c r="B159" i="16"/>
  <c r="N159" i="16" s="1"/>
  <c r="AQ158" i="16"/>
  <c r="AP158" i="16"/>
  <c r="AO158" i="16"/>
  <c r="AN158" i="16"/>
  <c r="AM158" i="16"/>
  <c r="AW158" i="16" s="1"/>
  <c r="AL158" i="16"/>
  <c r="AV158" i="16" s="1"/>
  <c r="AK158" i="16"/>
  <c r="AU158" i="16" s="1"/>
  <c r="AJ158" i="16"/>
  <c r="AI158" i="16"/>
  <c r="AH158" i="16"/>
  <c r="AG158" i="16"/>
  <c r="AF158" i="16"/>
  <c r="AR158" i="16" s="1"/>
  <c r="AB158" i="16"/>
  <c r="AA158" i="16"/>
  <c r="Z158" i="16"/>
  <c r="Y158" i="16"/>
  <c r="X158" i="16"/>
  <c r="W158" i="16"/>
  <c r="V158" i="16"/>
  <c r="U158" i="16"/>
  <c r="T158" i="16"/>
  <c r="S158" i="16"/>
  <c r="R158" i="16"/>
  <c r="Q158" i="16"/>
  <c r="AC158" i="16" s="1"/>
  <c r="M158" i="16"/>
  <c r="L158" i="16"/>
  <c r="K158" i="16"/>
  <c r="J158" i="16"/>
  <c r="I158" i="16"/>
  <c r="H158" i="16"/>
  <c r="G158" i="16"/>
  <c r="F158" i="16"/>
  <c r="E158" i="16"/>
  <c r="D158" i="16"/>
  <c r="C158" i="16"/>
  <c r="B158" i="16"/>
  <c r="N158" i="16" s="1"/>
  <c r="AQ157" i="16"/>
  <c r="AP157" i="16"/>
  <c r="AO157" i="16"/>
  <c r="AN157" i="16"/>
  <c r="AM157" i="16"/>
  <c r="AW157" i="16" s="1"/>
  <c r="AL157" i="16"/>
  <c r="AV157" i="16" s="1"/>
  <c r="AK157" i="16"/>
  <c r="AU157" i="16" s="1"/>
  <c r="AJ157" i="16"/>
  <c r="AI157" i="16"/>
  <c r="AH157" i="16"/>
  <c r="AG157" i="16"/>
  <c r="AF157" i="16"/>
  <c r="AR157" i="16" s="1"/>
  <c r="AB157" i="16"/>
  <c r="AA157" i="16"/>
  <c r="Z157" i="16"/>
  <c r="Y157" i="16"/>
  <c r="X157" i="16"/>
  <c r="W157" i="16"/>
  <c r="V157" i="16"/>
  <c r="U157" i="16"/>
  <c r="T157" i="16"/>
  <c r="S157" i="16"/>
  <c r="R157" i="16"/>
  <c r="Q157" i="16"/>
  <c r="AC157" i="16" s="1"/>
  <c r="M157" i="16"/>
  <c r="L157" i="16"/>
  <c r="K157" i="16"/>
  <c r="J157" i="16"/>
  <c r="I157" i="16"/>
  <c r="H157" i="16"/>
  <c r="G157" i="16"/>
  <c r="F157" i="16"/>
  <c r="E157" i="16"/>
  <c r="D157" i="16"/>
  <c r="C157" i="16"/>
  <c r="B157" i="16"/>
  <c r="N157" i="16" s="1"/>
  <c r="O159" i="16" s="1"/>
  <c r="AQ156" i="16"/>
  <c r="AP156" i="16"/>
  <c r="AO156" i="16"/>
  <c r="AN156" i="16"/>
  <c r="AM156" i="16"/>
  <c r="AW156" i="16" s="1"/>
  <c r="AL156" i="16"/>
  <c r="AV156" i="16" s="1"/>
  <c r="AK156" i="16"/>
  <c r="AU156" i="16" s="1"/>
  <c r="AJ156" i="16"/>
  <c r="AI156" i="16"/>
  <c r="AH156" i="16"/>
  <c r="AG156" i="16"/>
  <c r="AF156" i="16"/>
  <c r="AR156" i="16" s="1"/>
  <c r="AB156" i="16"/>
  <c r="AA156" i="16"/>
  <c r="Z156" i="16"/>
  <c r="Y156" i="16"/>
  <c r="X156" i="16"/>
  <c r="W156" i="16"/>
  <c r="V156" i="16"/>
  <c r="U156" i="16"/>
  <c r="T156" i="16"/>
  <c r="S156" i="16"/>
  <c r="R156" i="16"/>
  <c r="Q156" i="16"/>
  <c r="AC156" i="16" s="1"/>
  <c r="M156" i="16"/>
  <c r="L156" i="16"/>
  <c r="K156" i="16"/>
  <c r="J156" i="16"/>
  <c r="I156" i="16"/>
  <c r="H156" i="16"/>
  <c r="G156" i="16"/>
  <c r="F156" i="16"/>
  <c r="E156" i="16"/>
  <c r="D156" i="16"/>
  <c r="C156" i="16"/>
  <c r="B156" i="16"/>
  <c r="N156" i="16" s="1"/>
  <c r="AQ155" i="16"/>
  <c r="AP155" i="16"/>
  <c r="AO155" i="16"/>
  <c r="AN155" i="16"/>
  <c r="AM155" i="16"/>
  <c r="AW155" i="16" s="1"/>
  <c r="AL155" i="16"/>
  <c r="AV155" i="16" s="1"/>
  <c r="AK155" i="16"/>
  <c r="AU155" i="16" s="1"/>
  <c r="AJ155" i="16"/>
  <c r="AI155" i="16"/>
  <c r="AH155" i="16"/>
  <c r="AG155" i="16"/>
  <c r="AF155" i="16"/>
  <c r="AR155" i="16" s="1"/>
  <c r="AB155" i="16"/>
  <c r="AA155" i="16"/>
  <c r="Z155" i="16"/>
  <c r="Y155" i="16"/>
  <c r="X155" i="16"/>
  <c r="W155" i="16"/>
  <c r="V155" i="16"/>
  <c r="U155" i="16"/>
  <c r="T155" i="16"/>
  <c r="S155" i="16"/>
  <c r="R155" i="16"/>
  <c r="Q155" i="16"/>
  <c r="AC155" i="16" s="1"/>
  <c r="M155" i="16"/>
  <c r="L155" i="16"/>
  <c r="K155" i="16"/>
  <c r="J155" i="16"/>
  <c r="I155" i="16"/>
  <c r="H155" i="16"/>
  <c r="G155" i="16"/>
  <c r="F155" i="16"/>
  <c r="E155" i="16"/>
  <c r="D155" i="16"/>
  <c r="C155" i="16"/>
  <c r="B155" i="16"/>
  <c r="N155" i="16" s="1"/>
  <c r="AQ154" i="16"/>
  <c r="AP154" i="16"/>
  <c r="AO154" i="16"/>
  <c r="AN154" i="16"/>
  <c r="AM154" i="16"/>
  <c r="AW154" i="16" s="1"/>
  <c r="AL154" i="16"/>
  <c r="AV154" i="16" s="1"/>
  <c r="AK154" i="16"/>
  <c r="AU154" i="16" s="1"/>
  <c r="AJ154" i="16"/>
  <c r="AI154" i="16"/>
  <c r="AH154" i="16"/>
  <c r="AG154" i="16"/>
  <c r="AF154" i="16"/>
  <c r="AR154" i="16" s="1"/>
  <c r="AB154" i="16"/>
  <c r="AA154" i="16"/>
  <c r="Z154" i="16"/>
  <c r="Y154" i="16"/>
  <c r="X154" i="16"/>
  <c r="W154" i="16"/>
  <c r="V154" i="16"/>
  <c r="U154" i="16"/>
  <c r="T154" i="16"/>
  <c r="S154" i="16"/>
  <c r="R154" i="16"/>
  <c r="Q154" i="16"/>
  <c r="AC154" i="16" s="1"/>
  <c r="M154" i="16"/>
  <c r="L154" i="16"/>
  <c r="K154" i="16"/>
  <c r="J154" i="16"/>
  <c r="I154" i="16"/>
  <c r="H154" i="16"/>
  <c r="G154" i="16"/>
  <c r="F154" i="16"/>
  <c r="E154" i="16"/>
  <c r="D154" i="16"/>
  <c r="C154" i="16"/>
  <c r="B154" i="16"/>
  <c r="N154" i="16" s="1"/>
  <c r="O156" i="16" s="1"/>
  <c r="AQ153" i="16"/>
  <c r="AP153" i="16"/>
  <c r="AO153" i="16"/>
  <c r="AN153" i="16"/>
  <c r="AM153" i="16"/>
  <c r="AW153" i="16" s="1"/>
  <c r="AL153" i="16"/>
  <c r="AV153" i="16" s="1"/>
  <c r="AK153" i="16"/>
  <c r="AU153" i="16" s="1"/>
  <c r="AJ153" i="16"/>
  <c r="AI153" i="16"/>
  <c r="AH153" i="16"/>
  <c r="AG153" i="16"/>
  <c r="AF153" i="16"/>
  <c r="AR153" i="16" s="1"/>
  <c r="AB153" i="16"/>
  <c r="AA153" i="16"/>
  <c r="Z153" i="16"/>
  <c r="Y153" i="16"/>
  <c r="X153" i="16"/>
  <c r="W153" i="16"/>
  <c r="V153" i="16"/>
  <c r="U153" i="16"/>
  <c r="T153" i="16"/>
  <c r="S153" i="16"/>
  <c r="R153" i="16"/>
  <c r="Q153" i="16"/>
  <c r="AC153" i="16" s="1"/>
  <c r="M153" i="16"/>
  <c r="L153" i="16"/>
  <c r="K153" i="16"/>
  <c r="J153" i="16"/>
  <c r="I153" i="16"/>
  <c r="H153" i="16"/>
  <c r="G153" i="16"/>
  <c r="F153" i="16"/>
  <c r="E153" i="16"/>
  <c r="D153" i="16"/>
  <c r="C153" i="16"/>
  <c r="B153" i="16"/>
  <c r="N153" i="16" s="1"/>
  <c r="AQ152" i="16"/>
  <c r="AP152" i="16"/>
  <c r="AO152" i="16"/>
  <c r="AN152" i="16"/>
  <c r="AM152" i="16"/>
  <c r="AW152" i="16" s="1"/>
  <c r="AL152" i="16"/>
  <c r="AV152" i="16" s="1"/>
  <c r="AK152" i="16"/>
  <c r="AU152" i="16" s="1"/>
  <c r="AJ152" i="16"/>
  <c r="AI152" i="16"/>
  <c r="AH152" i="16"/>
  <c r="AG152" i="16"/>
  <c r="AF152" i="16"/>
  <c r="AR152" i="16" s="1"/>
  <c r="AB152" i="16"/>
  <c r="AA152" i="16"/>
  <c r="Z152" i="16"/>
  <c r="Y152" i="16"/>
  <c r="X152" i="16"/>
  <c r="W152" i="16"/>
  <c r="V152" i="16"/>
  <c r="U152" i="16"/>
  <c r="T152" i="16"/>
  <c r="S152" i="16"/>
  <c r="R152" i="16"/>
  <c r="Q152" i="16"/>
  <c r="AC152" i="16" s="1"/>
  <c r="M152" i="16"/>
  <c r="L152" i="16"/>
  <c r="K152" i="16"/>
  <c r="J152" i="16"/>
  <c r="I152" i="16"/>
  <c r="H152" i="16"/>
  <c r="G152" i="16"/>
  <c r="F152" i="16"/>
  <c r="E152" i="16"/>
  <c r="D152" i="16"/>
  <c r="C152" i="16"/>
  <c r="B152" i="16"/>
  <c r="N152" i="16" s="1"/>
  <c r="AQ151" i="16"/>
  <c r="AQ163" i="16" s="1"/>
  <c r="AP151" i="16"/>
  <c r="AP163" i="16" s="1"/>
  <c r="AO151" i="16"/>
  <c r="AO163" i="16" s="1"/>
  <c r="AN151" i="16"/>
  <c r="AN163" i="16" s="1"/>
  <c r="AM151" i="16"/>
  <c r="AM163" i="16" s="1"/>
  <c r="AL151" i="16"/>
  <c r="AL163" i="16" s="1"/>
  <c r="AK151" i="16"/>
  <c r="AK163" i="16" s="1"/>
  <c r="AJ151" i="16"/>
  <c r="AJ163" i="16" s="1"/>
  <c r="AI151" i="16"/>
  <c r="AI163" i="16" s="1"/>
  <c r="AH151" i="16"/>
  <c r="AH163" i="16" s="1"/>
  <c r="AG151" i="16"/>
  <c r="AG163" i="16" s="1"/>
  <c r="AF151" i="16"/>
  <c r="AF163" i="16" s="1"/>
  <c r="AR163" i="16" s="1"/>
  <c r="AB151" i="16"/>
  <c r="AB163" i="16" s="1"/>
  <c r="AA151" i="16"/>
  <c r="AA163" i="16" s="1"/>
  <c r="Z151" i="16"/>
  <c r="Z163" i="16" s="1"/>
  <c r="Y151" i="16"/>
  <c r="Y163" i="16" s="1"/>
  <c r="X151" i="16"/>
  <c r="X163" i="16" s="1"/>
  <c r="W151" i="16"/>
  <c r="W163" i="16" s="1"/>
  <c r="V151" i="16"/>
  <c r="V163" i="16" s="1"/>
  <c r="U151" i="16"/>
  <c r="U163" i="16" s="1"/>
  <c r="T151" i="16"/>
  <c r="T163" i="16" s="1"/>
  <c r="S151" i="16"/>
  <c r="S163" i="16" s="1"/>
  <c r="R151" i="16"/>
  <c r="R163" i="16" s="1"/>
  <c r="Q151" i="16"/>
  <c r="Q163" i="16" s="1"/>
  <c r="AC163" i="16" s="1"/>
  <c r="M151" i="16"/>
  <c r="M163" i="16" s="1"/>
  <c r="L151" i="16"/>
  <c r="L163" i="16" s="1"/>
  <c r="K151" i="16"/>
  <c r="K163" i="16" s="1"/>
  <c r="J151" i="16"/>
  <c r="J163" i="16" s="1"/>
  <c r="I151" i="16"/>
  <c r="I163" i="16" s="1"/>
  <c r="H151" i="16"/>
  <c r="H163" i="16" s="1"/>
  <c r="G151" i="16"/>
  <c r="G163" i="16" s="1"/>
  <c r="F151" i="16"/>
  <c r="F163" i="16" s="1"/>
  <c r="E151" i="16"/>
  <c r="E163" i="16" s="1"/>
  <c r="D151" i="16"/>
  <c r="D163" i="16" s="1"/>
  <c r="C151" i="16"/>
  <c r="C163" i="16" s="1"/>
  <c r="B151" i="16"/>
  <c r="B163" i="16" s="1"/>
  <c r="N163" i="16" s="1"/>
  <c r="AQ162" i="4"/>
  <c r="AP162" i="4"/>
  <c r="AO162" i="4"/>
  <c r="AN162" i="4"/>
  <c r="AM162" i="4"/>
  <c r="AW162" i="4" s="1"/>
  <c r="AL162" i="4"/>
  <c r="AV162" i="4" s="1"/>
  <c r="AK162" i="4"/>
  <c r="AU162" i="4" s="1"/>
  <c r="AJ162" i="4"/>
  <c r="AI162" i="4"/>
  <c r="AH162" i="4"/>
  <c r="AG162" i="4"/>
  <c r="AF162" i="4"/>
  <c r="AR162" i="4" s="1"/>
  <c r="AB162" i="4"/>
  <c r="AA162" i="4"/>
  <c r="Z162" i="4"/>
  <c r="Y162" i="4"/>
  <c r="X162" i="4"/>
  <c r="W162" i="4"/>
  <c r="V162" i="4"/>
  <c r="U162" i="4"/>
  <c r="T162" i="4"/>
  <c r="S162" i="4"/>
  <c r="R162" i="4"/>
  <c r="Q162" i="4"/>
  <c r="AC162" i="4" s="1"/>
  <c r="M162" i="4"/>
  <c r="L162" i="4"/>
  <c r="K162" i="4"/>
  <c r="J162" i="4"/>
  <c r="I162" i="4"/>
  <c r="H162" i="4"/>
  <c r="G162" i="4"/>
  <c r="F162" i="4"/>
  <c r="E162" i="4"/>
  <c r="D162" i="4"/>
  <c r="C162" i="4"/>
  <c r="B162" i="4"/>
  <c r="N162" i="4" s="1"/>
  <c r="AQ161" i="4"/>
  <c r="AP161" i="4"/>
  <c r="AO161" i="4"/>
  <c r="AN161" i="4"/>
  <c r="AM161" i="4"/>
  <c r="AW161" i="4" s="1"/>
  <c r="AL161" i="4"/>
  <c r="AV161" i="4" s="1"/>
  <c r="AK161" i="4"/>
  <c r="AU161" i="4" s="1"/>
  <c r="AJ161" i="4"/>
  <c r="AI161" i="4"/>
  <c r="AH161" i="4"/>
  <c r="AG161" i="4"/>
  <c r="AF161" i="4"/>
  <c r="AR161" i="4" s="1"/>
  <c r="AB161" i="4"/>
  <c r="AA161" i="4"/>
  <c r="Z161" i="4"/>
  <c r="Y161" i="4"/>
  <c r="X161" i="4"/>
  <c r="W161" i="4"/>
  <c r="V161" i="4"/>
  <c r="U161" i="4"/>
  <c r="T161" i="4"/>
  <c r="S161" i="4"/>
  <c r="R161" i="4"/>
  <c r="Q161" i="4"/>
  <c r="AC161" i="4" s="1"/>
  <c r="M161" i="4"/>
  <c r="L161" i="4"/>
  <c r="K161" i="4"/>
  <c r="J161" i="4"/>
  <c r="I161" i="4"/>
  <c r="H161" i="4"/>
  <c r="G161" i="4"/>
  <c r="F161" i="4"/>
  <c r="E161" i="4"/>
  <c r="D161" i="4"/>
  <c r="C161" i="4"/>
  <c r="B161" i="4"/>
  <c r="N161" i="4" s="1"/>
  <c r="AQ160" i="4"/>
  <c r="AP160" i="4"/>
  <c r="AO160" i="4"/>
  <c r="AN160" i="4"/>
  <c r="AM160" i="4"/>
  <c r="AW160" i="4" s="1"/>
  <c r="AL160" i="4"/>
  <c r="AV160" i="4" s="1"/>
  <c r="AK160" i="4"/>
  <c r="AU160" i="4" s="1"/>
  <c r="AJ160" i="4"/>
  <c r="AI160" i="4"/>
  <c r="AH160" i="4"/>
  <c r="AG160" i="4"/>
  <c r="AF160" i="4"/>
  <c r="AR160" i="4" s="1"/>
  <c r="AB160" i="4"/>
  <c r="AA160" i="4"/>
  <c r="Z160" i="4"/>
  <c r="Y160" i="4"/>
  <c r="X160" i="4"/>
  <c r="W160" i="4"/>
  <c r="V160" i="4"/>
  <c r="U160" i="4"/>
  <c r="T160" i="4"/>
  <c r="S160" i="4"/>
  <c r="R160" i="4"/>
  <c r="Q160" i="4"/>
  <c r="AC160" i="4" s="1"/>
  <c r="M160" i="4"/>
  <c r="L160" i="4"/>
  <c r="K160" i="4"/>
  <c r="J160" i="4"/>
  <c r="I160" i="4"/>
  <c r="H160" i="4"/>
  <c r="G160" i="4"/>
  <c r="F160" i="4"/>
  <c r="E160" i="4"/>
  <c r="D160" i="4"/>
  <c r="C160" i="4"/>
  <c r="B160" i="4"/>
  <c r="N160" i="4" s="1"/>
  <c r="O162" i="4" s="1"/>
  <c r="AQ159" i="4"/>
  <c r="AP159" i="4"/>
  <c r="AO159" i="4"/>
  <c r="AN159" i="4"/>
  <c r="AM159" i="4"/>
  <c r="AW159" i="4" s="1"/>
  <c r="AL159" i="4"/>
  <c r="AV159" i="4" s="1"/>
  <c r="AK159" i="4"/>
  <c r="AU159" i="4" s="1"/>
  <c r="AJ159" i="4"/>
  <c r="AI159" i="4"/>
  <c r="AH159" i="4"/>
  <c r="AG159" i="4"/>
  <c r="AF159" i="4"/>
  <c r="AR159" i="4" s="1"/>
  <c r="AB159" i="4"/>
  <c r="AA159" i="4"/>
  <c r="Z159" i="4"/>
  <c r="Y159" i="4"/>
  <c r="X159" i="4"/>
  <c r="W159" i="4"/>
  <c r="V159" i="4"/>
  <c r="U159" i="4"/>
  <c r="T159" i="4"/>
  <c r="S159" i="4"/>
  <c r="R159" i="4"/>
  <c r="Q159" i="4"/>
  <c r="AC159" i="4" s="1"/>
  <c r="M159" i="4"/>
  <c r="L159" i="4"/>
  <c r="K159" i="4"/>
  <c r="J159" i="4"/>
  <c r="I159" i="4"/>
  <c r="H159" i="4"/>
  <c r="G159" i="4"/>
  <c r="F159" i="4"/>
  <c r="E159" i="4"/>
  <c r="D159" i="4"/>
  <c r="C159" i="4"/>
  <c r="B159" i="4"/>
  <c r="N159" i="4" s="1"/>
  <c r="AQ158" i="4"/>
  <c r="AP158" i="4"/>
  <c r="AO158" i="4"/>
  <c r="AN158" i="4"/>
  <c r="AM158" i="4"/>
  <c r="AW158" i="4" s="1"/>
  <c r="AL158" i="4"/>
  <c r="AV158" i="4" s="1"/>
  <c r="AK158" i="4"/>
  <c r="AU158" i="4" s="1"/>
  <c r="AJ158" i="4"/>
  <c r="AI158" i="4"/>
  <c r="AH158" i="4"/>
  <c r="AG158" i="4"/>
  <c r="AF158" i="4"/>
  <c r="AR158" i="4" s="1"/>
  <c r="AB158" i="4"/>
  <c r="AA158" i="4"/>
  <c r="Z158" i="4"/>
  <c r="Y158" i="4"/>
  <c r="X158" i="4"/>
  <c r="W158" i="4"/>
  <c r="V158" i="4"/>
  <c r="U158" i="4"/>
  <c r="T158" i="4"/>
  <c r="S158" i="4"/>
  <c r="R158" i="4"/>
  <c r="Q158" i="4"/>
  <c r="AC158" i="4" s="1"/>
  <c r="M158" i="4"/>
  <c r="L158" i="4"/>
  <c r="K158" i="4"/>
  <c r="J158" i="4"/>
  <c r="I158" i="4"/>
  <c r="H158" i="4"/>
  <c r="G158" i="4"/>
  <c r="F158" i="4"/>
  <c r="E158" i="4"/>
  <c r="D158" i="4"/>
  <c r="C158" i="4"/>
  <c r="B158" i="4"/>
  <c r="N158" i="4" s="1"/>
  <c r="AQ157" i="4"/>
  <c r="AP157" i="4"/>
  <c r="AO157" i="4"/>
  <c r="AN157" i="4"/>
  <c r="AM157" i="4"/>
  <c r="AW157" i="4" s="1"/>
  <c r="AL157" i="4"/>
  <c r="AV157" i="4" s="1"/>
  <c r="AK157" i="4"/>
  <c r="AU157" i="4" s="1"/>
  <c r="AJ157" i="4"/>
  <c r="AI157" i="4"/>
  <c r="AH157" i="4"/>
  <c r="AG157" i="4"/>
  <c r="AF157" i="4"/>
  <c r="AR157" i="4" s="1"/>
  <c r="AB157" i="4"/>
  <c r="AA157" i="4"/>
  <c r="Z157" i="4"/>
  <c r="Y157" i="4"/>
  <c r="X157" i="4"/>
  <c r="W157" i="4"/>
  <c r="V157" i="4"/>
  <c r="U157" i="4"/>
  <c r="T157" i="4"/>
  <c r="S157" i="4"/>
  <c r="R157" i="4"/>
  <c r="Q157" i="4"/>
  <c r="AC157" i="4" s="1"/>
  <c r="M157" i="4"/>
  <c r="L157" i="4"/>
  <c r="K157" i="4"/>
  <c r="J157" i="4"/>
  <c r="I157" i="4"/>
  <c r="H157" i="4"/>
  <c r="G157" i="4"/>
  <c r="F157" i="4"/>
  <c r="E157" i="4"/>
  <c r="D157" i="4"/>
  <c r="C157" i="4"/>
  <c r="B157" i="4"/>
  <c r="N157" i="4" s="1"/>
  <c r="O159" i="4" s="1"/>
  <c r="AQ156" i="4"/>
  <c r="AP156" i="4"/>
  <c r="AO156" i="4"/>
  <c r="AN156" i="4"/>
  <c r="AM156" i="4"/>
  <c r="AW156" i="4" s="1"/>
  <c r="AL156" i="4"/>
  <c r="AV156" i="4" s="1"/>
  <c r="AK156" i="4"/>
  <c r="AU156" i="4" s="1"/>
  <c r="AJ156" i="4"/>
  <c r="AI156" i="4"/>
  <c r="AH156" i="4"/>
  <c r="AG156" i="4"/>
  <c r="AF156" i="4"/>
  <c r="AR156" i="4" s="1"/>
  <c r="AB156" i="4"/>
  <c r="AA156" i="4"/>
  <c r="Z156" i="4"/>
  <c r="Y156" i="4"/>
  <c r="X156" i="4"/>
  <c r="W156" i="4"/>
  <c r="V156" i="4"/>
  <c r="U156" i="4"/>
  <c r="T156" i="4"/>
  <c r="S156" i="4"/>
  <c r="R156" i="4"/>
  <c r="Q156" i="4"/>
  <c r="AC156" i="4" s="1"/>
  <c r="M156" i="4"/>
  <c r="L156" i="4"/>
  <c r="K156" i="4"/>
  <c r="J156" i="4"/>
  <c r="I156" i="4"/>
  <c r="H156" i="4"/>
  <c r="G156" i="4"/>
  <c r="F156" i="4"/>
  <c r="E156" i="4"/>
  <c r="D156" i="4"/>
  <c r="C156" i="4"/>
  <c r="B156" i="4"/>
  <c r="N156" i="4" s="1"/>
  <c r="AQ155" i="4"/>
  <c r="AP155" i="4"/>
  <c r="AO155" i="4"/>
  <c r="AN155" i="4"/>
  <c r="AM155" i="4"/>
  <c r="AW155" i="4" s="1"/>
  <c r="AL155" i="4"/>
  <c r="AV155" i="4" s="1"/>
  <c r="AK155" i="4"/>
  <c r="AU155" i="4" s="1"/>
  <c r="AJ155" i="4"/>
  <c r="AI155" i="4"/>
  <c r="AH155" i="4"/>
  <c r="AG155" i="4"/>
  <c r="AF155" i="4"/>
  <c r="AR155" i="4" s="1"/>
  <c r="AB155" i="4"/>
  <c r="AA155" i="4"/>
  <c r="Z155" i="4"/>
  <c r="Y155" i="4"/>
  <c r="X155" i="4"/>
  <c r="W155" i="4"/>
  <c r="V155" i="4"/>
  <c r="U155" i="4"/>
  <c r="T155" i="4"/>
  <c r="S155" i="4"/>
  <c r="R155" i="4"/>
  <c r="Q155" i="4"/>
  <c r="AC155" i="4" s="1"/>
  <c r="M155" i="4"/>
  <c r="L155" i="4"/>
  <c r="K155" i="4"/>
  <c r="J155" i="4"/>
  <c r="I155" i="4"/>
  <c r="H155" i="4"/>
  <c r="G155" i="4"/>
  <c r="F155" i="4"/>
  <c r="E155" i="4"/>
  <c r="D155" i="4"/>
  <c r="C155" i="4"/>
  <c r="B155" i="4"/>
  <c r="N155" i="4" s="1"/>
  <c r="AQ154" i="4"/>
  <c r="AP154" i="4"/>
  <c r="AO154" i="4"/>
  <c r="AN154" i="4"/>
  <c r="AM154" i="4"/>
  <c r="AW154" i="4" s="1"/>
  <c r="AL154" i="4"/>
  <c r="AV154" i="4" s="1"/>
  <c r="AK154" i="4"/>
  <c r="AU154" i="4" s="1"/>
  <c r="AJ154" i="4"/>
  <c r="AI154" i="4"/>
  <c r="AH154" i="4"/>
  <c r="AG154" i="4"/>
  <c r="AF154" i="4"/>
  <c r="AR154" i="4" s="1"/>
  <c r="AB154" i="4"/>
  <c r="AA154" i="4"/>
  <c r="Z154" i="4"/>
  <c r="Y154" i="4"/>
  <c r="X154" i="4"/>
  <c r="W154" i="4"/>
  <c r="V154" i="4"/>
  <c r="U154" i="4"/>
  <c r="T154" i="4"/>
  <c r="S154" i="4"/>
  <c r="R154" i="4"/>
  <c r="Q154" i="4"/>
  <c r="AC154" i="4" s="1"/>
  <c r="M154" i="4"/>
  <c r="L154" i="4"/>
  <c r="K154" i="4"/>
  <c r="J154" i="4"/>
  <c r="I154" i="4"/>
  <c r="H154" i="4"/>
  <c r="G154" i="4"/>
  <c r="F154" i="4"/>
  <c r="E154" i="4"/>
  <c r="D154" i="4"/>
  <c r="C154" i="4"/>
  <c r="B154" i="4"/>
  <c r="N154" i="4" s="1"/>
  <c r="O156" i="4" s="1"/>
  <c r="AQ153" i="4"/>
  <c r="AP153" i="4"/>
  <c r="AO153" i="4"/>
  <c r="AN153" i="4"/>
  <c r="AM153" i="4"/>
  <c r="AW153" i="4" s="1"/>
  <c r="AL153" i="4"/>
  <c r="AV153" i="4" s="1"/>
  <c r="AK153" i="4"/>
  <c r="AU153" i="4" s="1"/>
  <c r="AJ153" i="4"/>
  <c r="AI153" i="4"/>
  <c r="AH153" i="4"/>
  <c r="AG153" i="4"/>
  <c r="AF153" i="4"/>
  <c r="AR153" i="4" s="1"/>
  <c r="AB153" i="4"/>
  <c r="AA153" i="4"/>
  <c r="Z153" i="4"/>
  <c r="Y153" i="4"/>
  <c r="X153" i="4"/>
  <c r="W153" i="4"/>
  <c r="V153" i="4"/>
  <c r="U153" i="4"/>
  <c r="T153" i="4"/>
  <c r="S153" i="4"/>
  <c r="R153" i="4"/>
  <c r="Q153" i="4"/>
  <c r="AC153" i="4" s="1"/>
  <c r="M153" i="4"/>
  <c r="L153" i="4"/>
  <c r="K153" i="4"/>
  <c r="J153" i="4"/>
  <c r="I153" i="4"/>
  <c r="H153" i="4"/>
  <c r="G153" i="4"/>
  <c r="F153" i="4"/>
  <c r="E153" i="4"/>
  <c r="D153" i="4"/>
  <c r="C153" i="4"/>
  <c r="B153" i="4"/>
  <c r="N153" i="4" s="1"/>
  <c r="AQ152" i="4"/>
  <c r="AP152" i="4"/>
  <c r="AO152" i="4"/>
  <c r="AN152" i="4"/>
  <c r="AM152" i="4"/>
  <c r="AW152" i="4" s="1"/>
  <c r="AL152" i="4"/>
  <c r="AV152" i="4" s="1"/>
  <c r="AK152" i="4"/>
  <c r="AU152" i="4" s="1"/>
  <c r="AJ152" i="4"/>
  <c r="AI152" i="4"/>
  <c r="AH152" i="4"/>
  <c r="AG152" i="4"/>
  <c r="AF152" i="4"/>
  <c r="AR152" i="4" s="1"/>
  <c r="AB152" i="4"/>
  <c r="AA152" i="4"/>
  <c r="Z152" i="4"/>
  <c r="Y152" i="4"/>
  <c r="X152" i="4"/>
  <c r="W152" i="4"/>
  <c r="V152" i="4"/>
  <c r="U152" i="4"/>
  <c r="T152" i="4"/>
  <c r="S152" i="4"/>
  <c r="R152" i="4"/>
  <c r="Q152" i="4"/>
  <c r="AC152" i="4" s="1"/>
  <c r="M152" i="4"/>
  <c r="L152" i="4"/>
  <c r="K152" i="4"/>
  <c r="J152" i="4"/>
  <c r="I152" i="4"/>
  <c r="H152" i="4"/>
  <c r="G152" i="4"/>
  <c r="F152" i="4"/>
  <c r="E152" i="4"/>
  <c r="D152" i="4"/>
  <c r="C152" i="4"/>
  <c r="B152" i="4"/>
  <c r="N152" i="4" s="1"/>
  <c r="AQ151" i="4"/>
  <c r="AQ163" i="4" s="1"/>
  <c r="AP151" i="4"/>
  <c r="AP163" i="4" s="1"/>
  <c r="AO151" i="4"/>
  <c r="AO163" i="4" s="1"/>
  <c r="AN151" i="4"/>
  <c r="AN163" i="4" s="1"/>
  <c r="AM151" i="4"/>
  <c r="AM163" i="4" s="1"/>
  <c r="AL151" i="4"/>
  <c r="AL163" i="4" s="1"/>
  <c r="AK151" i="4"/>
  <c r="AK163" i="4" s="1"/>
  <c r="AJ151" i="4"/>
  <c r="AJ163" i="4" s="1"/>
  <c r="AI151" i="4"/>
  <c r="AI163" i="4" s="1"/>
  <c r="AH151" i="4"/>
  <c r="AH163" i="4" s="1"/>
  <c r="AG151" i="4"/>
  <c r="AG163" i="4" s="1"/>
  <c r="AF151" i="4"/>
  <c r="AF163" i="4" s="1"/>
  <c r="AR163" i="4" s="1"/>
  <c r="AB151" i="4"/>
  <c r="AB163" i="4" s="1"/>
  <c r="AA151" i="4"/>
  <c r="AA163" i="4" s="1"/>
  <c r="Z151" i="4"/>
  <c r="Z163" i="4" s="1"/>
  <c r="Y151" i="4"/>
  <c r="Y163" i="4" s="1"/>
  <c r="X151" i="4"/>
  <c r="X163" i="4" s="1"/>
  <c r="W151" i="4"/>
  <c r="W163" i="4" s="1"/>
  <c r="V151" i="4"/>
  <c r="V163" i="4" s="1"/>
  <c r="U151" i="4"/>
  <c r="U163" i="4" s="1"/>
  <c r="T151" i="4"/>
  <c r="T163" i="4" s="1"/>
  <c r="S151" i="4"/>
  <c r="S163" i="4" s="1"/>
  <c r="R151" i="4"/>
  <c r="R163" i="4" s="1"/>
  <c r="Q151" i="4"/>
  <c r="Q163" i="4" s="1"/>
  <c r="AC163" i="4" s="1"/>
  <c r="M151" i="4"/>
  <c r="M163" i="4" s="1"/>
  <c r="L151" i="4"/>
  <c r="L163" i="4" s="1"/>
  <c r="K151" i="4"/>
  <c r="K163" i="4" s="1"/>
  <c r="J151" i="4"/>
  <c r="J163" i="4" s="1"/>
  <c r="I151" i="4"/>
  <c r="I163" i="4" s="1"/>
  <c r="H151" i="4"/>
  <c r="H163" i="4" s="1"/>
  <c r="G151" i="4"/>
  <c r="G163" i="4" s="1"/>
  <c r="F151" i="4"/>
  <c r="F163" i="4" s="1"/>
  <c r="E151" i="4"/>
  <c r="E163" i="4" s="1"/>
  <c r="D151" i="4"/>
  <c r="D163" i="4" s="1"/>
  <c r="C151" i="4"/>
  <c r="C163" i="4" s="1"/>
  <c r="B151" i="4"/>
  <c r="B163" i="4" s="1"/>
  <c r="N163" i="4" s="1"/>
  <c r="AQ162" i="5"/>
  <c r="AP162" i="5"/>
  <c r="AO162" i="5"/>
  <c r="AN162" i="5"/>
  <c r="AM162" i="5"/>
  <c r="AW162" i="5" s="1"/>
  <c r="AL162" i="5"/>
  <c r="AV162" i="5" s="1"/>
  <c r="AK162" i="5"/>
  <c r="AU162" i="5" s="1"/>
  <c r="AJ162" i="5"/>
  <c r="AI162" i="5"/>
  <c r="AH162" i="5"/>
  <c r="AG162" i="5"/>
  <c r="AF162" i="5"/>
  <c r="AR162" i="5" s="1"/>
  <c r="AB162" i="5"/>
  <c r="AA162" i="5"/>
  <c r="Z162" i="5"/>
  <c r="Y162" i="5"/>
  <c r="X162" i="5"/>
  <c r="W162" i="5"/>
  <c r="V162" i="5"/>
  <c r="U162" i="5"/>
  <c r="T162" i="5"/>
  <c r="S162" i="5"/>
  <c r="R162" i="5"/>
  <c r="Q162" i="5"/>
  <c r="AC162" i="5" s="1"/>
  <c r="M162" i="5"/>
  <c r="L162" i="5"/>
  <c r="K162" i="5"/>
  <c r="J162" i="5"/>
  <c r="I162" i="5"/>
  <c r="H162" i="5"/>
  <c r="G162" i="5"/>
  <c r="F162" i="5"/>
  <c r="E162" i="5"/>
  <c r="D162" i="5"/>
  <c r="C162" i="5"/>
  <c r="B162" i="5"/>
  <c r="N162" i="5" s="1"/>
  <c r="AQ161" i="5"/>
  <c r="AP161" i="5"/>
  <c r="AO161" i="5"/>
  <c r="AN161" i="5"/>
  <c r="AM161" i="5"/>
  <c r="AW161" i="5" s="1"/>
  <c r="AL161" i="5"/>
  <c r="AV161" i="5" s="1"/>
  <c r="AK161" i="5"/>
  <c r="AU161" i="5" s="1"/>
  <c r="AJ161" i="5"/>
  <c r="AI161" i="5"/>
  <c r="AH161" i="5"/>
  <c r="AG161" i="5"/>
  <c r="AF161" i="5"/>
  <c r="AR161" i="5" s="1"/>
  <c r="AB161" i="5"/>
  <c r="AA161" i="5"/>
  <c r="Z161" i="5"/>
  <c r="Y161" i="5"/>
  <c r="X161" i="5"/>
  <c r="W161" i="5"/>
  <c r="V161" i="5"/>
  <c r="U161" i="5"/>
  <c r="T161" i="5"/>
  <c r="S161" i="5"/>
  <c r="R161" i="5"/>
  <c r="Q161" i="5"/>
  <c r="AC161" i="5" s="1"/>
  <c r="M161" i="5"/>
  <c r="L161" i="5"/>
  <c r="K161" i="5"/>
  <c r="J161" i="5"/>
  <c r="I161" i="5"/>
  <c r="H161" i="5"/>
  <c r="G161" i="5"/>
  <c r="F161" i="5"/>
  <c r="E161" i="5"/>
  <c r="D161" i="5"/>
  <c r="C161" i="5"/>
  <c r="B161" i="5"/>
  <c r="N161" i="5" s="1"/>
  <c r="AQ160" i="5"/>
  <c r="AP160" i="5"/>
  <c r="AO160" i="5"/>
  <c r="AN160" i="5"/>
  <c r="AM160" i="5"/>
  <c r="AW160" i="5" s="1"/>
  <c r="AL160" i="5"/>
  <c r="AV160" i="5" s="1"/>
  <c r="AK160" i="5"/>
  <c r="AU160" i="5" s="1"/>
  <c r="AJ160" i="5"/>
  <c r="AI160" i="5"/>
  <c r="AH160" i="5"/>
  <c r="AG160" i="5"/>
  <c r="AF160" i="5"/>
  <c r="AR160" i="5" s="1"/>
  <c r="AB160" i="5"/>
  <c r="AA160" i="5"/>
  <c r="Z160" i="5"/>
  <c r="Y160" i="5"/>
  <c r="X160" i="5"/>
  <c r="W160" i="5"/>
  <c r="V160" i="5"/>
  <c r="U160" i="5"/>
  <c r="T160" i="5"/>
  <c r="S160" i="5"/>
  <c r="R160" i="5"/>
  <c r="Q160" i="5"/>
  <c r="AC160" i="5" s="1"/>
  <c r="M160" i="5"/>
  <c r="L160" i="5"/>
  <c r="K160" i="5"/>
  <c r="J160" i="5"/>
  <c r="I160" i="5"/>
  <c r="H160" i="5"/>
  <c r="G160" i="5"/>
  <c r="F160" i="5"/>
  <c r="E160" i="5"/>
  <c r="D160" i="5"/>
  <c r="C160" i="5"/>
  <c r="B160" i="5"/>
  <c r="N160" i="5" s="1"/>
  <c r="O162" i="5" s="1"/>
  <c r="AQ159" i="5"/>
  <c r="AP159" i="5"/>
  <c r="AO159" i="5"/>
  <c r="AN159" i="5"/>
  <c r="AM159" i="5"/>
  <c r="AW159" i="5" s="1"/>
  <c r="AL159" i="5"/>
  <c r="AV159" i="5" s="1"/>
  <c r="AK159" i="5"/>
  <c r="AU159" i="5" s="1"/>
  <c r="AJ159" i="5"/>
  <c r="AI159" i="5"/>
  <c r="AH159" i="5"/>
  <c r="AG159" i="5"/>
  <c r="AF159" i="5"/>
  <c r="AR159" i="5" s="1"/>
  <c r="AB159" i="5"/>
  <c r="AA159" i="5"/>
  <c r="Z159" i="5"/>
  <c r="Y159" i="5"/>
  <c r="X159" i="5"/>
  <c r="W159" i="5"/>
  <c r="V159" i="5"/>
  <c r="U159" i="5"/>
  <c r="T159" i="5"/>
  <c r="S159" i="5"/>
  <c r="R159" i="5"/>
  <c r="Q159" i="5"/>
  <c r="AC159" i="5" s="1"/>
  <c r="M159" i="5"/>
  <c r="L159" i="5"/>
  <c r="K159" i="5"/>
  <c r="J159" i="5"/>
  <c r="I159" i="5"/>
  <c r="H159" i="5"/>
  <c r="G159" i="5"/>
  <c r="F159" i="5"/>
  <c r="E159" i="5"/>
  <c r="D159" i="5"/>
  <c r="C159" i="5"/>
  <c r="B159" i="5"/>
  <c r="N159" i="5" s="1"/>
  <c r="AQ158" i="5"/>
  <c r="AP158" i="5"/>
  <c r="AO158" i="5"/>
  <c r="AN158" i="5"/>
  <c r="AM158" i="5"/>
  <c r="AW158" i="5" s="1"/>
  <c r="AL158" i="5"/>
  <c r="AV158" i="5" s="1"/>
  <c r="AK158" i="5"/>
  <c r="AU158" i="5" s="1"/>
  <c r="AJ158" i="5"/>
  <c r="AI158" i="5"/>
  <c r="AH158" i="5"/>
  <c r="AG158" i="5"/>
  <c r="AF158" i="5"/>
  <c r="AR158" i="5" s="1"/>
  <c r="AB158" i="5"/>
  <c r="AA158" i="5"/>
  <c r="Z158" i="5"/>
  <c r="Y158" i="5"/>
  <c r="X158" i="5"/>
  <c r="W158" i="5"/>
  <c r="V158" i="5"/>
  <c r="U158" i="5"/>
  <c r="T158" i="5"/>
  <c r="S158" i="5"/>
  <c r="R158" i="5"/>
  <c r="Q158" i="5"/>
  <c r="AC158" i="5" s="1"/>
  <c r="M158" i="5"/>
  <c r="L158" i="5"/>
  <c r="K158" i="5"/>
  <c r="J158" i="5"/>
  <c r="I158" i="5"/>
  <c r="H158" i="5"/>
  <c r="G158" i="5"/>
  <c r="F158" i="5"/>
  <c r="E158" i="5"/>
  <c r="D158" i="5"/>
  <c r="C158" i="5"/>
  <c r="B158" i="5"/>
  <c r="N158" i="5" s="1"/>
  <c r="AQ157" i="5"/>
  <c r="AP157" i="5"/>
  <c r="AO157" i="5"/>
  <c r="AN157" i="5"/>
  <c r="AM157" i="5"/>
  <c r="AW157" i="5" s="1"/>
  <c r="AL157" i="5"/>
  <c r="AV157" i="5" s="1"/>
  <c r="AK157" i="5"/>
  <c r="AU157" i="5" s="1"/>
  <c r="AJ157" i="5"/>
  <c r="AI157" i="5"/>
  <c r="AH157" i="5"/>
  <c r="AG157" i="5"/>
  <c r="AF157" i="5"/>
  <c r="AR157" i="5" s="1"/>
  <c r="AB157" i="5"/>
  <c r="AA157" i="5"/>
  <c r="Z157" i="5"/>
  <c r="Y157" i="5"/>
  <c r="X157" i="5"/>
  <c r="W157" i="5"/>
  <c r="V157" i="5"/>
  <c r="U157" i="5"/>
  <c r="T157" i="5"/>
  <c r="S157" i="5"/>
  <c r="R157" i="5"/>
  <c r="Q157" i="5"/>
  <c r="AC157" i="5" s="1"/>
  <c r="M157" i="5"/>
  <c r="L157" i="5"/>
  <c r="K157" i="5"/>
  <c r="J157" i="5"/>
  <c r="I157" i="5"/>
  <c r="H157" i="5"/>
  <c r="G157" i="5"/>
  <c r="F157" i="5"/>
  <c r="E157" i="5"/>
  <c r="D157" i="5"/>
  <c r="C157" i="5"/>
  <c r="B157" i="5"/>
  <c r="N157" i="5" s="1"/>
  <c r="O159" i="5" s="1"/>
  <c r="AQ156" i="5"/>
  <c r="AP156" i="5"/>
  <c r="AO156" i="5"/>
  <c r="AN156" i="5"/>
  <c r="AM156" i="5"/>
  <c r="AW156" i="5" s="1"/>
  <c r="AL156" i="5"/>
  <c r="AV156" i="5" s="1"/>
  <c r="AK156" i="5"/>
  <c r="AU156" i="5" s="1"/>
  <c r="AJ156" i="5"/>
  <c r="AI156" i="5"/>
  <c r="AH156" i="5"/>
  <c r="AG156" i="5"/>
  <c r="AF156" i="5"/>
  <c r="AR156" i="5" s="1"/>
  <c r="AB156" i="5"/>
  <c r="AA156" i="5"/>
  <c r="Z156" i="5"/>
  <c r="Y156" i="5"/>
  <c r="X156" i="5"/>
  <c r="W156" i="5"/>
  <c r="V156" i="5"/>
  <c r="U156" i="5"/>
  <c r="T156" i="5"/>
  <c r="S156" i="5"/>
  <c r="R156" i="5"/>
  <c r="Q156" i="5"/>
  <c r="AC156" i="5" s="1"/>
  <c r="M156" i="5"/>
  <c r="L156" i="5"/>
  <c r="K156" i="5"/>
  <c r="J156" i="5"/>
  <c r="I156" i="5"/>
  <c r="H156" i="5"/>
  <c r="G156" i="5"/>
  <c r="F156" i="5"/>
  <c r="E156" i="5"/>
  <c r="D156" i="5"/>
  <c r="C156" i="5"/>
  <c r="B156" i="5"/>
  <c r="N156" i="5" s="1"/>
  <c r="AQ155" i="5"/>
  <c r="AP155" i="5"/>
  <c r="AO155" i="5"/>
  <c r="AN155" i="5"/>
  <c r="AM155" i="5"/>
  <c r="AW155" i="5" s="1"/>
  <c r="AL155" i="5"/>
  <c r="AV155" i="5" s="1"/>
  <c r="AK155" i="5"/>
  <c r="AU155" i="5" s="1"/>
  <c r="AJ155" i="5"/>
  <c r="AI155" i="5"/>
  <c r="AH155" i="5"/>
  <c r="AG155" i="5"/>
  <c r="AF155" i="5"/>
  <c r="AR155" i="5" s="1"/>
  <c r="AB155" i="5"/>
  <c r="AA155" i="5"/>
  <c r="Z155" i="5"/>
  <c r="Y155" i="5"/>
  <c r="X155" i="5"/>
  <c r="W155" i="5"/>
  <c r="V155" i="5"/>
  <c r="U155" i="5"/>
  <c r="T155" i="5"/>
  <c r="S155" i="5"/>
  <c r="R155" i="5"/>
  <c r="Q155" i="5"/>
  <c r="AC155" i="5" s="1"/>
  <c r="M155" i="5"/>
  <c r="L155" i="5"/>
  <c r="K155" i="5"/>
  <c r="J155" i="5"/>
  <c r="I155" i="5"/>
  <c r="H155" i="5"/>
  <c r="G155" i="5"/>
  <c r="F155" i="5"/>
  <c r="E155" i="5"/>
  <c r="D155" i="5"/>
  <c r="C155" i="5"/>
  <c r="B155" i="5"/>
  <c r="N155" i="5" s="1"/>
  <c r="AQ154" i="5"/>
  <c r="AP154" i="5"/>
  <c r="AO154" i="5"/>
  <c r="AN154" i="5"/>
  <c r="AM154" i="5"/>
  <c r="AW154" i="5" s="1"/>
  <c r="AL154" i="5"/>
  <c r="AV154" i="5" s="1"/>
  <c r="AK154" i="5"/>
  <c r="AU154" i="5" s="1"/>
  <c r="AJ154" i="5"/>
  <c r="AI154" i="5"/>
  <c r="AH154" i="5"/>
  <c r="AG154" i="5"/>
  <c r="AF154" i="5"/>
  <c r="AR154" i="5" s="1"/>
  <c r="AB154" i="5"/>
  <c r="AA154" i="5"/>
  <c r="Z154" i="5"/>
  <c r="Y154" i="5"/>
  <c r="X154" i="5"/>
  <c r="W154" i="5"/>
  <c r="V154" i="5"/>
  <c r="U154" i="5"/>
  <c r="T154" i="5"/>
  <c r="S154" i="5"/>
  <c r="R154" i="5"/>
  <c r="Q154" i="5"/>
  <c r="AC154" i="5" s="1"/>
  <c r="M154" i="5"/>
  <c r="L154" i="5"/>
  <c r="K154" i="5"/>
  <c r="J154" i="5"/>
  <c r="I154" i="5"/>
  <c r="H154" i="5"/>
  <c r="G154" i="5"/>
  <c r="F154" i="5"/>
  <c r="E154" i="5"/>
  <c r="D154" i="5"/>
  <c r="C154" i="5"/>
  <c r="B154" i="5"/>
  <c r="N154" i="5" s="1"/>
  <c r="O156" i="5" s="1"/>
  <c r="AQ153" i="5"/>
  <c r="AP153" i="5"/>
  <c r="AO153" i="5"/>
  <c r="AN153" i="5"/>
  <c r="AM153" i="5"/>
  <c r="AW153" i="5" s="1"/>
  <c r="AL153" i="5"/>
  <c r="AV153" i="5" s="1"/>
  <c r="AK153" i="5"/>
  <c r="AU153" i="5" s="1"/>
  <c r="AJ153" i="5"/>
  <c r="AI153" i="5"/>
  <c r="AH153" i="5"/>
  <c r="AG153" i="5"/>
  <c r="AF153" i="5"/>
  <c r="AR153" i="5" s="1"/>
  <c r="AB153" i="5"/>
  <c r="AA153" i="5"/>
  <c r="Z153" i="5"/>
  <c r="Y153" i="5"/>
  <c r="X153" i="5"/>
  <c r="W153" i="5"/>
  <c r="V153" i="5"/>
  <c r="U153" i="5"/>
  <c r="T153" i="5"/>
  <c r="S153" i="5"/>
  <c r="R153" i="5"/>
  <c r="Q153" i="5"/>
  <c r="AC153" i="5" s="1"/>
  <c r="M153" i="5"/>
  <c r="L153" i="5"/>
  <c r="K153" i="5"/>
  <c r="J153" i="5"/>
  <c r="I153" i="5"/>
  <c r="H153" i="5"/>
  <c r="G153" i="5"/>
  <c r="F153" i="5"/>
  <c r="E153" i="5"/>
  <c r="D153" i="5"/>
  <c r="C153" i="5"/>
  <c r="B153" i="5"/>
  <c r="N153" i="5" s="1"/>
  <c r="AQ152" i="5"/>
  <c r="AP152" i="5"/>
  <c r="AO152" i="5"/>
  <c r="AN152" i="5"/>
  <c r="AM152" i="5"/>
  <c r="AW152" i="5" s="1"/>
  <c r="AL152" i="5"/>
  <c r="AV152" i="5" s="1"/>
  <c r="AK152" i="5"/>
  <c r="AU152" i="5" s="1"/>
  <c r="AJ152" i="5"/>
  <c r="AI152" i="5"/>
  <c r="AH152" i="5"/>
  <c r="AG152" i="5"/>
  <c r="AF152" i="5"/>
  <c r="AR152" i="5" s="1"/>
  <c r="AB152" i="5"/>
  <c r="AA152" i="5"/>
  <c r="Z152" i="5"/>
  <c r="Y152" i="5"/>
  <c r="X152" i="5"/>
  <c r="W152" i="5"/>
  <c r="V152" i="5"/>
  <c r="U152" i="5"/>
  <c r="T152" i="5"/>
  <c r="S152" i="5"/>
  <c r="R152" i="5"/>
  <c r="Q152" i="5"/>
  <c r="AC152" i="5" s="1"/>
  <c r="M152" i="5"/>
  <c r="L152" i="5"/>
  <c r="K152" i="5"/>
  <c r="J152" i="5"/>
  <c r="I152" i="5"/>
  <c r="H152" i="5"/>
  <c r="G152" i="5"/>
  <c r="F152" i="5"/>
  <c r="E152" i="5"/>
  <c r="D152" i="5"/>
  <c r="C152" i="5"/>
  <c r="B152" i="5"/>
  <c r="N152" i="5" s="1"/>
  <c r="AQ151" i="5"/>
  <c r="AQ163" i="5" s="1"/>
  <c r="AP151" i="5"/>
  <c r="AP163" i="5" s="1"/>
  <c r="AO151" i="5"/>
  <c r="AO163" i="5" s="1"/>
  <c r="AN151" i="5"/>
  <c r="AN163" i="5" s="1"/>
  <c r="AM151" i="5"/>
  <c r="AM163" i="5" s="1"/>
  <c r="AL151" i="5"/>
  <c r="AL163" i="5" s="1"/>
  <c r="AK151" i="5"/>
  <c r="AK163" i="5" s="1"/>
  <c r="AJ151" i="5"/>
  <c r="AJ163" i="5" s="1"/>
  <c r="AI151" i="5"/>
  <c r="AI163" i="5" s="1"/>
  <c r="AH151" i="5"/>
  <c r="AH163" i="5" s="1"/>
  <c r="AG151" i="5"/>
  <c r="AG163" i="5" s="1"/>
  <c r="AF151" i="5"/>
  <c r="AF163" i="5" s="1"/>
  <c r="AR163" i="5" s="1"/>
  <c r="AB151" i="5"/>
  <c r="AB163" i="5" s="1"/>
  <c r="AA151" i="5"/>
  <c r="AA163" i="5" s="1"/>
  <c r="Z151" i="5"/>
  <c r="Z163" i="5" s="1"/>
  <c r="Y151" i="5"/>
  <c r="Y163" i="5" s="1"/>
  <c r="X151" i="5"/>
  <c r="X163" i="5" s="1"/>
  <c r="W151" i="5"/>
  <c r="W163" i="5" s="1"/>
  <c r="V151" i="5"/>
  <c r="V163" i="5" s="1"/>
  <c r="U151" i="5"/>
  <c r="U163" i="5" s="1"/>
  <c r="T151" i="5"/>
  <c r="T163" i="5" s="1"/>
  <c r="S151" i="5"/>
  <c r="S163" i="5" s="1"/>
  <c r="R151" i="5"/>
  <c r="R163" i="5" s="1"/>
  <c r="Q151" i="5"/>
  <c r="Q163" i="5" s="1"/>
  <c r="AC163" i="5" s="1"/>
  <c r="M151" i="5"/>
  <c r="M163" i="5" s="1"/>
  <c r="L151" i="5"/>
  <c r="L163" i="5" s="1"/>
  <c r="K151" i="5"/>
  <c r="K163" i="5" s="1"/>
  <c r="J151" i="5"/>
  <c r="J163" i="5" s="1"/>
  <c r="I151" i="5"/>
  <c r="I163" i="5" s="1"/>
  <c r="H151" i="5"/>
  <c r="H163" i="5" s="1"/>
  <c r="G151" i="5"/>
  <c r="G163" i="5" s="1"/>
  <c r="F151" i="5"/>
  <c r="F163" i="5" s="1"/>
  <c r="E151" i="5"/>
  <c r="E163" i="5" s="1"/>
  <c r="D151" i="5"/>
  <c r="D163" i="5" s="1"/>
  <c r="C151" i="5"/>
  <c r="C163" i="5" s="1"/>
  <c r="B151" i="5"/>
  <c r="N151" i="5" s="1"/>
  <c r="O153" i="5" s="1"/>
  <c r="AR163" i="14"/>
  <c r="AR162" i="14"/>
  <c r="AR161" i="14"/>
  <c r="AR160" i="14"/>
  <c r="AR159" i="14"/>
  <c r="AR158" i="14"/>
  <c r="AR157" i="14"/>
  <c r="AR156" i="14"/>
  <c r="AR155" i="14"/>
  <c r="AR154" i="14"/>
  <c r="AR153" i="14"/>
  <c r="AR152" i="14"/>
  <c r="AR151" i="14"/>
  <c r="AC163" i="14"/>
  <c r="AC162" i="14"/>
  <c r="AC161" i="14"/>
  <c r="AC160" i="14"/>
  <c r="AC159" i="14"/>
  <c r="AC158" i="14"/>
  <c r="AC157" i="14"/>
  <c r="AC156" i="14"/>
  <c r="AC155" i="14"/>
  <c r="AC154" i="14"/>
  <c r="AC153" i="14"/>
  <c r="AC152" i="14"/>
  <c r="AC151" i="14"/>
  <c r="N163" i="14"/>
  <c r="N162" i="14"/>
  <c r="N161" i="14"/>
  <c r="N160" i="14"/>
  <c r="O162" i="14" s="1"/>
  <c r="N159" i="14"/>
  <c r="N158" i="14"/>
  <c r="N157" i="14"/>
  <c r="N156" i="14"/>
  <c r="O156" i="14" s="1"/>
  <c r="N155" i="14"/>
  <c r="N154" i="14"/>
  <c r="N153" i="14"/>
  <c r="N152" i="14"/>
  <c r="O153" i="14" s="1"/>
  <c r="N151" i="14"/>
  <c r="AQ162" i="14"/>
  <c r="AP162" i="14"/>
  <c r="AO162" i="14"/>
  <c r="AN162" i="14"/>
  <c r="AM162" i="14"/>
  <c r="AL162" i="14"/>
  <c r="AK162" i="14"/>
  <c r="AJ162" i="14"/>
  <c r="AI162" i="14"/>
  <c r="AH162" i="14"/>
  <c r="AG162" i="14"/>
  <c r="AF162" i="14"/>
  <c r="AQ161" i="14"/>
  <c r="AP161" i="14"/>
  <c r="AO161" i="14"/>
  <c r="AN161" i="14"/>
  <c r="AM161" i="14"/>
  <c r="AL161" i="14"/>
  <c r="AK161" i="14"/>
  <c r="AJ161" i="14"/>
  <c r="AI161" i="14"/>
  <c r="AH161" i="14"/>
  <c r="AG161" i="14"/>
  <c r="AF161" i="14"/>
  <c r="AQ160" i="14"/>
  <c r="AP160" i="14"/>
  <c r="AO160" i="14"/>
  <c r="AN160" i="14"/>
  <c r="AM160" i="14"/>
  <c r="AL160" i="14"/>
  <c r="AK160" i="14"/>
  <c r="AJ160" i="14"/>
  <c r="AI160" i="14"/>
  <c r="AH160" i="14"/>
  <c r="AG160" i="14"/>
  <c r="AF160" i="14"/>
  <c r="AQ159" i="14"/>
  <c r="AP159" i="14"/>
  <c r="AO159" i="14"/>
  <c r="AN159" i="14"/>
  <c r="AM159" i="14"/>
  <c r="AL159" i="14"/>
  <c r="AV159" i="14" s="1"/>
  <c r="AK159" i="14"/>
  <c r="AU159" i="14" s="1"/>
  <c r="AJ159" i="14"/>
  <c r="AI159" i="14"/>
  <c r="AH159" i="14"/>
  <c r="AG159" i="14"/>
  <c r="AF159" i="14"/>
  <c r="AQ158" i="14"/>
  <c r="AP158" i="14"/>
  <c r="AO158" i="14"/>
  <c r="AN158" i="14"/>
  <c r="AM158" i="14"/>
  <c r="AL158" i="14"/>
  <c r="AK158" i="14"/>
  <c r="AJ158" i="14"/>
  <c r="AI158" i="14"/>
  <c r="AH158" i="14"/>
  <c r="AG158" i="14"/>
  <c r="AF158" i="14"/>
  <c r="AQ157" i="14"/>
  <c r="AP157" i="14"/>
  <c r="AO157" i="14"/>
  <c r="AN157" i="14"/>
  <c r="AM157" i="14"/>
  <c r="AW157" i="14" s="1"/>
  <c r="AL157" i="14"/>
  <c r="AK157" i="14"/>
  <c r="AJ157" i="14"/>
  <c r="AI157" i="14"/>
  <c r="AH157" i="14"/>
  <c r="AG157" i="14"/>
  <c r="AF157" i="14"/>
  <c r="AQ156" i="14"/>
  <c r="AP156" i="14"/>
  <c r="AO156" i="14"/>
  <c r="AN156" i="14"/>
  <c r="AM156" i="14"/>
  <c r="AL156" i="14"/>
  <c r="AK156" i="14"/>
  <c r="AJ156" i="14"/>
  <c r="AI156" i="14"/>
  <c r="AH156" i="14"/>
  <c r="AG156" i="14"/>
  <c r="AF156" i="14"/>
  <c r="AQ155" i="14"/>
  <c r="AP155" i="14"/>
  <c r="AO155" i="14"/>
  <c r="AN155" i="14"/>
  <c r="AM155" i="14"/>
  <c r="AL155" i="14"/>
  <c r="AV155" i="14" s="1"/>
  <c r="AK155" i="14"/>
  <c r="AU155" i="14" s="1"/>
  <c r="AJ155" i="14"/>
  <c r="AI155" i="14"/>
  <c r="AH155" i="14"/>
  <c r="AG155" i="14"/>
  <c r="AF155" i="14"/>
  <c r="AQ154" i="14"/>
  <c r="AP154" i="14"/>
  <c r="AO154" i="14"/>
  <c r="AN154" i="14"/>
  <c r="AM154" i="14"/>
  <c r="AL154" i="14"/>
  <c r="AK154" i="14"/>
  <c r="AJ154" i="14"/>
  <c r="AI154" i="14"/>
  <c r="AH154" i="14"/>
  <c r="AG154" i="14"/>
  <c r="AF154" i="14"/>
  <c r="AQ153" i="14"/>
  <c r="AP153" i="14"/>
  <c r="AO153" i="14"/>
  <c r="AN153" i="14"/>
  <c r="AM153" i="14"/>
  <c r="AW153" i="14" s="1"/>
  <c r="AL153" i="14"/>
  <c r="AK153" i="14"/>
  <c r="AJ153" i="14"/>
  <c r="AI153" i="14"/>
  <c r="AH153" i="14"/>
  <c r="AG153" i="14"/>
  <c r="AF153" i="14"/>
  <c r="AQ152" i="14"/>
  <c r="AP152" i="14"/>
  <c r="AO152" i="14"/>
  <c r="AN152" i="14"/>
  <c r="AM152" i="14"/>
  <c r="AW152" i="14" s="1"/>
  <c r="AL152" i="14"/>
  <c r="AK152" i="14"/>
  <c r="AJ152" i="14"/>
  <c r="AI152" i="14"/>
  <c r="AH152" i="14"/>
  <c r="AG152" i="14"/>
  <c r="AF152" i="14"/>
  <c r="AQ151" i="14"/>
  <c r="AQ163" i="14" s="1"/>
  <c r="AP151" i="14"/>
  <c r="AP163" i="14" s="1"/>
  <c r="AO151" i="14"/>
  <c r="AO163" i="14" s="1"/>
  <c r="AN151" i="14"/>
  <c r="AN163" i="14" s="1"/>
  <c r="AM151" i="14"/>
  <c r="AM163" i="14" s="1"/>
  <c r="AL151" i="14"/>
  <c r="AV151" i="14" s="1"/>
  <c r="AK151" i="14"/>
  <c r="AU151" i="14" s="1"/>
  <c r="AJ151" i="14"/>
  <c r="AJ163" i="14" s="1"/>
  <c r="AI151" i="14"/>
  <c r="AI163" i="14" s="1"/>
  <c r="AH151" i="14"/>
  <c r="AH163" i="14" s="1"/>
  <c r="AG151" i="14"/>
  <c r="AG163" i="14" s="1"/>
  <c r="AF151" i="14"/>
  <c r="AF163" i="14" s="1"/>
  <c r="AB162" i="14"/>
  <c r="AA162" i="14"/>
  <c r="Z162" i="14"/>
  <c r="Y162" i="14"/>
  <c r="X162" i="14"/>
  <c r="W162" i="14"/>
  <c r="V162" i="14"/>
  <c r="U162" i="14"/>
  <c r="T162" i="14"/>
  <c r="S162" i="14"/>
  <c r="R162" i="14"/>
  <c r="Q162" i="14"/>
  <c r="AB161" i="14"/>
  <c r="AA161" i="14"/>
  <c r="Z161" i="14"/>
  <c r="Y161" i="14"/>
  <c r="X161" i="14"/>
  <c r="W161" i="14"/>
  <c r="V161" i="14"/>
  <c r="U161" i="14"/>
  <c r="T161" i="14"/>
  <c r="S161" i="14"/>
  <c r="R161" i="14"/>
  <c r="Q161" i="14"/>
  <c r="AB160" i="14"/>
  <c r="AA160" i="14"/>
  <c r="Z160" i="14"/>
  <c r="Y160" i="14"/>
  <c r="X160" i="14"/>
  <c r="W160" i="14"/>
  <c r="V160" i="14"/>
  <c r="U160" i="14"/>
  <c r="T160" i="14"/>
  <c r="S160" i="14"/>
  <c r="R160" i="14"/>
  <c r="Q160" i="14"/>
  <c r="AB159" i="14"/>
  <c r="AA159" i="14"/>
  <c r="Z159" i="14"/>
  <c r="Y159" i="14"/>
  <c r="X159" i="14"/>
  <c r="W159" i="14"/>
  <c r="V159" i="14"/>
  <c r="U159" i="14"/>
  <c r="T159" i="14"/>
  <c r="S159" i="14"/>
  <c r="R159" i="14"/>
  <c r="Q159" i="14"/>
  <c r="AB158" i="14"/>
  <c r="AA158" i="14"/>
  <c r="Z158" i="14"/>
  <c r="Y158" i="14"/>
  <c r="X158" i="14"/>
  <c r="W158" i="14"/>
  <c r="V158" i="14"/>
  <c r="U158" i="14"/>
  <c r="T158" i="14"/>
  <c r="S158" i="14"/>
  <c r="R158" i="14"/>
  <c r="Q158" i="14"/>
  <c r="AB157" i="14"/>
  <c r="AA157" i="14"/>
  <c r="Z157" i="14"/>
  <c r="Y157" i="14"/>
  <c r="X157" i="14"/>
  <c r="W157" i="14"/>
  <c r="V157" i="14"/>
  <c r="U157" i="14"/>
  <c r="T157" i="14"/>
  <c r="S157" i="14"/>
  <c r="R157" i="14"/>
  <c r="Q157" i="14"/>
  <c r="AB156" i="14"/>
  <c r="AA156" i="14"/>
  <c r="Z156" i="14"/>
  <c r="Y156" i="14"/>
  <c r="X156" i="14"/>
  <c r="W156" i="14"/>
  <c r="V156" i="14"/>
  <c r="U156" i="14"/>
  <c r="T156" i="14"/>
  <c r="S156" i="14"/>
  <c r="R156" i="14"/>
  <c r="Q156" i="14"/>
  <c r="AB155" i="14"/>
  <c r="AA155" i="14"/>
  <c r="Z155" i="14"/>
  <c r="Y155" i="14"/>
  <c r="X155" i="14"/>
  <c r="W155" i="14"/>
  <c r="V155" i="14"/>
  <c r="U155" i="14"/>
  <c r="T155" i="14"/>
  <c r="S155" i="14"/>
  <c r="R155" i="14"/>
  <c r="Q155" i="14"/>
  <c r="AB154" i="14"/>
  <c r="AA154" i="14"/>
  <c r="Z154" i="14"/>
  <c r="Y154" i="14"/>
  <c r="X154" i="14"/>
  <c r="W154" i="14"/>
  <c r="V154" i="14"/>
  <c r="U154" i="14"/>
  <c r="T154" i="14"/>
  <c r="S154" i="14"/>
  <c r="R154" i="14"/>
  <c r="Q154" i="14"/>
  <c r="AB153" i="14"/>
  <c r="AA153" i="14"/>
  <c r="Z153" i="14"/>
  <c r="Y153" i="14"/>
  <c r="X153" i="14"/>
  <c r="W153" i="14"/>
  <c r="V153" i="14"/>
  <c r="U153" i="14"/>
  <c r="T153" i="14"/>
  <c r="S153" i="14"/>
  <c r="R153" i="14"/>
  <c r="Q153" i="14"/>
  <c r="AB152" i="14"/>
  <c r="AA152" i="14"/>
  <c r="Z152" i="14"/>
  <c r="Y152" i="14"/>
  <c r="X152" i="14"/>
  <c r="W152" i="14"/>
  <c r="V152" i="14"/>
  <c r="U152" i="14"/>
  <c r="T152" i="14"/>
  <c r="S152" i="14"/>
  <c r="R152" i="14"/>
  <c r="Q152" i="14"/>
  <c r="AB151" i="14"/>
  <c r="AB163" i="14" s="1"/>
  <c r="AA151" i="14"/>
  <c r="AA163" i="14" s="1"/>
  <c r="Z151" i="14"/>
  <c r="Z163" i="14" s="1"/>
  <c r="Y151" i="14"/>
  <c r="Y163" i="14" s="1"/>
  <c r="X151" i="14"/>
  <c r="X163" i="14" s="1"/>
  <c r="W151" i="14"/>
  <c r="W163" i="14" s="1"/>
  <c r="V151" i="14"/>
  <c r="V163" i="14" s="1"/>
  <c r="U151" i="14"/>
  <c r="U163" i="14" s="1"/>
  <c r="T151" i="14"/>
  <c r="T163" i="14" s="1"/>
  <c r="S151" i="14"/>
  <c r="S163" i="14" s="1"/>
  <c r="R151" i="14"/>
  <c r="R163" i="14" s="1"/>
  <c r="Q151" i="14"/>
  <c r="Q163" i="14" s="1"/>
  <c r="M163" i="14"/>
  <c r="L163" i="14"/>
  <c r="K163" i="14"/>
  <c r="J163" i="14"/>
  <c r="I163" i="14"/>
  <c r="H163" i="14"/>
  <c r="G163" i="14"/>
  <c r="F163" i="14"/>
  <c r="E163" i="14"/>
  <c r="D163" i="14"/>
  <c r="C163" i="14"/>
  <c r="B163" i="14"/>
  <c r="C151" i="14"/>
  <c r="D151" i="14"/>
  <c r="E151" i="14"/>
  <c r="F151" i="14"/>
  <c r="G151" i="14"/>
  <c r="H151" i="14"/>
  <c r="I151" i="14"/>
  <c r="J151" i="14"/>
  <c r="K151" i="14"/>
  <c r="L151" i="14"/>
  <c r="M151" i="14"/>
  <c r="C152" i="14"/>
  <c r="D152" i="14"/>
  <c r="E152" i="14"/>
  <c r="F152" i="14"/>
  <c r="G152" i="14"/>
  <c r="H152" i="14"/>
  <c r="I152" i="14"/>
  <c r="J152" i="14"/>
  <c r="K152" i="14"/>
  <c r="L152" i="14"/>
  <c r="M152" i="14"/>
  <c r="C153" i="14"/>
  <c r="D153" i="14"/>
  <c r="E153" i="14"/>
  <c r="F153" i="14"/>
  <c r="G153" i="14"/>
  <c r="H153" i="14"/>
  <c r="I153" i="14"/>
  <c r="J153" i="14"/>
  <c r="K153" i="14"/>
  <c r="L153" i="14"/>
  <c r="M153" i="14"/>
  <c r="C154" i="14"/>
  <c r="D154" i="14"/>
  <c r="E154" i="14"/>
  <c r="F154" i="14"/>
  <c r="G154" i="14"/>
  <c r="H154" i="14"/>
  <c r="I154" i="14"/>
  <c r="J154" i="14"/>
  <c r="K154" i="14"/>
  <c r="L154" i="14"/>
  <c r="M154" i="14"/>
  <c r="C155" i="14"/>
  <c r="D155" i="14"/>
  <c r="E155" i="14"/>
  <c r="F155" i="14"/>
  <c r="G155" i="14"/>
  <c r="H155" i="14"/>
  <c r="I155" i="14"/>
  <c r="J155" i="14"/>
  <c r="K155" i="14"/>
  <c r="L155" i="14"/>
  <c r="M155" i="14"/>
  <c r="C156" i="14"/>
  <c r="D156" i="14"/>
  <c r="E156" i="14"/>
  <c r="F156" i="14"/>
  <c r="G156" i="14"/>
  <c r="H156" i="14"/>
  <c r="I156" i="14"/>
  <c r="J156" i="14"/>
  <c r="K156" i="14"/>
  <c r="L156" i="14"/>
  <c r="M156" i="14"/>
  <c r="C157" i="14"/>
  <c r="D157" i="14"/>
  <c r="E157" i="14"/>
  <c r="F157" i="14"/>
  <c r="G157" i="14"/>
  <c r="H157" i="14"/>
  <c r="I157" i="14"/>
  <c r="J157" i="14"/>
  <c r="K157" i="14"/>
  <c r="L157" i="14"/>
  <c r="M157" i="14"/>
  <c r="C158" i="14"/>
  <c r="D158" i="14"/>
  <c r="E158" i="14"/>
  <c r="F158" i="14"/>
  <c r="G158" i="14"/>
  <c r="H158" i="14"/>
  <c r="I158" i="14"/>
  <c r="J158" i="14"/>
  <c r="K158" i="14"/>
  <c r="L158" i="14"/>
  <c r="M158" i="14"/>
  <c r="C159" i="14"/>
  <c r="D159" i="14"/>
  <c r="E159" i="14"/>
  <c r="F159" i="14"/>
  <c r="G159" i="14"/>
  <c r="H159" i="14"/>
  <c r="I159" i="14"/>
  <c r="J159" i="14"/>
  <c r="K159" i="14"/>
  <c r="L159" i="14"/>
  <c r="M159" i="14"/>
  <c r="C160" i="14"/>
  <c r="D160" i="14"/>
  <c r="E160" i="14"/>
  <c r="F160" i="14"/>
  <c r="G160" i="14"/>
  <c r="H160" i="14"/>
  <c r="I160" i="14"/>
  <c r="J160" i="14"/>
  <c r="K160" i="14"/>
  <c r="L160" i="14"/>
  <c r="M160" i="14"/>
  <c r="C161" i="14"/>
  <c r="D161" i="14"/>
  <c r="E161" i="14"/>
  <c r="F161" i="14"/>
  <c r="G161" i="14"/>
  <c r="H161" i="14"/>
  <c r="I161" i="14"/>
  <c r="J161" i="14"/>
  <c r="K161" i="14"/>
  <c r="L161" i="14"/>
  <c r="M161" i="14"/>
  <c r="C162" i="14"/>
  <c r="D162" i="14"/>
  <c r="E162" i="14"/>
  <c r="F162" i="14"/>
  <c r="G162" i="14"/>
  <c r="H162" i="14"/>
  <c r="I162" i="14"/>
  <c r="J162" i="14"/>
  <c r="K162" i="14"/>
  <c r="L162" i="14"/>
  <c r="M162" i="14"/>
  <c r="B152" i="14"/>
  <c r="B153" i="14"/>
  <c r="B154" i="14"/>
  <c r="B155" i="14"/>
  <c r="B156" i="14"/>
  <c r="B157" i="14"/>
  <c r="B158" i="14"/>
  <c r="B159" i="14"/>
  <c r="B160" i="14"/>
  <c r="B161" i="14"/>
  <c r="B162" i="14"/>
  <c r="B151" i="14"/>
  <c r="AU162" i="14"/>
  <c r="AW161" i="14"/>
  <c r="AW160" i="14"/>
  <c r="AV160" i="14"/>
  <c r="AU158" i="14"/>
  <c r="O159" i="14"/>
  <c r="AW156" i="14"/>
  <c r="AV156" i="14"/>
  <c r="AW155" i="14"/>
  <c r="AV154" i="14"/>
  <c r="AU154" i="14"/>
  <c r="AU153" i="14"/>
  <c r="AV152" i="14"/>
  <c r="AW151" i="14"/>
  <c r="AU151" i="16" l="1"/>
  <c r="N151" i="16"/>
  <c r="O153" i="16" s="1"/>
  <c r="AV151" i="16"/>
  <c r="AC151" i="16"/>
  <c r="AW151" i="16"/>
  <c r="AR151" i="16"/>
  <c r="AU151" i="4"/>
  <c r="N151" i="4"/>
  <c r="O153" i="4" s="1"/>
  <c r="AV151" i="4"/>
  <c r="AC151" i="4"/>
  <c r="AW151" i="4"/>
  <c r="AR151" i="4"/>
  <c r="AU151" i="5"/>
  <c r="AV151" i="5"/>
  <c r="B163" i="5"/>
  <c r="N163" i="5" s="1"/>
  <c r="AC151" i="5"/>
  <c r="AW151" i="5"/>
  <c r="AR151" i="5"/>
  <c r="AK163" i="14"/>
  <c r="AL163" i="14"/>
  <c r="AU152" i="14"/>
  <c r="AV153" i="14"/>
  <c r="AW154" i="14"/>
  <c r="AU157" i="14"/>
  <c r="AV158" i="14"/>
  <c r="AW159" i="14"/>
  <c r="AU161" i="14"/>
  <c r="AV162" i="14"/>
  <c r="AU156" i="14"/>
  <c r="AV157" i="14"/>
  <c r="AW158" i="14"/>
  <c r="AU160" i="14"/>
  <c r="AV161" i="14"/>
  <c r="AW162" i="14"/>
  <c r="M68" i="79"/>
  <c r="L68" i="79"/>
  <c r="N68" i="79" s="1"/>
  <c r="K68" i="79"/>
  <c r="C68" i="79"/>
  <c r="I68" i="79" s="1"/>
  <c r="B68" i="79"/>
  <c r="C38" i="79"/>
  <c r="M38" i="79" s="1"/>
  <c r="N38" i="79"/>
  <c r="L38" i="79"/>
  <c r="K38" i="79"/>
  <c r="M37" i="79"/>
  <c r="L37" i="79"/>
  <c r="N37" i="79" s="1"/>
  <c r="K37" i="79"/>
  <c r="M67" i="79"/>
  <c r="L67" i="79"/>
  <c r="N67" i="79" s="1"/>
  <c r="K67" i="79"/>
  <c r="C67" i="79"/>
  <c r="I67" i="79" s="1"/>
  <c r="H68" i="79"/>
  <c r="H67" i="79"/>
  <c r="C37" i="79"/>
  <c r="C36" i="79"/>
  <c r="B36" i="79"/>
  <c r="D37" i="79"/>
  <c r="G87" i="79" l="1"/>
  <c r="F87" i="79"/>
  <c r="G86" i="79"/>
  <c r="F86" i="79"/>
  <c r="F84" i="79"/>
  <c r="D84" i="79"/>
  <c r="B84" i="79"/>
  <c r="G83" i="79"/>
  <c r="F83" i="79"/>
  <c r="F88" i="79" s="1"/>
  <c r="E83" i="79"/>
  <c r="G88" i="79" s="1"/>
  <c r="D83" i="79"/>
  <c r="C83" i="79"/>
  <c r="B83" i="79"/>
  <c r="I78" i="79"/>
  <c r="H78" i="79"/>
  <c r="I77" i="79"/>
  <c r="H77" i="79"/>
  <c r="E77" i="79"/>
  <c r="D77" i="79"/>
  <c r="C77" i="79"/>
  <c r="B77" i="79"/>
  <c r="I76" i="79"/>
  <c r="H76" i="79"/>
  <c r="F76" i="79"/>
  <c r="E76" i="79"/>
  <c r="D76" i="79"/>
  <c r="C76" i="79"/>
  <c r="B76" i="79"/>
  <c r="F71" i="79"/>
  <c r="E71" i="79"/>
  <c r="D71" i="79"/>
  <c r="K66" i="79"/>
  <c r="I66" i="79"/>
  <c r="C66" i="79"/>
  <c r="B66" i="79"/>
  <c r="M66" i="79" s="1"/>
  <c r="K65" i="79"/>
  <c r="I65" i="79"/>
  <c r="C65" i="79"/>
  <c r="B65" i="79"/>
  <c r="M65" i="79" s="1"/>
  <c r="K64" i="79"/>
  <c r="I64" i="79"/>
  <c r="C64" i="79"/>
  <c r="B64" i="79"/>
  <c r="M64" i="79" s="1"/>
  <c r="K63" i="79"/>
  <c r="I63" i="79"/>
  <c r="C63" i="79"/>
  <c r="B63" i="79"/>
  <c r="M63" i="79" s="1"/>
  <c r="K62" i="79"/>
  <c r="I62" i="79"/>
  <c r="C62" i="79"/>
  <c r="B62" i="79"/>
  <c r="M62" i="79" s="1"/>
  <c r="H61" i="79"/>
  <c r="G61" i="79"/>
  <c r="G71" i="79" s="1"/>
  <c r="E61" i="79"/>
  <c r="E84" i="79" s="1"/>
  <c r="C61" i="79"/>
  <c r="M61" i="79" s="1"/>
  <c r="K60" i="79"/>
  <c r="N60" i="79" s="1"/>
  <c r="H60" i="79"/>
  <c r="C60" i="79"/>
  <c r="I60" i="79" s="1"/>
  <c r="L60" i="79" s="1"/>
  <c r="M59" i="79"/>
  <c r="K59" i="79"/>
  <c r="I59" i="79"/>
  <c r="H59" i="79"/>
  <c r="C59" i="79"/>
  <c r="C71" i="79" s="1"/>
  <c r="M58" i="79"/>
  <c r="K58" i="79"/>
  <c r="I58" i="79"/>
  <c r="H58" i="79"/>
  <c r="L58" i="79" s="1"/>
  <c r="N58" i="79" s="1"/>
  <c r="M57" i="79"/>
  <c r="L57" i="79"/>
  <c r="K57" i="79"/>
  <c r="N57" i="79" s="1"/>
  <c r="I57" i="79"/>
  <c r="H57" i="79"/>
  <c r="M56" i="79"/>
  <c r="K56" i="79"/>
  <c r="I56" i="79"/>
  <c r="H56" i="79"/>
  <c r="L56" i="79" s="1"/>
  <c r="N56" i="79" s="1"/>
  <c r="M55" i="79"/>
  <c r="L55" i="79"/>
  <c r="K55" i="79"/>
  <c r="N55" i="79" s="1"/>
  <c r="I55" i="79"/>
  <c r="H55" i="79"/>
  <c r="M54" i="79"/>
  <c r="K54" i="79"/>
  <c r="I54" i="79"/>
  <c r="H54" i="79"/>
  <c r="L54" i="79" s="1"/>
  <c r="N54" i="79" s="1"/>
  <c r="M53" i="79"/>
  <c r="L53" i="79"/>
  <c r="K53" i="79"/>
  <c r="N53" i="79" s="1"/>
  <c r="I53" i="79"/>
  <c r="H53" i="79"/>
  <c r="M52" i="79"/>
  <c r="K52" i="79"/>
  <c r="I52" i="79"/>
  <c r="H52" i="79"/>
  <c r="L52" i="79" s="1"/>
  <c r="N52" i="79" s="1"/>
  <c r="M51" i="79"/>
  <c r="L51" i="79"/>
  <c r="I51" i="79"/>
  <c r="H51" i="79"/>
  <c r="M50" i="79"/>
  <c r="I50" i="79"/>
  <c r="H50" i="79"/>
  <c r="L50" i="79" s="1"/>
  <c r="M49" i="79"/>
  <c r="I49" i="79"/>
  <c r="H49" i="79"/>
  <c r="L49" i="79" s="1"/>
  <c r="M48" i="79"/>
  <c r="I48" i="79"/>
  <c r="H48" i="79"/>
  <c r="L48" i="79" s="1"/>
  <c r="M47" i="79"/>
  <c r="I47" i="79"/>
  <c r="I83" i="79" s="1"/>
  <c r="H47" i="79"/>
  <c r="G37" i="79"/>
  <c r="F37" i="79"/>
  <c r="K36" i="79"/>
  <c r="E36" i="79"/>
  <c r="D36" i="79"/>
  <c r="D41" i="79" s="1"/>
  <c r="G36" i="79"/>
  <c r="M36" i="79"/>
  <c r="M35" i="79"/>
  <c r="K35" i="79"/>
  <c r="G35" i="79"/>
  <c r="L35" i="79" s="1"/>
  <c r="N35" i="79" s="1"/>
  <c r="F35" i="79"/>
  <c r="M34" i="79"/>
  <c r="L34" i="79"/>
  <c r="K34" i="79"/>
  <c r="N34" i="79" s="1"/>
  <c r="G34" i="79"/>
  <c r="F34" i="79"/>
  <c r="M33" i="79"/>
  <c r="K33" i="79"/>
  <c r="G33" i="79"/>
  <c r="L33" i="79" s="1"/>
  <c r="N33" i="79" s="1"/>
  <c r="F33" i="79"/>
  <c r="C33" i="79"/>
  <c r="K32" i="79"/>
  <c r="F32" i="79"/>
  <c r="C32" i="79"/>
  <c r="G32" i="79" s="1"/>
  <c r="L32" i="79" s="1"/>
  <c r="N32" i="79" s="1"/>
  <c r="B32" i="79"/>
  <c r="M31" i="79"/>
  <c r="F31" i="79"/>
  <c r="E31" i="79"/>
  <c r="K31" i="79" s="1"/>
  <c r="M30" i="79"/>
  <c r="K30" i="79"/>
  <c r="N30" i="79" s="1"/>
  <c r="F30" i="79"/>
  <c r="E30" i="79"/>
  <c r="G30" i="79" s="1"/>
  <c r="L30" i="79" s="1"/>
  <c r="K29" i="79"/>
  <c r="G29" i="79"/>
  <c r="L29" i="79" s="1"/>
  <c r="N29" i="79" s="1"/>
  <c r="E29" i="79"/>
  <c r="E78" i="79" s="1"/>
  <c r="C29" i="79"/>
  <c r="C41" i="79" s="1"/>
  <c r="B29" i="79"/>
  <c r="F29" i="79" s="1"/>
  <c r="M28" i="79"/>
  <c r="L28" i="79"/>
  <c r="K28" i="79"/>
  <c r="N28" i="79" s="1"/>
  <c r="G28" i="79"/>
  <c r="F28" i="79"/>
  <c r="M27" i="79"/>
  <c r="K27" i="79"/>
  <c r="G27" i="79"/>
  <c r="L27" i="79" s="1"/>
  <c r="N27" i="79" s="1"/>
  <c r="F27" i="79"/>
  <c r="M26" i="79"/>
  <c r="L26" i="79"/>
  <c r="K26" i="79"/>
  <c r="N26" i="79" s="1"/>
  <c r="G26" i="79"/>
  <c r="F26" i="79"/>
  <c r="M25" i="79"/>
  <c r="K25" i="79"/>
  <c r="G25" i="79"/>
  <c r="L25" i="79" s="1"/>
  <c r="N25" i="79" s="1"/>
  <c r="F25" i="79"/>
  <c r="M24" i="79"/>
  <c r="L24" i="79"/>
  <c r="K24" i="79"/>
  <c r="N24" i="79" s="1"/>
  <c r="G24" i="79"/>
  <c r="F24" i="79"/>
  <c r="M23" i="79"/>
  <c r="K23" i="79"/>
  <c r="G23" i="79"/>
  <c r="L23" i="79" s="1"/>
  <c r="N23" i="79" s="1"/>
  <c r="F23" i="79"/>
  <c r="M22" i="79"/>
  <c r="L22" i="79"/>
  <c r="K22" i="79"/>
  <c r="N22" i="79" s="1"/>
  <c r="G22" i="79"/>
  <c r="F22" i="79"/>
  <c r="M21" i="79"/>
  <c r="G21" i="79"/>
  <c r="F21" i="79"/>
  <c r="M20" i="79"/>
  <c r="G20" i="79"/>
  <c r="F20" i="79"/>
  <c r="F77" i="79" s="1"/>
  <c r="M19" i="79"/>
  <c r="G19" i="79"/>
  <c r="F19" i="79"/>
  <c r="M18" i="79"/>
  <c r="G18" i="79"/>
  <c r="F18" i="79"/>
  <c r="M17" i="79"/>
  <c r="G17" i="79"/>
  <c r="F17" i="79"/>
  <c r="G16" i="79"/>
  <c r="F16" i="79"/>
  <c r="G15" i="79"/>
  <c r="F15" i="79"/>
  <c r="G14" i="79"/>
  <c r="F14" i="79"/>
  <c r="G13" i="79"/>
  <c r="F13" i="79"/>
  <c r="G12" i="79"/>
  <c r="F12" i="79"/>
  <c r="G11" i="79"/>
  <c r="F11" i="79"/>
  <c r="G10" i="79"/>
  <c r="F10" i="79"/>
  <c r="G9" i="79"/>
  <c r="F9" i="79"/>
  <c r="G8" i="79"/>
  <c r="F8" i="79"/>
  <c r="G7" i="79"/>
  <c r="F7" i="79"/>
  <c r="G6" i="79"/>
  <c r="F6" i="79"/>
  <c r="G5" i="79"/>
  <c r="G76" i="79" s="1"/>
  <c r="F5" i="79"/>
  <c r="F89" i="79" l="1"/>
  <c r="K71" i="79"/>
  <c r="F78" i="79"/>
  <c r="I84" i="79"/>
  <c r="M32" i="79"/>
  <c r="E41" i="79"/>
  <c r="K41" i="79" s="1"/>
  <c r="K61" i="79"/>
  <c r="B71" i="79"/>
  <c r="M71" i="79" s="1"/>
  <c r="G77" i="79"/>
  <c r="C78" i="79"/>
  <c r="G78" i="79"/>
  <c r="C84" i="79"/>
  <c r="G84" i="79"/>
  <c r="G89" i="79" s="1"/>
  <c r="L59" i="79"/>
  <c r="N59" i="79" s="1"/>
  <c r="M60" i="79"/>
  <c r="D78" i="79"/>
  <c r="H83" i="79"/>
  <c r="I61" i="79"/>
  <c r="L61" i="79" s="1"/>
  <c r="I71" i="79"/>
  <c r="B78" i="79"/>
  <c r="G31" i="79"/>
  <c r="L31" i="79" s="1"/>
  <c r="N31" i="79" s="1"/>
  <c r="F36" i="79"/>
  <c r="F41" i="79" s="1"/>
  <c r="B41" i="79"/>
  <c r="M41" i="79" s="1"/>
  <c r="L47" i="79"/>
  <c r="M29" i="79"/>
  <c r="H62" i="79"/>
  <c r="L62" i="79" s="1"/>
  <c r="N62" i="79" s="1"/>
  <c r="H63" i="79"/>
  <c r="L63" i="79" s="1"/>
  <c r="N63" i="79" s="1"/>
  <c r="H64" i="79"/>
  <c r="L64" i="79" s="1"/>
  <c r="N64" i="79" s="1"/>
  <c r="H65" i="79"/>
  <c r="L65" i="79" s="1"/>
  <c r="N65" i="79" s="1"/>
  <c r="H66" i="79"/>
  <c r="L66" i="79" s="1"/>
  <c r="N66" i="79" s="1"/>
  <c r="L36" i="79" l="1"/>
  <c r="N36" i="79" s="1"/>
  <c r="N61" i="79"/>
  <c r="G41" i="79"/>
  <c r="L41" i="79" s="1"/>
  <c r="N41" i="79" s="1"/>
  <c r="H71" i="79"/>
  <c r="L71" i="79" s="1"/>
  <c r="H84" i="79"/>
  <c r="BP67" i="78"/>
  <c r="BP66" i="78"/>
  <c r="BP65" i="78"/>
  <c r="BP64" i="78"/>
  <c r="BP63" i="78"/>
  <c r="BP62" i="78"/>
  <c r="BP61" i="78"/>
  <c r="BP60" i="78"/>
  <c r="BP59" i="78"/>
  <c r="BP58" i="78"/>
  <c r="BP57" i="78"/>
  <c r="AQ103" i="78" l="1"/>
  <c r="AQ102" i="78"/>
  <c r="AQ101" i="78"/>
  <c r="AQ100" i="78"/>
  <c r="AQ99" i="78"/>
  <c r="AQ98" i="78"/>
  <c r="AQ97" i="78"/>
  <c r="AQ96" i="78"/>
  <c r="AQ95" i="78"/>
  <c r="AQ94" i="78"/>
  <c r="AQ93" i="78"/>
  <c r="AQ92" i="78"/>
  <c r="AP103" i="78"/>
  <c r="AP102" i="78"/>
  <c r="AP101" i="78"/>
  <c r="AP100" i="78"/>
  <c r="AP99" i="78"/>
  <c r="AP98" i="78"/>
  <c r="AP97" i="78"/>
  <c r="AP96" i="78"/>
  <c r="AP95" i="78"/>
  <c r="AP94" i="78"/>
  <c r="AP93" i="78"/>
  <c r="AP92" i="78"/>
  <c r="AO103" i="78"/>
  <c r="AO102" i="78"/>
  <c r="AO101" i="78"/>
  <c r="AO100" i="78"/>
  <c r="AO99" i="78"/>
  <c r="AO98" i="78"/>
  <c r="AO97" i="78"/>
  <c r="AO96" i="78"/>
  <c r="AO95" i="78"/>
  <c r="AO94" i="78"/>
  <c r="AO93" i="78"/>
  <c r="AO92" i="78"/>
  <c r="AN103" i="78"/>
  <c r="AN102" i="78"/>
  <c r="AN101" i="78"/>
  <c r="AN100" i="78"/>
  <c r="AN99" i="78"/>
  <c r="AN98" i="78"/>
  <c r="AN97" i="78"/>
  <c r="AN96" i="78"/>
  <c r="AN95" i="78"/>
  <c r="AN94" i="78"/>
  <c r="AN93" i="78"/>
  <c r="AN92" i="78"/>
  <c r="AM103" i="78"/>
  <c r="AM102" i="78"/>
  <c r="AM101" i="78"/>
  <c r="AM100" i="78"/>
  <c r="AM99" i="78"/>
  <c r="AM98" i="78"/>
  <c r="AM97" i="78"/>
  <c r="AM96" i="78"/>
  <c r="AM95" i="78"/>
  <c r="AM94" i="78"/>
  <c r="AM93" i="78"/>
  <c r="AM92" i="78"/>
  <c r="AL103" i="78"/>
  <c r="AL102" i="78"/>
  <c r="AL101" i="78"/>
  <c r="AL100" i="78"/>
  <c r="AL99" i="78"/>
  <c r="AL98" i="78"/>
  <c r="AL97" i="78"/>
  <c r="AL96" i="78"/>
  <c r="AL95" i="78"/>
  <c r="AL94" i="78"/>
  <c r="AL93" i="78"/>
  <c r="AL92" i="78"/>
  <c r="AK103" i="78"/>
  <c r="AK102" i="78"/>
  <c r="AR102" i="78" s="1"/>
  <c r="AK101" i="78"/>
  <c r="AK100" i="78"/>
  <c r="AK99" i="78"/>
  <c r="AK98" i="78"/>
  <c r="AR98" i="78" s="1"/>
  <c r="AK97" i="78"/>
  <c r="AK96" i="78"/>
  <c r="AK95" i="78"/>
  <c r="AK94" i="78"/>
  <c r="AR94" i="78" s="1"/>
  <c r="AK93" i="78"/>
  <c r="AK92" i="78"/>
  <c r="AH103" i="78"/>
  <c r="AH102" i="78"/>
  <c r="AH101" i="78"/>
  <c r="AH100" i="78"/>
  <c r="AH99" i="78"/>
  <c r="AH98" i="78"/>
  <c r="AH97" i="78"/>
  <c r="AH96" i="78"/>
  <c r="AH95" i="78"/>
  <c r="AH94" i="78"/>
  <c r="AH93" i="78"/>
  <c r="AH92" i="78"/>
  <c r="AG103" i="78"/>
  <c r="AG102" i="78"/>
  <c r="AG101" i="78"/>
  <c r="AG100" i="78"/>
  <c r="AG99" i="78"/>
  <c r="AG98" i="78"/>
  <c r="AG97" i="78"/>
  <c r="AG96" i="78"/>
  <c r="AG95" i="78"/>
  <c r="AG94" i="78"/>
  <c r="AG93" i="78"/>
  <c r="AG92" i="78"/>
  <c r="AF103" i="78"/>
  <c r="AF102" i="78"/>
  <c r="AF101" i="78"/>
  <c r="AF100" i="78"/>
  <c r="AF99" i="78"/>
  <c r="AF98" i="78"/>
  <c r="AF97" i="78"/>
  <c r="AF96" i="78"/>
  <c r="AF95" i="78"/>
  <c r="AF94" i="78"/>
  <c r="AF93" i="78"/>
  <c r="AF92" i="78"/>
  <c r="AE103" i="78"/>
  <c r="AE102" i="78"/>
  <c r="AE101" i="78"/>
  <c r="AE100" i="78"/>
  <c r="AE99" i="78"/>
  <c r="AE98" i="78"/>
  <c r="AE97" i="78"/>
  <c r="AE96" i="78"/>
  <c r="AE95" i="78"/>
  <c r="AE94" i="78"/>
  <c r="AE93" i="78"/>
  <c r="AE92" i="78"/>
  <c r="AD103" i="78"/>
  <c r="AD102" i="78"/>
  <c r="AD101" i="78"/>
  <c r="AD100" i="78"/>
  <c r="AD99" i="78"/>
  <c r="AD98" i="78"/>
  <c r="AD97" i="78"/>
  <c r="AD96" i="78"/>
  <c r="AD95" i="78"/>
  <c r="AD94" i="78"/>
  <c r="AD93" i="78"/>
  <c r="AD92" i="78"/>
  <c r="AC103" i="78"/>
  <c r="AC102" i="78"/>
  <c r="AC101" i="78"/>
  <c r="AC100" i="78"/>
  <c r="AC99" i="78"/>
  <c r="AC98" i="78"/>
  <c r="AC97" i="78"/>
  <c r="AC96" i="78"/>
  <c r="AC95" i="78"/>
  <c r="AC94" i="78"/>
  <c r="AC93" i="78"/>
  <c r="AC92" i="78"/>
  <c r="AB103" i="78"/>
  <c r="AI103" i="78" s="1"/>
  <c r="AB102" i="78"/>
  <c r="AB101" i="78"/>
  <c r="AB100" i="78"/>
  <c r="AI100" i="78" s="1"/>
  <c r="AB99" i="78"/>
  <c r="AI99" i="78" s="1"/>
  <c r="AB98" i="78"/>
  <c r="AB97" i="78"/>
  <c r="AB96" i="78"/>
  <c r="AB95" i="78"/>
  <c r="AI95" i="78" s="1"/>
  <c r="AB94" i="78"/>
  <c r="AI94" i="78" s="1"/>
  <c r="AB93" i="78"/>
  <c r="AB92" i="78"/>
  <c r="AI92" i="78" s="1"/>
  <c r="Y103" i="78"/>
  <c r="Y102" i="78"/>
  <c r="Y101" i="78"/>
  <c r="Y100" i="78"/>
  <c r="Y99" i="78"/>
  <c r="Y98" i="78"/>
  <c r="Y97" i="78"/>
  <c r="Y96" i="78"/>
  <c r="Y95" i="78"/>
  <c r="Y94" i="78"/>
  <c r="Y93" i="78"/>
  <c r="Y92" i="78"/>
  <c r="X103" i="78"/>
  <c r="X102" i="78"/>
  <c r="X101" i="78"/>
  <c r="X100" i="78"/>
  <c r="X99" i="78"/>
  <c r="X98" i="78"/>
  <c r="X97" i="78"/>
  <c r="X96" i="78"/>
  <c r="X95" i="78"/>
  <c r="X94" i="78"/>
  <c r="X93" i="78"/>
  <c r="X92" i="78"/>
  <c r="W103" i="78"/>
  <c r="W102" i="78"/>
  <c r="W101" i="78"/>
  <c r="W100" i="78"/>
  <c r="W99" i="78"/>
  <c r="W98" i="78"/>
  <c r="W97" i="78"/>
  <c r="W96" i="78"/>
  <c r="W95" i="78"/>
  <c r="W94" i="78"/>
  <c r="W93" i="78"/>
  <c r="W92" i="78"/>
  <c r="V103" i="78"/>
  <c r="V102" i="78"/>
  <c r="V101" i="78"/>
  <c r="V100" i="78"/>
  <c r="V99" i="78"/>
  <c r="V98" i="78"/>
  <c r="V97" i="78"/>
  <c r="V96" i="78"/>
  <c r="V95" i="78"/>
  <c r="V94" i="78"/>
  <c r="V93" i="78"/>
  <c r="V92" i="78"/>
  <c r="U103" i="78"/>
  <c r="U102" i="78"/>
  <c r="U101" i="78"/>
  <c r="U100" i="78"/>
  <c r="U99" i="78"/>
  <c r="U98" i="78"/>
  <c r="U97" i="78"/>
  <c r="U96" i="78"/>
  <c r="U95" i="78"/>
  <c r="U94" i="78"/>
  <c r="U93" i="78"/>
  <c r="U92" i="78"/>
  <c r="T103" i="78"/>
  <c r="T102" i="78"/>
  <c r="T101" i="78"/>
  <c r="T100" i="78"/>
  <c r="T99" i="78"/>
  <c r="T98" i="78"/>
  <c r="T97" i="78"/>
  <c r="T96" i="78"/>
  <c r="T95" i="78"/>
  <c r="T94" i="78"/>
  <c r="T93" i="78"/>
  <c r="T92" i="78"/>
  <c r="S103" i="78"/>
  <c r="Z103" i="78" s="1"/>
  <c r="S102" i="78"/>
  <c r="Z102" i="78" s="1"/>
  <c r="S101" i="78"/>
  <c r="S100" i="78"/>
  <c r="Z100" i="78" s="1"/>
  <c r="S99" i="78"/>
  <c r="S98" i="78"/>
  <c r="Z98" i="78" s="1"/>
  <c r="S97" i="78"/>
  <c r="S96" i="78"/>
  <c r="S95" i="78"/>
  <c r="Z95" i="78" s="1"/>
  <c r="S94" i="78"/>
  <c r="Z94" i="78" s="1"/>
  <c r="S93" i="78"/>
  <c r="S92" i="78"/>
  <c r="Z92" i="78" s="1"/>
  <c r="P103" i="78"/>
  <c r="P102" i="78"/>
  <c r="P101" i="78"/>
  <c r="P100" i="78"/>
  <c r="P99" i="78"/>
  <c r="P98" i="78"/>
  <c r="P97" i="78"/>
  <c r="P96" i="78"/>
  <c r="P95" i="78"/>
  <c r="P94" i="78"/>
  <c r="P93" i="78"/>
  <c r="P92" i="78"/>
  <c r="O103" i="78"/>
  <c r="O102" i="78"/>
  <c r="O101" i="78"/>
  <c r="O100" i="78"/>
  <c r="O99" i="78"/>
  <c r="O98" i="78"/>
  <c r="O97" i="78"/>
  <c r="O96" i="78"/>
  <c r="O95" i="78"/>
  <c r="O94" i="78"/>
  <c r="O93" i="78"/>
  <c r="O92" i="78"/>
  <c r="N103" i="78"/>
  <c r="N102" i="78"/>
  <c r="N101" i="78"/>
  <c r="N100" i="78"/>
  <c r="N99" i="78"/>
  <c r="N98" i="78"/>
  <c r="N97" i="78"/>
  <c r="N96" i="78"/>
  <c r="N95" i="78"/>
  <c r="N94" i="78"/>
  <c r="N93" i="78"/>
  <c r="N92" i="78"/>
  <c r="M103" i="78"/>
  <c r="M102" i="78"/>
  <c r="M101" i="78"/>
  <c r="M100" i="78"/>
  <c r="M99" i="78"/>
  <c r="M98" i="78"/>
  <c r="M97" i="78"/>
  <c r="M96" i="78"/>
  <c r="M95" i="78"/>
  <c r="M94" i="78"/>
  <c r="M93" i="78"/>
  <c r="M92" i="78"/>
  <c r="L103" i="78"/>
  <c r="L102" i="78"/>
  <c r="L101" i="78"/>
  <c r="L100" i="78"/>
  <c r="L99" i="78"/>
  <c r="L98" i="78"/>
  <c r="L97" i="78"/>
  <c r="L96" i="78"/>
  <c r="L95" i="78"/>
  <c r="L94" i="78"/>
  <c r="L93" i="78"/>
  <c r="L92" i="78"/>
  <c r="K103" i="78"/>
  <c r="K102" i="78"/>
  <c r="K101" i="78"/>
  <c r="K100" i="78"/>
  <c r="K99" i="78"/>
  <c r="K98" i="78"/>
  <c r="K97" i="78"/>
  <c r="K96" i="78"/>
  <c r="K95" i="78"/>
  <c r="K94" i="78"/>
  <c r="K93" i="78"/>
  <c r="K92" i="78"/>
  <c r="J103" i="78"/>
  <c r="J102" i="78"/>
  <c r="J101" i="78"/>
  <c r="J100" i="78"/>
  <c r="Q100" i="78" s="1"/>
  <c r="J99" i="78"/>
  <c r="J98" i="78"/>
  <c r="J97" i="78"/>
  <c r="J96" i="78"/>
  <c r="J95" i="78"/>
  <c r="J94" i="78"/>
  <c r="Q94" i="78" s="1"/>
  <c r="J93" i="78"/>
  <c r="J92" i="78"/>
  <c r="Q92" i="78" s="1"/>
  <c r="AQ91" i="78"/>
  <c r="AQ90" i="78"/>
  <c r="AQ89" i="78"/>
  <c r="AQ88" i="78"/>
  <c r="AQ87" i="78"/>
  <c r="AQ86" i="78"/>
  <c r="AQ85" i="78"/>
  <c r="AQ84" i="78"/>
  <c r="AQ83" i="78"/>
  <c r="AQ82" i="78"/>
  <c r="AQ81" i="78"/>
  <c r="AQ80" i="78"/>
  <c r="AP91" i="78"/>
  <c r="AP90" i="78"/>
  <c r="AP89" i="78"/>
  <c r="AP88" i="78"/>
  <c r="AP87" i="78"/>
  <c r="AP86" i="78"/>
  <c r="AP85" i="78"/>
  <c r="AP84" i="78"/>
  <c r="AP83" i="78"/>
  <c r="AP82" i="78"/>
  <c r="AP81" i="78"/>
  <c r="AP80" i="78"/>
  <c r="AO91" i="78"/>
  <c r="AO90" i="78"/>
  <c r="AO89" i="78"/>
  <c r="AO88" i="78"/>
  <c r="AO87" i="78"/>
  <c r="AO86" i="78"/>
  <c r="AO85" i="78"/>
  <c r="AO84" i="78"/>
  <c r="AO83" i="78"/>
  <c r="AO82" i="78"/>
  <c r="AO81" i="78"/>
  <c r="AO80" i="78"/>
  <c r="AN91" i="78"/>
  <c r="AN90" i="78"/>
  <c r="AN89" i="78"/>
  <c r="AN88" i="78"/>
  <c r="AN87" i="78"/>
  <c r="AN86" i="78"/>
  <c r="AN85" i="78"/>
  <c r="AN84" i="78"/>
  <c r="AN83" i="78"/>
  <c r="AN82" i="78"/>
  <c r="AN81" i="78"/>
  <c r="AN80" i="78"/>
  <c r="AM91" i="78"/>
  <c r="AM90" i="78"/>
  <c r="AM89" i="78"/>
  <c r="AM88" i="78"/>
  <c r="AM87" i="78"/>
  <c r="AM86" i="78"/>
  <c r="AM85" i="78"/>
  <c r="AM84" i="78"/>
  <c r="AM83" i="78"/>
  <c r="AM82" i="78"/>
  <c r="AM81" i="78"/>
  <c r="AM80" i="78"/>
  <c r="AL91" i="78"/>
  <c r="AL90" i="78"/>
  <c r="AL89" i="78"/>
  <c r="AL88" i="78"/>
  <c r="AL87" i="78"/>
  <c r="AL86" i="78"/>
  <c r="AL85" i="78"/>
  <c r="AL84" i="78"/>
  <c r="AL83" i="78"/>
  <c r="AL82" i="78"/>
  <c r="AL81" i="78"/>
  <c r="AL80" i="78"/>
  <c r="AK91" i="78"/>
  <c r="AK90" i="78"/>
  <c r="AK89" i="78"/>
  <c r="AR89" i="78" s="1"/>
  <c r="AK88" i="78"/>
  <c r="AR88" i="78" s="1"/>
  <c r="AK87" i="78"/>
  <c r="AR87" i="78" s="1"/>
  <c r="AK86" i="78"/>
  <c r="AK85" i="78"/>
  <c r="AR85" i="78" s="1"/>
  <c r="AK84" i="78"/>
  <c r="AR84" i="78" s="1"/>
  <c r="AK83" i="78"/>
  <c r="AK82" i="78"/>
  <c r="AK81" i="78"/>
  <c r="AR81" i="78" s="1"/>
  <c r="AK80" i="78"/>
  <c r="AR80" i="78" s="1"/>
  <c r="AH91" i="78"/>
  <c r="AH90" i="78"/>
  <c r="AH89" i="78"/>
  <c r="AH88" i="78"/>
  <c r="AH87" i="78"/>
  <c r="AH86" i="78"/>
  <c r="AH85" i="78"/>
  <c r="AH84" i="78"/>
  <c r="AH83" i="78"/>
  <c r="AH82" i="78"/>
  <c r="AH81" i="78"/>
  <c r="AH80" i="78"/>
  <c r="AG91" i="78"/>
  <c r="AG90" i="78"/>
  <c r="AG89" i="78"/>
  <c r="AG88" i="78"/>
  <c r="AG87" i="78"/>
  <c r="AG86" i="78"/>
  <c r="AG85" i="78"/>
  <c r="AG84" i="78"/>
  <c r="AG83" i="78"/>
  <c r="AG82" i="78"/>
  <c r="AG81" i="78"/>
  <c r="AG80" i="78"/>
  <c r="AF91" i="78"/>
  <c r="AF90" i="78"/>
  <c r="AF89" i="78"/>
  <c r="AF88" i="78"/>
  <c r="AF87" i="78"/>
  <c r="AF86" i="78"/>
  <c r="AF85" i="78"/>
  <c r="AF84" i="78"/>
  <c r="AF83" i="78"/>
  <c r="AF82" i="78"/>
  <c r="AF81" i="78"/>
  <c r="AF80" i="78"/>
  <c r="AE91" i="78"/>
  <c r="AE90" i="78"/>
  <c r="AE89" i="78"/>
  <c r="AE88" i="78"/>
  <c r="AE87" i="78"/>
  <c r="AE86" i="78"/>
  <c r="AE85" i="78"/>
  <c r="AE84" i="78"/>
  <c r="AE83" i="78"/>
  <c r="AE82" i="78"/>
  <c r="AE81" i="78"/>
  <c r="AE80" i="78"/>
  <c r="AD91" i="78"/>
  <c r="AD90" i="78"/>
  <c r="AD89" i="78"/>
  <c r="AD88" i="78"/>
  <c r="AD87" i="78"/>
  <c r="AD86" i="78"/>
  <c r="AD85" i="78"/>
  <c r="AD84" i="78"/>
  <c r="AD83" i="78"/>
  <c r="AD82" i="78"/>
  <c r="AD81" i="78"/>
  <c r="AD80" i="78"/>
  <c r="AC91" i="78"/>
  <c r="AC90" i="78"/>
  <c r="AC89" i="78"/>
  <c r="AC88" i="78"/>
  <c r="AC87" i="78"/>
  <c r="AC86" i="78"/>
  <c r="AC85" i="78"/>
  <c r="AC84" i="78"/>
  <c r="AC83" i="78"/>
  <c r="AC82" i="78"/>
  <c r="AC81" i="78"/>
  <c r="AC80" i="78"/>
  <c r="AB91" i="78"/>
  <c r="AB90" i="78"/>
  <c r="AB89" i="78"/>
  <c r="AI89" i="78" s="1"/>
  <c r="AB88" i="78"/>
  <c r="AI88" i="78" s="1"/>
  <c r="AB87" i="78"/>
  <c r="AB86" i="78"/>
  <c r="AB85" i="78"/>
  <c r="AI85" i="78" s="1"/>
  <c r="AB84" i="78"/>
  <c r="AB83" i="78"/>
  <c r="AB82" i="78"/>
  <c r="AB81" i="78"/>
  <c r="AI81" i="78" s="1"/>
  <c r="AB80" i="78"/>
  <c r="AI80" i="78" s="1"/>
  <c r="AI91" i="78"/>
  <c r="AI82" i="78"/>
  <c r="Y91" i="78"/>
  <c r="Y90" i="78"/>
  <c r="Y89" i="78"/>
  <c r="Y88" i="78"/>
  <c r="Y87" i="78"/>
  <c r="Y86" i="78"/>
  <c r="Y85" i="78"/>
  <c r="Y84" i="78"/>
  <c r="Y83" i="78"/>
  <c r="Y82" i="78"/>
  <c r="Y81" i="78"/>
  <c r="Y80" i="78"/>
  <c r="X91" i="78"/>
  <c r="X90" i="78"/>
  <c r="X89" i="78"/>
  <c r="X88" i="78"/>
  <c r="X87" i="78"/>
  <c r="X86" i="78"/>
  <c r="X85" i="78"/>
  <c r="X84" i="78"/>
  <c r="X83" i="78"/>
  <c r="X82" i="78"/>
  <c r="X81" i="78"/>
  <c r="X80" i="78"/>
  <c r="W91" i="78"/>
  <c r="W90" i="78"/>
  <c r="W89" i="78"/>
  <c r="W88" i="78"/>
  <c r="W87" i="78"/>
  <c r="W86" i="78"/>
  <c r="W85" i="78"/>
  <c r="W84" i="78"/>
  <c r="W83" i="78"/>
  <c r="W82" i="78"/>
  <c r="W81" i="78"/>
  <c r="W80" i="78"/>
  <c r="V91" i="78"/>
  <c r="V90" i="78"/>
  <c r="V89" i="78"/>
  <c r="V88" i="78"/>
  <c r="V87" i="78"/>
  <c r="V86" i="78"/>
  <c r="V85" i="78"/>
  <c r="V84" i="78"/>
  <c r="V83" i="78"/>
  <c r="V82" i="78"/>
  <c r="V81" i="78"/>
  <c r="V80" i="78"/>
  <c r="U91" i="78"/>
  <c r="U90" i="78"/>
  <c r="U89" i="78"/>
  <c r="U88" i="78"/>
  <c r="U87" i="78"/>
  <c r="U86" i="78"/>
  <c r="U85" i="78"/>
  <c r="U84" i="78"/>
  <c r="U83" i="78"/>
  <c r="U82" i="78"/>
  <c r="U81" i="78"/>
  <c r="U80" i="78"/>
  <c r="T91" i="78"/>
  <c r="T90" i="78"/>
  <c r="T89" i="78"/>
  <c r="T88" i="78"/>
  <c r="T87" i="78"/>
  <c r="T86" i="78"/>
  <c r="T85" i="78"/>
  <c r="T84" i="78"/>
  <c r="T83" i="78"/>
  <c r="T82" i="78"/>
  <c r="T81" i="78"/>
  <c r="T80" i="78"/>
  <c r="S91" i="78"/>
  <c r="S90" i="78"/>
  <c r="S89" i="78"/>
  <c r="S88" i="78"/>
  <c r="Z88" i="78" s="1"/>
  <c r="S87" i="78"/>
  <c r="S86" i="78"/>
  <c r="S85" i="78"/>
  <c r="S84" i="78"/>
  <c r="S83" i="78"/>
  <c r="S82" i="78"/>
  <c r="Z82" i="78" s="1"/>
  <c r="S81" i="78"/>
  <c r="S80" i="78"/>
  <c r="Z80" i="78" s="1"/>
  <c r="P91" i="78"/>
  <c r="P90" i="78"/>
  <c r="P89" i="78"/>
  <c r="P88" i="78"/>
  <c r="P87" i="78"/>
  <c r="P86" i="78"/>
  <c r="P85" i="78"/>
  <c r="P84" i="78"/>
  <c r="P83" i="78"/>
  <c r="P82" i="78"/>
  <c r="P81" i="78"/>
  <c r="P80" i="78"/>
  <c r="O91" i="78"/>
  <c r="O90" i="78"/>
  <c r="O89" i="78"/>
  <c r="O88" i="78"/>
  <c r="O87" i="78"/>
  <c r="O86" i="78"/>
  <c r="O85" i="78"/>
  <c r="O84" i="78"/>
  <c r="O83" i="78"/>
  <c r="O82" i="78"/>
  <c r="O81" i="78"/>
  <c r="O80" i="78"/>
  <c r="N91" i="78"/>
  <c r="N90" i="78"/>
  <c r="N89" i="78"/>
  <c r="N88" i="78"/>
  <c r="N87" i="78"/>
  <c r="N86" i="78"/>
  <c r="N85" i="78"/>
  <c r="N84" i="78"/>
  <c r="N83" i="78"/>
  <c r="N82" i="78"/>
  <c r="N81" i="78"/>
  <c r="N80" i="78"/>
  <c r="M91" i="78"/>
  <c r="M90" i="78"/>
  <c r="M89" i="78"/>
  <c r="M88" i="78"/>
  <c r="M87" i="78"/>
  <c r="M86" i="78"/>
  <c r="M85" i="78"/>
  <c r="M84" i="78"/>
  <c r="M83" i="78"/>
  <c r="M82" i="78"/>
  <c r="M81" i="78"/>
  <c r="M80" i="78"/>
  <c r="L91" i="78"/>
  <c r="L90" i="78"/>
  <c r="L89" i="78"/>
  <c r="L88" i="78"/>
  <c r="L87" i="78"/>
  <c r="L86" i="78"/>
  <c r="L85" i="78"/>
  <c r="L84" i="78"/>
  <c r="L83" i="78"/>
  <c r="L82" i="78"/>
  <c r="L81" i="78"/>
  <c r="L80" i="78"/>
  <c r="K91" i="78"/>
  <c r="K90" i="78"/>
  <c r="K89" i="78"/>
  <c r="K88" i="78"/>
  <c r="K87" i="78"/>
  <c r="K86" i="78"/>
  <c r="K85" i="78"/>
  <c r="K84" i="78"/>
  <c r="K83" i="78"/>
  <c r="K82" i="78"/>
  <c r="K81" i="78"/>
  <c r="K80" i="78"/>
  <c r="J91" i="78"/>
  <c r="J90" i="78"/>
  <c r="J89" i="78"/>
  <c r="Q89" i="78" s="1"/>
  <c r="J88" i="78"/>
  <c r="J87" i="78"/>
  <c r="Q87" i="78" s="1"/>
  <c r="J86" i="78"/>
  <c r="J85" i="78"/>
  <c r="J84" i="78"/>
  <c r="J83" i="78"/>
  <c r="Q83" i="78" s="1"/>
  <c r="J82" i="78"/>
  <c r="J81" i="78"/>
  <c r="J80" i="78"/>
  <c r="AQ79" i="78"/>
  <c r="AQ78" i="78"/>
  <c r="AQ77" i="78"/>
  <c r="AQ76" i="78"/>
  <c r="AQ75" i="78"/>
  <c r="AQ74" i="78"/>
  <c r="AQ73" i="78"/>
  <c r="AQ72" i="78"/>
  <c r="AQ71" i="78"/>
  <c r="AQ70" i="78"/>
  <c r="AQ69" i="78"/>
  <c r="AQ68" i="78"/>
  <c r="AP79" i="78"/>
  <c r="AP78" i="78"/>
  <c r="AP77" i="78"/>
  <c r="AP76" i="78"/>
  <c r="AP75" i="78"/>
  <c r="AP74" i="78"/>
  <c r="AP73" i="78"/>
  <c r="AP72" i="78"/>
  <c r="AP71" i="78"/>
  <c r="AP70" i="78"/>
  <c r="AP69" i="78"/>
  <c r="AP68" i="78"/>
  <c r="AO79" i="78"/>
  <c r="AO78" i="78"/>
  <c r="AO77" i="78"/>
  <c r="AO76" i="78"/>
  <c r="AO75" i="78"/>
  <c r="AO74" i="78"/>
  <c r="AO73" i="78"/>
  <c r="AO72" i="78"/>
  <c r="AO71" i="78"/>
  <c r="AO70" i="78"/>
  <c r="AO69" i="78"/>
  <c r="AO68" i="78"/>
  <c r="AN79" i="78"/>
  <c r="AN78" i="78"/>
  <c r="AN77" i="78"/>
  <c r="AN76" i="78"/>
  <c r="AN75" i="78"/>
  <c r="AN74" i="78"/>
  <c r="AN73" i="78"/>
  <c r="AN72" i="78"/>
  <c r="AN71" i="78"/>
  <c r="AN70" i="78"/>
  <c r="AN69" i="78"/>
  <c r="AN68" i="78"/>
  <c r="AM79" i="78"/>
  <c r="AM78" i="78"/>
  <c r="AM77" i="78"/>
  <c r="AM76" i="78"/>
  <c r="AM75" i="78"/>
  <c r="AM74" i="78"/>
  <c r="AM73" i="78"/>
  <c r="AM72" i="78"/>
  <c r="AM71" i="78"/>
  <c r="AM70" i="78"/>
  <c r="AM69" i="78"/>
  <c r="AM68" i="78"/>
  <c r="AL79" i="78"/>
  <c r="AL78" i="78"/>
  <c r="AL77" i="78"/>
  <c r="AL76" i="78"/>
  <c r="AL75" i="78"/>
  <c r="AL74" i="78"/>
  <c r="AL73" i="78"/>
  <c r="AL72" i="78"/>
  <c r="AL71" i="78"/>
  <c r="AL70" i="78"/>
  <c r="AL69" i="78"/>
  <c r="AL68" i="78"/>
  <c r="AK79" i="78"/>
  <c r="AK78" i="78"/>
  <c r="AK77" i="78"/>
  <c r="AK76" i="78"/>
  <c r="AK75" i="78"/>
  <c r="AR75" i="78" s="1"/>
  <c r="AK74" i="78"/>
  <c r="AK73" i="78"/>
  <c r="AK72" i="78"/>
  <c r="AK71" i="78"/>
  <c r="AK70" i="78"/>
  <c r="AK69" i="78"/>
  <c r="AK68" i="78"/>
  <c r="AR79" i="78"/>
  <c r="AH79" i="78"/>
  <c r="AH78" i="78"/>
  <c r="AH77" i="78"/>
  <c r="AH76" i="78"/>
  <c r="AH75" i="78"/>
  <c r="AH74" i="78"/>
  <c r="AH73" i="78"/>
  <c r="AH72" i="78"/>
  <c r="AH71" i="78"/>
  <c r="AH70" i="78"/>
  <c r="AH69" i="78"/>
  <c r="AH68" i="78"/>
  <c r="AG79" i="78"/>
  <c r="AG78" i="78"/>
  <c r="AG77" i="78"/>
  <c r="AG76" i="78"/>
  <c r="AG75" i="78"/>
  <c r="AG74" i="78"/>
  <c r="AG73" i="78"/>
  <c r="AG72" i="78"/>
  <c r="AG71" i="78"/>
  <c r="AG70" i="78"/>
  <c r="AG69" i="78"/>
  <c r="AG68" i="78"/>
  <c r="AF79" i="78"/>
  <c r="AF78" i="78"/>
  <c r="AF77" i="78"/>
  <c r="AF76" i="78"/>
  <c r="AF75" i="78"/>
  <c r="AF74" i="78"/>
  <c r="AF73" i="78"/>
  <c r="AF72" i="78"/>
  <c r="AF71" i="78"/>
  <c r="AF70" i="78"/>
  <c r="AF69" i="78"/>
  <c r="AF68" i="78"/>
  <c r="AE79" i="78"/>
  <c r="AE78" i="78"/>
  <c r="AE77" i="78"/>
  <c r="AE76" i="78"/>
  <c r="AE75" i="78"/>
  <c r="AE74" i="78"/>
  <c r="AE73" i="78"/>
  <c r="AE72" i="78"/>
  <c r="AE71" i="78"/>
  <c r="AE70" i="78"/>
  <c r="AE69" i="78"/>
  <c r="AE68" i="78"/>
  <c r="AD79" i="78"/>
  <c r="AD78" i="78"/>
  <c r="AD77" i="78"/>
  <c r="AD76" i="78"/>
  <c r="AD75" i="78"/>
  <c r="AD74" i="78"/>
  <c r="AD73" i="78"/>
  <c r="AD72" i="78"/>
  <c r="AD71" i="78"/>
  <c r="AD70" i="78"/>
  <c r="AD69" i="78"/>
  <c r="AD68" i="78"/>
  <c r="AC79" i="78"/>
  <c r="AC78" i="78"/>
  <c r="AC77" i="78"/>
  <c r="AC76" i="78"/>
  <c r="AC75" i="78"/>
  <c r="AC74" i="78"/>
  <c r="AC73" i="78"/>
  <c r="AC72" i="78"/>
  <c r="AC71" i="78"/>
  <c r="AC70" i="78"/>
  <c r="AC69" i="78"/>
  <c r="AC68" i="78"/>
  <c r="AB79" i="78"/>
  <c r="AB78" i="78"/>
  <c r="AI78" i="78" s="1"/>
  <c r="AB77" i="78"/>
  <c r="AB76" i="78"/>
  <c r="AB75" i="78"/>
  <c r="AI75" i="78" s="1"/>
  <c r="AB74" i="78"/>
  <c r="AI74" i="78" s="1"/>
  <c r="AB73" i="78"/>
  <c r="AB72" i="78"/>
  <c r="AB71" i="78"/>
  <c r="AI71" i="78" s="1"/>
  <c r="AB70" i="78"/>
  <c r="AI70" i="78" s="1"/>
  <c r="AB69" i="78"/>
  <c r="AB68" i="78"/>
  <c r="Y79" i="78"/>
  <c r="Y78" i="78"/>
  <c r="Y77" i="78"/>
  <c r="Y76" i="78"/>
  <c r="Y75" i="78"/>
  <c r="Y74" i="78"/>
  <c r="Y73" i="78"/>
  <c r="Y72" i="78"/>
  <c r="Y71" i="78"/>
  <c r="Y70" i="78"/>
  <c r="Y69" i="78"/>
  <c r="Y68" i="78"/>
  <c r="X79" i="78"/>
  <c r="X78" i="78"/>
  <c r="X77" i="78"/>
  <c r="X76" i="78"/>
  <c r="X75" i="78"/>
  <c r="X74" i="78"/>
  <c r="X73" i="78"/>
  <c r="X72" i="78"/>
  <c r="X71" i="78"/>
  <c r="X70" i="78"/>
  <c r="X69" i="78"/>
  <c r="X68" i="78"/>
  <c r="W79" i="78"/>
  <c r="W78" i="78"/>
  <c r="W77" i="78"/>
  <c r="W76" i="78"/>
  <c r="W75" i="78"/>
  <c r="W74" i="78"/>
  <c r="W73" i="78"/>
  <c r="W72" i="78"/>
  <c r="W71" i="78"/>
  <c r="W70" i="78"/>
  <c r="W69" i="78"/>
  <c r="W68" i="78"/>
  <c r="V79" i="78"/>
  <c r="V78" i="78"/>
  <c r="V77" i="78"/>
  <c r="V76" i="78"/>
  <c r="V75" i="78"/>
  <c r="V74" i="78"/>
  <c r="V73" i="78"/>
  <c r="V72" i="78"/>
  <c r="V71" i="78"/>
  <c r="V70" i="78"/>
  <c r="V69" i="78"/>
  <c r="V68" i="78"/>
  <c r="U79" i="78"/>
  <c r="U78" i="78"/>
  <c r="U77" i="78"/>
  <c r="U76" i="78"/>
  <c r="U75" i="78"/>
  <c r="U74" i="78"/>
  <c r="U73" i="78"/>
  <c r="U72" i="78"/>
  <c r="U71" i="78"/>
  <c r="U70" i="78"/>
  <c r="U69" i="78"/>
  <c r="U68" i="78"/>
  <c r="T79" i="78"/>
  <c r="T78" i="78"/>
  <c r="T77" i="78"/>
  <c r="T76" i="78"/>
  <c r="T75" i="78"/>
  <c r="T74" i="78"/>
  <c r="T73" i="78"/>
  <c r="T72" i="78"/>
  <c r="T71" i="78"/>
  <c r="T70" i="78"/>
  <c r="T69" i="78"/>
  <c r="T68" i="78"/>
  <c r="S79" i="78"/>
  <c r="S78" i="78"/>
  <c r="S77" i="78"/>
  <c r="S76" i="78"/>
  <c r="S75" i="78"/>
  <c r="S74" i="78"/>
  <c r="S73" i="78"/>
  <c r="S72" i="78"/>
  <c r="S71" i="78"/>
  <c r="S70" i="78"/>
  <c r="S69" i="78"/>
  <c r="Z69" i="78" s="1"/>
  <c r="S68" i="78"/>
  <c r="P79" i="78"/>
  <c r="P78" i="78"/>
  <c r="P77" i="78"/>
  <c r="P76" i="78"/>
  <c r="P75" i="78"/>
  <c r="P74" i="78"/>
  <c r="P73" i="78"/>
  <c r="P72" i="78"/>
  <c r="P71" i="78"/>
  <c r="P70" i="78"/>
  <c r="P69" i="78"/>
  <c r="P68" i="78"/>
  <c r="O79" i="78"/>
  <c r="O78" i="78"/>
  <c r="O77" i="78"/>
  <c r="O76" i="78"/>
  <c r="O75" i="78"/>
  <c r="O74" i="78"/>
  <c r="O73" i="78"/>
  <c r="O72" i="78"/>
  <c r="O71" i="78"/>
  <c r="O70" i="78"/>
  <c r="O69" i="78"/>
  <c r="O68" i="78"/>
  <c r="N79" i="78"/>
  <c r="N78" i="78"/>
  <c r="N77" i="78"/>
  <c r="N76" i="78"/>
  <c r="N75" i="78"/>
  <c r="N74" i="78"/>
  <c r="N73" i="78"/>
  <c r="N72" i="78"/>
  <c r="N71" i="78"/>
  <c r="N70" i="78"/>
  <c r="N69" i="78"/>
  <c r="N68" i="78"/>
  <c r="M79" i="78"/>
  <c r="M78" i="78"/>
  <c r="M77" i="78"/>
  <c r="M76" i="78"/>
  <c r="M75" i="78"/>
  <c r="M74" i="78"/>
  <c r="M73" i="78"/>
  <c r="M72" i="78"/>
  <c r="M71" i="78"/>
  <c r="M70" i="78"/>
  <c r="M69" i="78"/>
  <c r="M68" i="78"/>
  <c r="L79" i="78"/>
  <c r="L78" i="78"/>
  <c r="L77" i="78"/>
  <c r="L76" i="78"/>
  <c r="L75" i="78"/>
  <c r="L74" i="78"/>
  <c r="L73" i="78"/>
  <c r="L72" i="78"/>
  <c r="L71" i="78"/>
  <c r="L70" i="78"/>
  <c r="L69" i="78"/>
  <c r="L68" i="78"/>
  <c r="K79" i="78"/>
  <c r="K78" i="78"/>
  <c r="K77" i="78"/>
  <c r="K76" i="78"/>
  <c r="K75" i="78"/>
  <c r="K74" i="78"/>
  <c r="K73" i="78"/>
  <c r="K72" i="78"/>
  <c r="K71" i="78"/>
  <c r="K70" i="78"/>
  <c r="K69" i="78"/>
  <c r="K68" i="78"/>
  <c r="J79" i="78"/>
  <c r="Q79" i="78" s="1"/>
  <c r="J78" i="78"/>
  <c r="J77" i="78"/>
  <c r="J76" i="78"/>
  <c r="Q76" i="78" s="1"/>
  <c r="J75" i="78"/>
  <c r="J74" i="78"/>
  <c r="J73" i="78"/>
  <c r="J72" i="78"/>
  <c r="J71" i="78"/>
  <c r="J70" i="78"/>
  <c r="J69" i="78"/>
  <c r="J68" i="78"/>
  <c r="Q68" i="78" s="1"/>
  <c r="AR104" i="78"/>
  <c r="AQ67" i="78"/>
  <c r="AP67" i="78"/>
  <c r="AO67" i="78"/>
  <c r="AN67" i="78"/>
  <c r="AM67" i="78"/>
  <c r="AL67" i="78"/>
  <c r="AK67" i="78"/>
  <c r="AQ66" i="78"/>
  <c r="AP66" i="78"/>
  <c r="AO66" i="78"/>
  <c r="AN66" i="78"/>
  <c r="AM66" i="78"/>
  <c r="AL66" i="78"/>
  <c r="AK66" i="78"/>
  <c r="AQ65" i="78"/>
  <c r="AP65" i="78"/>
  <c r="AO65" i="78"/>
  <c r="AN65" i="78"/>
  <c r="AM65" i="78"/>
  <c r="AL65" i="78"/>
  <c r="AK65" i="78"/>
  <c r="AQ64" i="78"/>
  <c r="AP64" i="78"/>
  <c r="AO64" i="78"/>
  <c r="AN64" i="78"/>
  <c r="AM64" i="78"/>
  <c r="AL64" i="78"/>
  <c r="AK64" i="78"/>
  <c r="AQ63" i="78"/>
  <c r="AP63" i="78"/>
  <c r="AO63" i="78"/>
  <c r="AN63" i="78"/>
  <c r="AM63" i="78"/>
  <c r="AL63" i="78"/>
  <c r="AK63" i="78"/>
  <c r="AQ62" i="78"/>
  <c r="AP62" i="78"/>
  <c r="AO62" i="78"/>
  <c r="AN62" i="78"/>
  <c r="AM62" i="78"/>
  <c r="AL62" i="78"/>
  <c r="AK62" i="78"/>
  <c r="AQ61" i="78"/>
  <c r="AP61" i="78"/>
  <c r="AO61" i="78"/>
  <c r="AN61" i="78"/>
  <c r="AM61" i="78"/>
  <c r="AL61" i="78"/>
  <c r="AK61" i="78"/>
  <c r="AQ60" i="78"/>
  <c r="AP60" i="78"/>
  <c r="AO60" i="78"/>
  <c r="AN60" i="78"/>
  <c r="AM60" i="78"/>
  <c r="AL60" i="78"/>
  <c r="AK60" i="78"/>
  <c r="AQ59" i="78"/>
  <c r="AP59" i="78"/>
  <c r="AO59" i="78"/>
  <c r="AN59" i="78"/>
  <c r="AM59" i="78"/>
  <c r="AL59" i="78"/>
  <c r="AK59" i="78"/>
  <c r="AQ58" i="78"/>
  <c r="AP58" i="78"/>
  <c r="AO58" i="78"/>
  <c r="AN58" i="78"/>
  <c r="AM58" i="78"/>
  <c r="AL58" i="78"/>
  <c r="AK58" i="78"/>
  <c r="AQ57" i="78"/>
  <c r="AP57" i="78"/>
  <c r="AO57" i="78"/>
  <c r="AN57" i="78"/>
  <c r="AM57" i="78"/>
  <c r="AL57" i="78"/>
  <c r="AK57" i="78"/>
  <c r="AK56" i="78"/>
  <c r="AL56" i="78"/>
  <c r="AM56" i="78"/>
  <c r="AN56" i="78"/>
  <c r="AO56" i="78"/>
  <c r="AP56" i="78"/>
  <c r="AQ56" i="78"/>
  <c r="AH67" i="78"/>
  <c r="AG67" i="78"/>
  <c r="AF67" i="78"/>
  <c r="AE67" i="78"/>
  <c r="AD67" i="78"/>
  <c r="AC67" i="78"/>
  <c r="AB67" i="78"/>
  <c r="AH66" i="78"/>
  <c r="AG66" i="78"/>
  <c r="AF66" i="78"/>
  <c r="AE66" i="78"/>
  <c r="AD66" i="78"/>
  <c r="AC66" i="78"/>
  <c r="AB66" i="78"/>
  <c r="AH65" i="78"/>
  <c r="AG65" i="78"/>
  <c r="AF65" i="78"/>
  <c r="AE65" i="78"/>
  <c r="AD65" i="78"/>
  <c r="AC65" i="78"/>
  <c r="AB65" i="78"/>
  <c r="AH64" i="78"/>
  <c r="AG64" i="78"/>
  <c r="AF64" i="78"/>
  <c r="AE64" i="78"/>
  <c r="AD64" i="78"/>
  <c r="AC64" i="78"/>
  <c r="AB64" i="78"/>
  <c r="AH63" i="78"/>
  <c r="AG63" i="78"/>
  <c r="AF63" i="78"/>
  <c r="AE63" i="78"/>
  <c r="AD63" i="78"/>
  <c r="AC63" i="78"/>
  <c r="AB63" i="78"/>
  <c r="AH62" i="78"/>
  <c r="AG62" i="78"/>
  <c r="AF62" i="78"/>
  <c r="AE62" i="78"/>
  <c r="AD62" i="78"/>
  <c r="AC62" i="78"/>
  <c r="AB62" i="78"/>
  <c r="AH61" i="78"/>
  <c r="AG61" i="78"/>
  <c r="AF61" i="78"/>
  <c r="AE61" i="78"/>
  <c r="AD61" i="78"/>
  <c r="AC61" i="78"/>
  <c r="AB61" i="78"/>
  <c r="AH60" i="78"/>
  <c r="AG60" i="78"/>
  <c r="AF60" i="78"/>
  <c r="AE60" i="78"/>
  <c r="AD60" i="78"/>
  <c r="AC60" i="78"/>
  <c r="AB60" i="78"/>
  <c r="AH59" i="78"/>
  <c r="AG59" i="78"/>
  <c r="AF59" i="78"/>
  <c r="AE59" i="78"/>
  <c r="AD59" i="78"/>
  <c r="AC59" i="78"/>
  <c r="AB59" i="78"/>
  <c r="AH58" i="78"/>
  <c r="AG58" i="78"/>
  <c r="AF58" i="78"/>
  <c r="AE58" i="78"/>
  <c r="AD58" i="78"/>
  <c r="AC58" i="78"/>
  <c r="AB58" i="78"/>
  <c r="AH57" i="78"/>
  <c r="AG57" i="78"/>
  <c r="AF57" i="78"/>
  <c r="AE57" i="78"/>
  <c r="AD57" i="78"/>
  <c r="AC57" i="78"/>
  <c r="AB57" i="78"/>
  <c r="Y67" i="78"/>
  <c r="X67" i="78"/>
  <c r="W67" i="78"/>
  <c r="V67" i="78"/>
  <c r="U67" i="78"/>
  <c r="T67" i="78"/>
  <c r="S67" i="78"/>
  <c r="Y66" i="78"/>
  <c r="X66" i="78"/>
  <c r="W66" i="78"/>
  <c r="V66" i="78"/>
  <c r="U66" i="78"/>
  <c r="T66" i="78"/>
  <c r="S66" i="78"/>
  <c r="Y65" i="78"/>
  <c r="X65" i="78"/>
  <c r="W65" i="78"/>
  <c r="V65" i="78"/>
  <c r="U65" i="78"/>
  <c r="T65" i="78"/>
  <c r="S65" i="78"/>
  <c r="Y64" i="78"/>
  <c r="X64" i="78"/>
  <c r="W64" i="78"/>
  <c r="V64" i="78"/>
  <c r="U64" i="78"/>
  <c r="T64" i="78"/>
  <c r="S64" i="78"/>
  <c r="Y63" i="78"/>
  <c r="X63" i="78"/>
  <c r="W63" i="78"/>
  <c r="V63" i="78"/>
  <c r="U63" i="78"/>
  <c r="T63" i="78"/>
  <c r="S63" i="78"/>
  <c r="Y62" i="78"/>
  <c r="X62" i="78"/>
  <c r="W62" i="78"/>
  <c r="V62" i="78"/>
  <c r="U62" i="78"/>
  <c r="T62" i="78"/>
  <c r="S62" i="78"/>
  <c r="Y61" i="78"/>
  <c r="X61" i="78"/>
  <c r="W61" i="78"/>
  <c r="V61" i="78"/>
  <c r="U61" i="78"/>
  <c r="T61" i="78"/>
  <c r="S61" i="78"/>
  <c r="Y60" i="78"/>
  <c r="X60" i="78"/>
  <c r="W60" i="78"/>
  <c r="V60" i="78"/>
  <c r="U60" i="78"/>
  <c r="T60" i="78"/>
  <c r="S60" i="78"/>
  <c r="Y59" i="78"/>
  <c r="X59" i="78"/>
  <c r="W59" i="78"/>
  <c r="V59" i="78"/>
  <c r="U59" i="78"/>
  <c r="T59" i="78"/>
  <c r="S59" i="78"/>
  <c r="Y58" i="78"/>
  <c r="X58" i="78"/>
  <c r="W58" i="78"/>
  <c r="V58" i="78"/>
  <c r="U58" i="78"/>
  <c r="T58" i="78"/>
  <c r="S58" i="78"/>
  <c r="Y57" i="78"/>
  <c r="X57" i="78"/>
  <c r="W57" i="78"/>
  <c r="V57" i="78"/>
  <c r="U57" i="78"/>
  <c r="T57" i="78"/>
  <c r="S57" i="78"/>
  <c r="P67" i="78"/>
  <c r="O67" i="78"/>
  <c r="N67" i="78"/>
  <c r="M67" i="78"/>
  <c r="L67" i="78"/>
  <c r="K67" i="78"/>
  <c r="J67" i="78"/>
  <c r="P66" i="78"/>
  <c r="O66" i="78"/>
  <c r="N66" i="78"/>
  <c r="M66" i="78"/>
  <c r="L66" i="78"/>
  <c r="K66" i="78"/>
  <c r="J66" i="78"/>
  <c r="P65" i="78"/>
  <c r="O65" i="78"/>
  <c r="N65" i="78"/>
  <c r="M65" i="78"/>
  <c r="L65" i="78"/>
  <c r="K65" i="78"/>
  <c r="J65" i="78"/>
  <c r="P64" i="78"/>
  <c r="O64" i="78"/>
  <c r="N64" i="78"/>
  <c r="M64" i="78"/>
  <c r="L64" i="78"/>
  <c r="K64" i="78"/>
  <c r="J64" i="78"/>
  <c r="P63" i="78"/>
  <c r="O63" i="78"/>
  <c r="N63" i="78"/>
  <c r="M63" i="78"/>
  <c r="L63" i="78"/>
  <c r="K63" i="78"/>
  <c r="J63" i="78"/>
  <c r="P62" i="78"/>
  <c r="O62" i="78"/>
  <c r="N62" i="78"/>
  <c r="M62" i="78"/>
  <c r="L62" i="78"/>
  <c r="K62" i="78"/>
  <c r="J62" i="78"/>
  <c r="P61" i="78"/>
  <c r="O61" i="78"/>
  <c r="N61" i="78"/>
  <c r="M61" i="78"/>
  <c r="L61" i="78"/>
  <c r="K61" i="78"/>
  <c r="J61" i="78"/>
  <c r="P60" i="78"/>
  <c r="O60" i="78"/>
  <c r="N60" i="78"/>
  <c r="M60" i="78"/>
  <c r="L60" i="78"/>
  <c r="K60" i="78"/>
  <c r="J60" i="78"/>
  <c r="P59" i="78"/>
  <c r="O59" i="78"/>
  <c r="N59" i="78"/>
  <c r="M59" i="78"/>
  <c r="L59" i="78"/>
  <c r="K59" i="78"/>
  <c r="J59" i="78"/>
  <c r="P58" i="78"/>
  <c r="O58" i="78"/>
  <c r="N58" i="78"/>
  <c r="M58" i="78"/>
  <c r="L58" i="78"/>
  <c r="K58" i="78"/>
  <c r="J58" i="78"/>
  <c r="P57" i="78"/>
  <c r="O57" i="78"/>
  <c r="N57" i="78"/>
  <c r="M57" i="78"/>
  <c r="L57" i="78"/>
  <c r="K57" i="78"/>
  <c r="J57" i="78"/>
  <c r="AH56" i="78"/>
  <c r="AG56" i="78"/>
  <c r="AF56" i="78"/>
  <c r="AE56" i="78"/>
  <c r="AD56" i="78"/>
  <c r="AC56" i="78"/>
  <c r="AB56" i="78"/>
  <c r="Y56" i="78"/>
  <c r="X56" i="78"/>
  <c r="W56" i="78"/>
  <c r="V56" i="78"/>
  <c r="U56" i="78"/>
  <c r="T56" i="78"/>
  <c r="S56" i="78"/>
  <c r="P56" i="78"/>
  <c r="O56" i="78"/>
  <c r="N56" i="78"/>
  <c r="M56" i="78"/>
  <c r="L56" i="78"/>
  <c r="K56" i="78"/>
  <c r="J56" i="78"/>
  <c r="Z44" i="78"/>
  <c r="Q37" i="78"/>
  <c r="AI79" i="78"/>
  <c r="AR55" i="78"/>
  <c r="AI55" i="78"/>
  <c r="AR54" i="78"/>
  <c r="AI54" i="78"/>
  <c r="AR53" i="78"/>
  <c r="AI53" i="78"/>
  <c r="AR52" i="78"/>
  <c r="AI52" i="78"/>
  <c r="AR51" i="78"/>
  <c r="AI51" i="78"/>
  <c r="AR50" i="78"/>
  <c r="AI50" i="78"/>
  <c r="AR49" i="78"/>
  <c r="AI49" i="78"/>
  <c r="AR48" i="78"/>
  <c r="AI48" i="78"/>
  <c r="AR47" i="78"/>
  <c r="AI47" i="78"/>
  <c r="AR46" i="78"/>
  <c r="AI46" i="78"/>
  <c r="AR45" i="78"/>
  <c r="AI45" i="78"/>
  <c r="AR44" i="78"/>
  <c r="AI44" i="78"/>
  <c r="AR43" i="78"/>
  <c r="AI43" i="78"/>
  <c r="AR42" i="78"/>
  <c r="AI42" i="78"/>
  <c r="AR41" i="78"/>
  <c r="AI41" i="78"/>
  <c r="AR40" i="78"/>
  <c r="AI40" i="78"/>
  <c r="AR39" i="78"/>
  <c r="AI39" i="78"/>
  <c r="AR38" i="78"/>
  <c r="AI38" i="78"/>
  <c r="AR37" i="78"/>
  <c r="AI37" i="78"/>
  <c r="AR36" i="78"/>
  <c r="AI36" i="78"/>
  <c r="AR35" i="78"/>
  <c r="AI35" i="78"/>
  <c r="AR34" i="78"/>
  <c r="AI34" i="78"/>
  <c r="AR33" i="78"/>
  <c r="AI33" i="78"/>
  <c r="AR32" i="78"/>
  <c r="AI32" i="78"/>
  <c r="AR31" i="78"/>
  <c r="AI31" i="78"/>
  <c r="AR30" i="78"/>
  <c r="AI30" i="78"/>
  <c r="AR29" i="78"/>
  <c r="AI29" i="78"/>
  <c r="AR28" i="78"/>
  <c r="AI28" i="78"/>
  <c r="AR27" i="78"/>
  <c r="AI27" i="78"/>
  <c r="AR26" i="78"/>
  <c r="AI26" i="78"/>
  <c r="AR25" i="78"/>
  <c r="AI25" i="78"/>
  <c r="AR24" i="78"/>
  <c r="AI24" i="78"/>
  <c r="AR23" i="78"/>
  <c r="AI23" i="78"/>
  <c r="AR22" i="78"/>
  <c r="AI22" i="78"/>
  <c r="AR21" i="78"/>
  <c r="AI21" i="78"/>
  <c r="AR20" i="78"/>
  <c r="AI20" i="78"/>
  <c r="Z22" i="78"/>
  <c r="Z23" i="78"/>
  <c r="Z24" i="78"/>
  <c r="Z25" i="78"/>
  <c r="Z26" i="78"/>
  <c r="Z27" i="78"/>
  <c r="Z28" i="78"/>
  <c r="Z29" i="78"/>
  <c r="Z30" i="78"/>
  <c r="Z31" i="78"/>
  <c r="Z32" i="78"/>
  <c r="Z33" i="78"/>
  <c r="Z34" i="78"/>
  <c r="Z35" i="78"/>
  <c r="Z36" i="78"/>
  <c r="Z37" i="78"/>
  <c r="Z38" i="78"/>
  <c r="Z39" i="78"/>
  <c r="Z40" i="78"/>
  <c r="Z41" i="78"/>
  <c r="Z42" i="78"/>
  <c r="Z43" i="78"/>
  <c r="Z45" i="78"/>
  <c r="Z46" i="78"/>
  <c r="Z47" i="78"/>
  <c r="Z48" i="78"/>
  <c r="Z49" i="78"/>
  <c r="Z50" i="78"/>
  <c r="Z51" i="78"/>
  <c r="Z52" i="78"/>
  <c r="Z53" i="78"/>
  <c r="Z54" i="78"/>
  <c r="Z55" i="78"/>
  <c r="Z99" i="78"/>
  <c r="Z104" i="78"/>
  <c r="Z21" i="78"/>
  <c r="Q21" i="78"/>
  <c r="Q22" i="78"/>
  <c r="Q23" i="78"/>
  <c r="Q24" i="78"/>
  <c r="Q25" i="78"/>
  <c r="Q26" i="78"/>
  <c r="Q27" i="78"/>
  <c r="Q28" i="78"/>
  <c r="Q29" i="78"/>
  <c r="Q30" i="78"/>
  <c r="Q31" i="78"/>
  <c r="Q32" i="78"/>
  <c r="Q33" i="78"/>
  <c r="Q34" i="78"/>
  <c r="Q35" i="78"/>
  <c r="Q36" i="78"/>
  <c r="Q38" i="78"/>
  <c r="Q39" i="78"/>
  <c r="Q40" i="78"/>
  <c r="Q41" i="78"/>
  <c r="Q42" i="78"/>
  <c r="Q43" i="78"/>
  <c r="Q44" i="78"/>
  <c r="Q45" i="78"/>
  <c r="Q46" i="78"/>
  <c r="Q47" i="78"/>
  <c r="Q48" i="78"/>
  <c r="Q49" i="78"/>
  <c r="Q50" i="78"/>
  <c r="Q51" i="78"/>
  <c r="Q52" i="78"/>
  <c r="Q53" i="78"/>
  <c r="Q54" i="78"/>
  <c r="Q55" i="78"/>
  <c r="Z20" i="78"/>
  <c r="Q20" i="78"/>
  <c r="AR92" i="78" l="1"/>
  <c r="AS31" i="78"/>
  <c r="AS43" i="78"/>
  <c r="AS55" i="78"/>
  <c r="AR58" i="78"/>
  <c r="Z56" i="78"/>
  <c r="AI57" i="78"/>
  <c r="AI59" i="78"/>
  <c r="AI61" i="78"/>
  <c r="AI62" i="78"/>
  <c r="AI66" i="78"/>
  <c r="AI67" i="78"/>
  <c r="AR57" i="78"/>
  <c r="AR61" i="78"/>
  <c r="AR62" i="78"/>
  <c r="AR65" i="78"/>
  <c r="AR66" i="78"/>
  <c r="AA55" i="78"/>
  <c r="AR60" i="78"/>
  <c r="AR64" i="78"/>
  <c r="Q57" i="78"/>
  <c r="Q61" i="78"/>
  <c r="AR56" i="78"/>
  <c r="AR59" i="78"/>
  <c r="AR63" i="78"/>
  <c r="AR67" i="78"/>
  <c r="AA43" i="78"/>
  <c r="Q62" i="78"/>
  <c r="Q66" i="78"/>
  <c r="AA31" i="78"/>
  <c r="AJ31" i="78"/>
  <c r="AJ43" i="78"/>
  <c r="AJ55" i="78"/>
  <c r="AI56" i="78"/>
  <c r="Z58" i="78"/>
  <c r="Z61" i="78"/>
  <c r="Z62" i="78"/>
  <c r="Z63" i="78"/>
  <c r="Z65" i="78"/>
  <c r="Z66" i="78"/>
  <c r="Z67" i="78"/>
  <c r="R43" i="78"/>
  <c r="Q85" i="78"/>
  <c r="AR78" i="78"/>
  <c r="R55" i="78"/>
  <c r="Q60" i="78"/>
  <c r="AI76" i="78"/>
  <c r="AI72" i="78"/>
  <c r="AI68" i="78"/>
  <c r="Q81" i="78"/>
  <c r="R31" i="78"/>
  <c r="Z73" i="78"/>
  <c r="Z77" i="78"/>
  <c r="AI87" i="78"/>
  <c r="AI83" i="78"/>
  <c r="AR91" i="78"/>
  <c r="AR83" i="78"/>
  <c r="Q64" i="78"/>
  <c r="Q65" i="78"/>
  <c r="Z57" i="78"/>
  <c r="Z60" i="78"/>
  <c r="AI60" i="78"/>
  <c r="AI63" i="78"/>
  <c r="AI64" i="78"/>
  <c r="Q70" i="78"/>
  <c r="Q78" i="78"/>
  <c r="Q74" i="78"/>
  <c r="AI69" i="78"/>
  <c r="AI73" i="78"/>
  <c r="AI77" i="78"/>
  <c r="AR71" i="78"/>
  <c r="Z90" i="78"/>
  <c r="Z86" i="78"/>
  <c r="AI84" i="78"/>
  <c r="Q96" i="78"/>
  <c r="Z97" i="78"/>
  <c r="Z93" i="78"/>
  <c r="Z101" i="78"/>
  <c r="AR100" i="78"/>
  <c r="Z59" i="78"/>
  <c r="Q71" i="78"/>
  <c r="Q75" i="78"/>
  <c r="AR68" i="78"/>
  <c r="Q91" i="78"/>
  <c r="AI101" i="78"/>
  <c r="Q58" i="78"/>
  <c r="Q59" i="78"/>
  <c r="Q63" i="78"/>
  <c r="Q67" i="78"/>
  <c r="Z64" i="78"/>
  <c r="AI58" i="78"/>
  <c r="AI65" i="78"/>
  <c r="AR69" i="78"/>
  <c r="AR77" i="78"/>
  <c r="AR73" i="78"/>
  <c r="Q80" i="78"/>
  <c r="AR82" i="78"/>
  <c r="AR86" i="78"/>
  <c r="AR90" i="78"/>
  <c r="Q102" i="78"/>
  <c r="AI98" i="78"/>
  <c r="AI102" i="78"/>
  <c r="AR96" i="78"/>
  <c r="AR93" i="78"/>
  <c r="AR95" i="78"/>
  <c r="AR97" i="78"/>
  <c r="AR99" i="78"/>
  <c r="AR101" i="78"/>
  <c r="AR103" i="78"/>
  <c r="AI93" i="78"/>
  <c r="AI96" i="78"/>
  <c r="AI97" i="78"/>
  <c r="Z96" i="78"/>
  <c r="Q98" i="78"/>
  <c r="Q93" i="78"/>
  <c r="Q95" i="78"/>
  <c r="Q97" i="78"/>
  <c r="Q99" i="78"/>
  <c r="Q101" i="78"/>
  <c r="Q103" i="78"/>
  <c r="AI86" i="78"/>
  <c r="AI90" i="78"/>
  <c r="Z84" i="78"/>
  <c r="Z81" i="78"/>
  <c r="Z83" i="78"/>
  <c r="Z85" i="78"/>
  <c r="Z87" i="78"/>
  <c r="Z89" i="78"/>
  <c r="Z91" i="78"/>
  <c r="Q82" i="78"/>
  <c r="Q84" i="78"/>
  <c r="Q90" i="78"/>
  <c r="Q88" i="78"/>
  <c r="Q86" i="78"/>
  <c r="AR70" i="78"/>
  <c r="AR72" i="78"/>
  <c r="AR76" i="78"/>
  <c r="AR74" i="78"/>
  <c r="Z70" i="78"/>
  <c r="Z78" i="78"/>
  <c r="Z76" i="78"/>
  <c r="Z68" i="78"/>
  <c r="Z72" i="78"/>
  <c r="Z74" i="78"/>
  <c r="Z71" i="78"/>
  <c r="Z79" i="78"/>
  <c r="Z75" i="78"/>
  <c r="Q73" i="78"/>
  <c r="Q72" i="78"/>
  <c r="Q69" i="78"/>
  <c r="Q77" i="78"/>
  <c r="Q56" i="78"/>
  <c r="R67" i="78" l="1"/>
  <c r="AA91" i="78"/>
  <c r="AS103" i="78"/>
  <c r="AA103" i="78"/>
  <c r="AS91" i="78"/>
  <c r="R103" i="78"/>
  <c r="AJ91" i="78"/>
  <c r="R79" i="78"/>
  <c r="AJ103" i="78"/>
  <c r="AA67" i="78"/>
  <c r="R91" i="78"/>
  <c r="AJ67" i="78"/>
  <c r="AS79" i="78"/>
  <c r="AA79" i="78"/>
  <c r="AJ79" i="78"/>
  <c r="AS67" i="78"/>
  <c r="F5" i="74"/>
  <c r="H21" i="76"/>
  <c r="I21" i="76" s="1"/>
  <c r="G21" i="76"/>
  <c r="I20" i="76"/>
  <c r="H20" i="76"/>
  <c r="G20" i="76"/>
  <c r="I14" i="76"/>
  <c r="H14" i="76"/>
  <c r="G14" i="76"/>
  <c r="I8" i="76"/>
  <c r="H8" i="76"/>
  <c r="G8" i="76"/>
  <c r="I38" i="76"/>
  <c r="H38" i="76"/>
  <c r="G38" i="76"/>
  <c r="H36" i="76"/>
  <c r="I36" i="76" s="1"/>
  <c r="G36" i="76"/>
  <c r="H24" i="76"/>
  <c r="I24" i="76" s="1"/>
  <c r="G24" i="76"/>
  <c r="H15" i="76"/>
  <c r="I15" i="76" s="1"/>
  <c r="G15" i="76"/>
  <c r="H9" i="76"/>
  <c r="I9" i="76" s="1"/>
  <c r="G9" i="76"/>
  <c r="I7" i="76"/>
  <c r="G7" i="76"/>
  <c r="I3" i="76"/>
  <c r="G3" i="76"/>
  <c r="J64" i="43" l="1"/>
  <c r="J63" i="43"/>
  <c r="J62" i="43"/>
  <c r="J61" i="43"/>
  <c r="J60" i="43"/>
  <c r="J59" i="43"/>
  <c r="J58" i="43"/>
  <c r="J57" i="43"/>
  <c r="J56" i="43"/>
  <c r="J55" i="43"/>
  <c r="J54" i="43"/>
  <c r="J53" i="43"/>
  <c r="J52" i="43"/>
  <c r="O68" i="72" l="1"/>
  <c r="N68" i="72"/>
  <c r="M68" i="72"/>
  <c r="L68" i="72"/>
  <c r="K68" i="72"/>
  <c r="J68" i="72"/>
  <c r="I68" i="72"/>
  <c r="H68" i="72"/>
  <c r="G68" i="72"/>
  <c r="F68" i="72"/>
  <c r="E68" i="72"/>
  <c r="D68" i="72"/>
  <c r="C68" i="72"/>
  <c r="B68" i="72"/>
  <c r="DW57" i="72"/>
  <c r="DV57" i="72"/>
  <c r="DW56" i="72"/>
  <c r="DV56" i="72"/>
  <c r="DW55" i="72"/>
  <c r="DV55" i="72"/>
  <c r="DW54" i="72"/>
  <c r="DV54" i="72"/>
  <c r="DW53" i="72"/>
  <c r="DV53" i="72"/>
  <c r="DW52" i="72"/>
  <c r="DV52" i="72"/>
  <c r="DW51" i="72"/>
  <c r="DV51" i="72"/>
  <c r="DW50" i="72"/>
  <c r="DW58" i="72" s="1"/>
  <c r="DW59" i="72" s="1"/>
  <c r="DV50" i="72"/>
  <c r="DV58" i="72" s="1"/>
  <c r="DV59" i="72" s="1"/>
  <c r="DI57" i="72"/>
  <c r="DH57" i="72"/>
  <c r="DI56" i="72"/>
  <c r="DH56" i="72"/>
  <c r="DI55" i="72"/>
  <c r="DH55" i="72"/>
  <c r="DI54" i="72"/>
  <c r="DH54" i="72"/>
  <c r="DI53" i="72"/>
  <c r="DH53" i="72"/>
  <c r="DI52" i="72"/>
  <c r="DH52" i="72"/>
  <c r="DI51" i="72"/>
  <c r="DH51" i="72"/>
  <c r="DI50" i="72"/>
  <c r="DI58" i="72" s="1"/>
  <c r="DH50" i="72"/>
  <c r="DH58" i="72" s="1"/>
  <c r="O8" i="73" l="1"/>
  <c r="O64" i="72" l="1"/>
  <c r="N64" i="72"/>
  <c r="M64" i="72"/>
  <c r="L64" i="72"/>
  <c r="K64" i="72"/>
  <c r="J64" i="72"/>
  <c r="I64" i="72"/>
  <c r="H64" i="72"/>
  <c r="G64" i="72"/>
  <c r="F64" i="72"/>
  <c r="E64" i="72"/>
  <c r="D64" i="72"/>
  <c r="C64" i="72"/>
  <c r="B64" i="72"/>
  <c r="DI59" i="72"/>
  <c r="DH59" i="72"/>
  <c r="DG59" i="72"/>
  <c r="DF59" i="72"/>
  <c r="DE59" i="72"/>
  <c r="DD59" i="72"/>
  <c r="DC59" i="72"/>
  <c r="DB59" i="72"/>
  <c r="DA59" i="72"/>
  <c r="CZ59" i="72"/>
  <c r="CY59" i="72"/>
  <c r="CX59" i="72"/>
  <c r="CW59" i="72"/>
  <c r="CV59" i="72"/>
  <c r="CU59" i="72"/>
  <c r="O67" i="72" s="1"/>
  <c r="CT59" i="72"/>
  <c r="N67" i="72" s="1"/>
  <c r="CS59" i="72"/>
  <c r="CR59" i="72"/>
  <c r="CQ59" i="72"/>
  <c r="K67" i="72" s="1"/>
  <c r="CP59" i="72"/>
  <c r="J67" i="72" s="1"/>
  <c r="CO59" i="72"/>
  <c r="CN59" i="72"/>
  <c r="CM59" i="72"/>
  <c r="CL59" i="72"/>
  <c r="F67" i="72" s="1"/>
  <c r="CK59" i="72"/>
  <c r="CJ59" i="72"/>
  <c r="CI59" i="72"/>
  <c r="C67" i="72" s="1"/>
  <c r="CH59" i="72"/>
  <c r="B67" i="72" s="1"/>
  <c r="CG59" i="72"/>
  <c r="CF59" i="72"/>
  <c r="CE59" i="72"/>
  <c r="CD59" i="72"/>
  <c r="CC59" i="72"/>
  <c r="CB59" i="72"/>
  <c r="CA59" i="72"/>
  <c r="BZ59" i="72"/>
  <c r="BY59" i="72"/>
  <c r="BX59" i="72"/>
  <c r="BW59" i="72"/>
  <c r="BV59" i="72"/>
  <c r="D66" i="72" s="1"/>
  <c r="BU59" i="72"/>
  <c r="C66" i="72" s="1"/>
  <c r="BT59" i="72"/>
  <c r="BS59" i="72"/>
  <c r="BR59" i="72"/>
  <c r="BQ59" i="72"/>
  <c r="BP59" i="72"/>
  <c r="BO59" i="72"/>
  <c r="BN59" i="72"/>
  <c r="J65" i="72" s="1"/>
  <c r="BM59" i="72"/>
  <c r="BL59" i="72"/>
  <c r="BK59" i="72"/>
  <c r="BJ59" i="72"/>
  <c r="BI59" i="72"/>
  <c r="BH59" i="72"/>
  <c r="D65" i="72" s="1"/>
  <c r="BG59" i="72"/>
  <c r="C65" i="72" s="1"/>
  <c r="BF59" i="72"/>
  <c r="B65" i="72" s="1"/>
  <c r="BE59" i="72"/>
  <c r="BD59" i="72"/>
  <c r="BC59" i="72"/>
  <c r="BB59" i="72"/>
  <c r="BA59" i="72"/>
  <c r="AZ59" i="72"/>
  <c r="AY59" i="72"/>
  <c r="AX59" i="72"/>
  <c r="AW59" i="72"/>
  <c r="AV59" i="72"/>
  <c r="AU59" i="72"/>
  <c r="AT59" i="72"/>
  <c r="AS59" i="72"/>
  <c r="AR59" i="72"/>
  <c r="AQ59" i="72"/>
  <c r="O63" i="72" s="1"/>
  <c r="AP59" i="72"/>
  <c r="AO59" i="72"/>
  <c r="AN59" i="72"/>
  <c r="AM59" i="72"/>
  <c r="K63" i="72" s="1"/>
  <c r="AL59" i="72"/>
  <c r="J63" i="72" s="1"/>
  <c r="AK59" i="72"/>
  <c r="AJ59" i="72"/>
  <c r="AI59" i="72"/>
  <c r="AH59" i="72"/>
  <c r="F63" i="72" s="1"/>
  <c r="AG59" i="72"/>
  <c r="AF59" i="72"/>
  <c r="D63" i="72" s="1"/>
  <c r="AE59" i="72"/>
  <c r="AD59" i="72"/>
  <c r="AC59" i="72"/>
  <c r="O62" i="72" s="1"/>
  <c r="AB59" i="72"/>
  <c r="AA59" i="72"/>
  <c r="Z59" i="72"/>
  <c r="Y59" i="72"/>
  <c r="K62" i="72" s="1"/>
  <c r="X59" i="72"/>
  <c r="W59" i="72"/>
  <c r="V59" i="72"/>
  <c r="U59" i="72"/>
  <c r="G62" i="72" s="1"/>
  <c r="T59" i="72"/>
  <c r="S59" i="72"/>
  <c r="R59" i="72"/>
  <c r="Q59" i="72"/>
  <c r="C62" i="72" s="1"/>
  <c r="P59" i="72"/>
  <c r="O61" i="72"/>
  <c r="N61" i="72"/>
  <c r="M61" i="72"/>
  <c r="L61" i="72"/>
  <c r="K61" i="72"/>
  <c r="J61" i="72"/>
  <c r="I61" i="72"/>
  <c r="H61" i="72"/>
  <c r="G61" i="72"/>
  <c r="F61" i="72"/>
  <c r="E61" i="72"/>
  <c r="D61" i="72"/>
  <c r="C61" i="72"/>
  <c r="B61" i="72"/>
  <c r="O66" i="72"/>
  <c r="O65" i="72"/>
  <c r="N66" i="72"/>
  <c r="N65" i="72"/>
  <c r="N62" i="72"/>
  <c r="M67" i="72"/>
  <c r="M66" i="72"/>
  <c r="M65" i="72"/>
  <c r="M63" i="72"/>
  <c r="M62" i="72"/>
  <c r="L67" i="72"/>
  <c r="L66" i="72"/>
  <c r="L65" i="72"/>
  <c r="L63" i="72"/>
  <c r="L62" i="72"/>
  <c r="K66" i="72"/>
  <c r="K65" i="72"/>
  <c r="J66" i="72"/>
  <c r="J62" i="72"/>
  <c r="I67" i="72"/>
  <c r="I66" i="72"/>
  <c r="I65" i="72"/>
  <c r="I63" i="72"/>
  <c r="I62" i="72"/>
  <c r="H67" i="72"/>
  <c r="H66" i="72"/>
  <c r="H65" i="72"/>
  <c r="H63" i="72"/>
  <c r="H62" i="72"/>
  <c r="G67" i="72"/>
  <c r="G66" i="72"/>
  <c r="G65" i="72"/>
  <c r="G63" i="72"/>
  <c r="F66" i="72"/>
  <c r="F65" i="72"/>
  <c r="F62" i="72"/>
  <c r="E67" i="72"/>
  <c r="E66" i="72"/>
  <c r="E65" i="72"/>
  <c r="E63" i="72"/>
  <c r="E62" i="72"/>
  <c r="D67" i="72"/>
  <c r="D62" i="72"/>
  <c r="C63" i="72"/>
  <c r="B66" i="72"/>
  <c r="B63" i="72"/>
  <c r="B62" i="72"/>
  <c r="E69" i="72" l="1"/>
  <c r="H69" i="72"/>
  <c r="L69" i="72"/>
  <c r="I69" i="72"/>
  <c r="M69" i="72"/>
  <c r="N69" i="72"/>
  <c r="J69" i="72"/>
  <c r="N63" i="72"/>
  <c r="D69" i="72"/>
  <c r="F69" i="72"/>
  <c r="B69" i="72"/>
  <c r="C69" i="72"/>
  <c r="G69" i="72"/>
  <c r="K69" i="72"/>
  <c r="O69" i="72"/>
  <c r="FS57" i="72"/>
  <c r="FR57" i="72"/>
  <c r="FQ57" i="72"/>
  <c r="FP57" i="72"/>
  <c r="FO57" i="72"/>
  <c r="FN57" i="72"/>
  <c r="FS56" i="72"/>
  <c r="FR56" i="72"/>
  <c r="FQ56" i="72"/>
  <c r="FP56" i="72"/>
  <c r="FO56" i="72"/>
  <c r="FN56" i="72"/>
  <c r="FS55" i="72"/>
  <c r="FR55" i="72"/>
  <c r="FQ55" i="72"/>
  <c r="FP55" i="72"/>
  <c r="FO55" i="72"/>
  <c r="FN55" i="72"/>
  <c r="FS54" i="72"/>
  <c r="FR54" i="72"/>
  <c r="FQ54" i="72"/>
  <c r="FP54" i="72"/>
  <c r="FO54" i="72"/>
  <c r="FN54" i="72"/>
  <c r="FS53" i="72"/>
  <c r="FR53" i="72"/>
  <c r="FQ53" i="72"/>
  <c r="FP53" i="72"/>
  <c r="FO53" i="72"/>
  <c r="FN53" i="72"/>
  <c r="FS52" i="72"/>
  <c r="FR52" i="72"/>
  <c r="FQ52" i="72"/>
  <c r="FP52" i="72"/>
  <c r="FO52" i="72"/>
  <c r="FN52" i="72"/>
  <c r="FS51" i="72"/>
  <c r="FR51" i="72"/>
  <c r="FQ51" i="72"/>
  <c r="FP51" i="72"/>
  <c r="FO51" i="72"/>
  <c r="FN51" i="72"/>
  <c r="FS50" i="72"/>
  <c r="FR50" i="72"/>
  <c r="FQ50" i="72"/>
  <c r="FP50" i="72"/>
  <c r="FO50" i="72"/>
  <c r="FN50" i="72"/>
  <c r="FT50" i="72" l="1"/>
  <c r="FR58" i="72"/>
  <c r="FT52" i="72"/>
  <c r="FT54" i="72"/>
  <c r="FT56" i="72"/>
  <c r="FS58" i="72"/>
  <c r="FS59" i="72" s="1"/>
  <c r="FU52" i="72"/>
  <c r="FU54" i="72"/>
  <c r="FU56" i="72"/>
  <c r="FU50" i="72"/>
  <c r="FR59" i="72"/>
  <c r="FP58" i="72"/>
  <c r="FT51" i="72"/>
  <c r="FT53" i="72"/>
  <c r="FT55" i="72"/>
  <c r="FT57" i="72"/>
  <c r="FQ58" i="72"/>
  <c r="FU51" i="72"/>
  <c r="FU53" i="72"/>
  <c r="FU55" i="72"/>
  <c r="FU57" i="72"/>
  <c r="FN58" i="72"/>
  <c r="FO58" i="72"/>
  <c r="FP59" i="72" l="1"/>
  <c r="FQ59" i="72"/>
  <c r="FU58" i="72"/>
  <c r="FO59" i="72"/>
  <c r="FT58" i="72"/>
  <c r="FN59" i="72"/>
  <c r="FT59" i="72" l="1"/>
  <c r="FU59" i="72"/>
  <c r="H7" i="76"/>
  <c r="L69" i="75" l="1"/>
  <c r="K69" i="75"/>
  <c r="L68" i="75"/>
  <c r="K68" i="75"/>
  <c r="L67" i="75"/>
  <c r="K67" i="75"/>
  <c r="L66" i="75"/>
  <c r="K66" i="75"/>
  <c r="L62" i="75"/>
  <c r="K62" i="75"/>
  <c r="L61" i="75"/>
  <c r="K61" i="75"/>
  <c r="L60" i="75"/>
  <c r="K60" i="75"/>
  <c r="L56" i="75"/>
  <c r="K56" i="75"/>
  <c r="L55" i="75"/>
  <c r="K55" i="75"/>
  <c r="L54" i="75"/>
  <c r="K54" i="75"/>
  <c r="L51" i="75"/>
  <c r="K51" i="75"/>
  <c r="L50" i="75"/>
  <c r="K50" i="75"/>
  <c r="L45" i="75"/>
  <c r="K45" i="75"/>
  <c r="L44" i="75"/>
  <c r="K44" i="75"/>
  <c r="K43" i="75"/>
  <c r="L42" i="75"/>
  <c r="K42" i="75"/>
  <c r="L39" i="75"/>
  <c r="K39" i="75"/>
  <c r="L38" i="75"/>
  <c r="K38" i="75"/>
  <c r="L36" i="75"/>
  <c r="K36" i="75"/>
  <c r="L33" i="75"/>
  <c r="K33" i="75"/>
  <c r="L30" i="75"/>
  <c r="K30" i="75"/>
  <c r="L27" i="75"/>
  <c r="K27" i="75"/>
  <c r="L21" i="75"/>
  <c r="K21" i="75"/>
  <c r="L20" i="75"/>
  <c r="K20" i="75"/>
  <c r="L18" i="75"/>
  <c r="K18" i="75"/>
  <c r="L15" i="75"/>
  <c r="K15" i="75"/>
  <c r="L14" i="75"/>
  <c r="K14" i="75"/>
  <c r="L12" i="75"/>
  <c r="K12" i="75"/>
  <c r="L8" i="75"/>
  <c r="K8" i="75"/>
  <c r="L7" i="75"/>
  <c r="K7" i="75"/>
  <c r="L6" i="75"/>
  <c r="K6" i="75"/>
  <c r="K46" i="75" l="1"/>
  <c r="K70" i="75"/>
  <c r="L70" i="75" s="1"/>
  <c r="BU55" i="43"/>
  <c r="BU53" i="43"/>
  <c r="BU52" i="43"/>
  <c r="BU48" i="43"/>
  <c r="BU47" i="43"/>
  <c r="BU46" i="43"/>
  <c r="BU45" i="43"/>
  <c r="BU44" i="43"/>
  <c r="BU43" i="43"/>
  <c r="BU42" i="43"/>
  <c r="BU41" i="43"/>
  <c r="BU40" i="43"/>
  <c r="BU39" i="43"/>
  <c r="BU38" i="43"/>
  <c r="BU37" i="43"/>
  <c r="BU36" i="43"/>
  <c r="BU32" i="43"/>
  <c r="BU31" i="43"/>
  <c r="BU30" i="43"/>
  <c r="BU29" i="43"/>
  <c r="BU28" i="43"/>
  <c r="BU27" i="43"/>
  <c r="BU26" i="43"/>
  <c r="BU25" i="43"/>
  <c r="BU24" i="43"/>
  <c r="BU23" i="43"/>
  <c r="BU22" i="43"/>
  <c r="BU21" i="43"/>
  <c r="BU20" i="43"/>
  <c r="BU15" i="43"/>
  <c r="BU14" i="43"/>
  <c r="BU13" i="43"/>
  <c r="BU12" i="43"/>
  <c r="BU11" i="43"/>
  <c r="BU10" i="43"/>
  <c r="BU9" i="43"/>
  <c r="BU8" i="43"/>
  <c r="BU7" i="43"/>
  <c r="BU6" i="43"/>
  <c r="BU5" i="43"/>
  <c r="BU4" i="43"/>
  <c r="F167" i="76" l="1"/>
  <c r="E167" i="76"/>
  <c r="D167" i="76"/>
  <c r="C167" i="76"/>
  <c r="F164" i="76"/>
  <c r="E164" i="76"/>
  <c r="D164" i="76"/>
  <c r="C164" i="76"/>
  <c r="F166" i="76"/>
  <c r="E166" i="76"/>
  <c r="D166" i="76"/>
  <c r="C166" i="76"/>
  <c r="D163" i="76"/>
  <c r="E163" i="76"/>
  <c r="F163" i="76"/>
  <c r="C163" i="76"/>
  <c r="C153" i="76"/>
  <c r="D153" i="76"/>
  <c r="E153" i="76"/>
  <c r="C156" i="76"/>
  <c r="D156" i="76"/>
  <c r="E156" i="76"/>
  <c r="C158" i="76"/>
  <c r="D158" i="76"/>
  <c r="E158" i="76"/>
  <c r="F158" i="76"/>
  <c r="C159" i="76"/>
  <c r="D159" i="76"/>
  <c r="E159" i="76"/>
  <c r="F159" i="76"/>
  <c r="E81" i="76" l="1"/>
  <c r="D81" i="76"/>
  <c r="C81" i="76"/>
  <c r="C80" i="76"/>
  <c r="E80" i="76"/>
  <c r="D80" i="76"/>
  <c r="E78" i="76"/>
  <c r="E84" i="76" s="1"/>
  <c r="D78" i="76"/>
  <c r="C78" i="76"/>
  <c r="C77" i="76"/>
  <c r="C83" i="76" s="1"/>
  <c r="E77" i="76"/>
  <c r="E83" i="76" s="1"/>
  <c r="D77" i="76"/>
  <c r="D83" i="76" s="1"/>
  <c r="H77" i="43"/>
  <c r="H76" i="43"/>
  <c r="H75" i="43"/>
  <c r="E77" i="43"/>
  <c r="E76" i="43"/>
  <c r="E75" i="43"/>
  <c r="E89" i="76" l="1"/>
  <c r="C89" i="76"/>
  <c r="C108" i="76"/>
  <c r="D89" i="76"/>
  <c r="D108" i="76"/>
  <c r="D84" i="76"/>
  <c r="C84" i="76"/>
  <c r="E108" i="76"/>
  <c r="M45" i="73"/>
  <c r="M44" i="73"/>
  <c r="M43" i="73"/>
  <c r="M42" i="73"/>
  <c r="L45" i="73"/>
  <c r="L44" i="73"/>
  <c r="L43" i="73"/>
  <c r="L42" i="73"/>
  <c r="K45" i="73"/>
  <c r="K44" i="73"/>
  <c r="K43" i="73"/>
  <c r="E50" i="73" s="1"/>
  <c r="K42" i="73"/>
  <c r="J44" i="73"/>
  <c r="J43" i="73"/>
  <c r="J42" i="73"/>
  <c r="I45" i="73"/>
  <c r="I44" i="73"/>
  <c r="I43" i="73"/>
  <c r="I42" i="73"/>
  <c r="H44" i="73"/>
  <c r="H43" i="73"/>
  <c r="H42" i="73"/>
  <c r="G44" i="73"/>
  <c r="G43" i="73"/>
  <c r="G42" i="73"/>
  <c r="F44" i="73"/>
  <c r="F43" i="73"/>
  <c r="F42" i="73"/>
  <c r="E44" i="73"/>
  <c r="E43" i="73"/>
  <c r="E42" i="73"/>
  <c r="D45" i="73"/>
  <c r="D44" i="73"/>
  <c r="D43" i="73"/>
  <c r="D42" i="73"/>
  <c r="C45" i="73"/>
  <c r="C44" i="73"/>
  <c r="C43" i="73"/>
  <c r="C42" i="73"/>
  <c r="B45" i="73"/>
  <c r="B52" i="73" s="1"/>
  <c r="G139" i="76" s="1"/>
  <c r="G140" i="76" s="1"/>
  <c r="B44" i="73"/>
  <c r="B43" i="73"/>
  <c r="B42" i="73"/>
  <c r="D50" i="73"/>
  <c r="D49" i="73"/>
  <c r="M31" i="73"/>
  <c r="L31" i="73"/>
  <c r="K31" i="73"/>
  <c r="I31" i="73"/>
  <c r="D31" i="73"/>
  <c r="C31" i="73"/>
  <c r="B31" i="73"/>
  <c r="M30" i="73"/>
  <c r="L30" i="73"/>
  <c r="K30" i="73"/>
  <c r="E37" i="73" s="1"/>
  <c r="J30" i="73"/>
  <c r="I30" i="73"/>
  <c r="H30" i="73"/>
  <c r="D37" i="73" s="1"/>
  <c r="G30" i="73"/>
  <c r="C37" i="73" s="1"/>
  <c r="F30" i="73"/>
  <c r="E30" i="73"/>
  <c r="D30" i="73"/>
  <c r="C30" i="73"/>
  <c r="B37" i="73" s="1"/>
  <c r="F37" i="73" s="1"/>
  <c r="B30" i="73"/>
  <c r="M29" i="73"/>
  <c r="L29" i="73"/>
  <c r="K29" i="73"/>
  <c r="E36" i="73" s="1"/>
  <c r="J29" i="73"/>
  <c r="I29" i="73"/>
  <c r="H29" i="73"/>
  <c r="D36" i="73" s="1"/>
  <c r="G29" i="73"/>
  <c r="C36" i="73" s="1"/>
  <c r="F29" i="73"/>
  <c r="E29" i="73"/>
  <c r="D29" i="73"/>
  <c r="C29" i="73"/>
  <c r="B36" i="73" s="1"/>
  <c r="B29" i="73"/>
  <c r="M28" i="73"/>
  <c r="L28" i="73"/>
  <c r="K28" i="73"/>
  <c r="E35" i="73" s="1"/>
  <c r="J28" i="73"/>
  <c r="I28" i="73"/>
  <c r="H28" i="73"/>
  <c r="D35" i="73" s="1"/>
  <c r="G28" i="73"/>
  <c r="F28" i="73"/>
  <c r="E28" i="73"/>
  <c r="D28" i="73"/>
  <c r="C28" i="73"/>
  <c r="B35" i="73" s="1"/>
  <c r="B28" i="73"/>
  <c r="G109" i="76"/>
  <c r="H109" i="76"/>
  <c r="F109" i="76"/>
  <c r="E109" i="76"/>
  <c r="D109" i="76"/>
  <c r="C109" i="76"/>
  <c r="B38" i="73" l="1"/>
  <c r="F35" i="73"/>
  <c r="C35" i="73"/>
  <c r="E38" i="73"/>
  <c r="E51" i="73"/>
  <c r="F139" i="76" s="1"/>
  <c r="F140" i="76" s="1"/>
  <c r="N30" i="73"/>
  <c r="C49" i="73"/>
  <c r="D51" i="73"/>
  <c r="E139" i="76" s="1"/>
  <c r="E140" i="76" s="1"/>
  <c r="C50" i="73"/>
  <c r="E52" i="73"/>
  <c r="E49" i="73"/>
  <c r="C51" i="73"/>
  <c r="D139" i="76" s="1"/>
  <c r="D140" i="76" s="1"/>
  <c r="B51" i="73"/>
  <c r="B50" i="73"/>
  <c r="F50" i="73" s="1"/>
  <c r="B49" i="73"/>
  <c r="F49" i="73" s="1"/>
  <c r="N43" i="73"/>
  <c r="N44" i="73"/>
  <c r="N42" i="73"/>
  <c r="F36" i="73"/>
  <c r="N29" i="73"/>
  <c r="N28" i="73"/>
  <c r="H93" i="76"/>
  <c r="H112" i="76" s="1"/>
  <c r="H58" i="77"/>
  <c r="H39" i="77" s="1"/>
  <c r="H57" i="77"/>
  <c r="H56" i="77"/>
  <c r="H55" i="77"/>
  <c r="H54" i="77"/>
  <c r="H53" i="77"/>
  <c r="H52" i="77"/>
  <c r="H51" i="77"/>
  <c r="H50" i="77"/>
  <c r="H49" i="77"/>
  <c r="H48" i="77"/>
  <c r="H47" i="77"/>
  <c r="H46" i="77"/>
  <c r="H45" i="77"/>
  <c r="H44" i="77"/>
  <c r="H43" i="77"/>
  <c r="H42" i="77"/>
  <c r="H41" i="77"/>
  <c r="H34" i="77"/>
  <c r="H18" i="77"/>
  <c r="H19" i="77"/>
  <c r="H20" i="77"/>
  <c r="H21" i="77"/>
  <c r="H22" i="77"/>
  <c r="H23" i="77"/>
  <c r="H24" i="77"/>
  <c r="H25" i="77"/>
  <c r="H26" i="77"/>
  <c r="H27" i="77"/>
  <c r="H28" i="77"/>
  <c r="H29" i="77"/>
  <c r="H30" i="77"/>
  <c r="H31" i="77"/>
  <c r="H32" i="77"/>
  <c r="H33" i="77"/>
  <c r="H17" i="77"/>
  <c r="H38" i="77"/>
  <c r="E96" i="76"/>
  <c r="D96" i="76"/>
  <c r="C96" i="76"/>
  <c r="F93" i="76"/>
  <c r="E93" i="76"/>
  <c r="E112" i="76" s="1"/>
  <c r="D93" i="76"/>
  <c r="D112" i="76" s="1"/>
  <c r="C93" i="76"/>
  <c r="C112" i="76" s="1"/>
  <c r="C145" i="76" s="1"/>
  <c r="D39" i="77"/>
  <c r="E39" i="77"/>
  <c r="F39" i="77"/>
  <c r="G39" i="77"/>
  <c r="C39" i="77"/>
  <c r="G57" i="77"/>
  <c r="F57" i="77"/>
  <c r="E57" i="77"/>
  <c r="D57" i="77"/>
  <c r="C57" i="77"/>
  <c r="G56" i="77"/>
  <c r="F56" i="77"/>
  <c r="E56" i="77"/>
  <c r="D56" i="77"/>
  <c r="C56" i="77"/>
  <c r="G55" i="77"/>
  <c r="F55" i="77"/>
  <c r="E55" i="77"/>
  <c r="D55" i="77"/>
  <c r="C55" i="77"/>
  <c r="G54" i="77"/>
  <c r="F54" i="77"/>
  <c r="E54" i="77"/>
  <c r="D54" i="77"/>
  <c r="C54" i="77"/>
  <c r="G53" i="77"/>
  <c r="F53" i="77"/>
  <c r="E53" i="77"/>
  <c r="D53" i="77"/>
  <c r="C53" i="77"/>
  <c r="G52" i="77"/>
  <c r="F52" i="77"/>
  <c r="E52" i="77"/>
  <c r="D52" i="77"/>
  <c r="C52" i="77"/>
  <c r="G51" i="77"/>
  <c r="F51" i="77"/>
  <c r="E51" i="77"/>
  <c r="D51" i="77"/>
  <c r="C51" i="77"/>
  <c r="G50" i="77"/>
  <c r="F50" i="77"/>
  <c r="E50" i="77"/>
  <c r="D50" i="77"/>
  <c r="C50" i="77"/>
  <c r="G49" i="77"/>
  <c r="F49" i="77"/>
  <c r="E49" i="77"/>
  <c r="D49" i="77"/>
  <c r="C49" i="77"/>
  <c r="G48" i="77"/>
  <c r="F48" i="77"/>
  <c r="E48" i="77"/>
  <c r="D48" i="77"/>
  <c r="C48" i="77"/>
  <c r="G47" i="77"/>
  <c r="F47" i="77"/>
  <c r="E47" i="77"/>
  <c r="D47" i="77"/>
  <c r="C47" i="77"/>
  <c r="G46" i="77"/>
  <c r="F46" i="77"/>
  <c r="E46" i="77"/>
  <c r="D46" i="77"/>
  <c r="C46" i="77"/>
  <c r="G45" i="77"/>
  <c r="F45" i="77"/>
  <c r="E45" i="77"/>
  <c r="D45" i="77"/>
  <c r="C45" i="77"/>
  <c r="G44" i="77"/>
  <c r="F44" i="77"/>
  <c r="E44" i="77"/>
  <c r="D44" i="77"/>
  <c r="C44" i="77"/>
  <c r="G43" i="77"/>
  <c r="F43" i="77"/>
  <c r="E43" i="77"/>
  <c r="D43" i="77"/>
  <c r="C43" i="77"/>
  <c r="G42" i="77"/>
  <c r="F42" i="77"/>
  <c r="E42" i="77"/>
  <c r="D42" i="77"/>
  <c r="C42" i="77"/>
  <c r="G41" i="77"/>
  <c r="F41" i="77"/>
  <c r="E41" i="77"/>
  <c r="D41" i="77"/>
  <c r="C41" i="77"/>
  <c r="D11" i="77"/>
  <c r="G11" i="77"/>
  <c r="E11" i="77"/>
  <c r="F11" i="77"/>
  <c r="C11" i="77"/>
  <c r="G5" i="77"/>
  <c r="D5" i="77"/>
  <c r="C5" i="77"/>
  <c r="F5" i="77"/>
  <c r="E5" i="77"/>
  <c r="J58" i="77"/>
  <c r="C34" i="77"/>
  <c r="F141" i="76" l="1"/>
  <c r="D141" i="76"/>
  <c r="F51" i="73"/>
  <c r="C139" i="76"/>
  <c r="C140" i="76" s="1"/>
  <c r="G93" i="76"/>
  <c r="G112" i="76" s="1"/>
  <c r="F112" i="76"/>
  <c r="H113" i="76"/>
  <c r="D145" i="76"/>
  <c r="D113" i="76"/>
  <c r="E145" i="76"/>
  <c r="E113" i="76"/>
  <c r="E94" i="76"/>
  <c r="D94" i="76"/>
  <c r="H94" i="76"/>
  <c r="D58" i="77"/>
  <c r="E58" i="77"/>
  <c r="F34" i="77"/>
  <c r="D34" i="77"/>
  <c r="F58" i="77"/>
  <c r="E34" i="77"/>
  <c r="G34" i="77"/>
  <c r="G58" i="77"/>
  <c r="E141" i="76" l="1"/>
  <c r="G141" i="76"/>
  <c r="G94" i="76"/>
  <c r="F113" i="76"/>
  <c r="F145" i="76"/>
  <c r="C58" i="77"/>
  <c r="D60" i="76" l="1"/>
  <c r="E60" i="76"/>
  <c r="F60" i="76"/>
  <c r="C60" i="76"/>
  <c r="F48" i="76"/>
  <c r="E48" i="76"/>
  <c r="E46" i="76"/>
  <c r="E44" i="76"/>
  <c r="E42" i="76"/>
  <c r="D48" i="76"/>
  <c r="D46" i="76"/>
  <c r="D44" i="76"/>
  <c r="D42" i="76"/>
  <c r="C48" i="76"/>
  <c r="C46" i="76"/>
  <c r="C44" i="76"/>
  <c r="C42" i="76"/>
  <c r="O15" i="16"/>
  <c r="O15" i="4"/>
  <c r="O12" i="4"/>
  <c r="O9" i="4"/>
  <c r="O6" i="4"/>
  <c r="O15" i="5"/>
  <c r="O12" i="5"/>
  <c r="O9" i="5"/>
  <c r="O6" i="5"/>
  <c r="O15" i="14"/>
  <c r="O12" i="14"/>
  <c r="O9" i="14"/>
  <c r="O6" i="14"/>
  <c r="D34" i="76"/>
  <c r="H60" i="76"/>
  <c r="G60" i="76"/>
  <c r="D8" i="76"/>
  <c r="D53" i="76" s="1"/>
  <c r="E8" i="76"/>
  <c r="E53" i="76" s="1"/>
  <c r="E134" i="76" s="1"/>
  <c r="F8" i="76"/>
  <c r="C8" i="76"/>
  <c r="C53" i="76" s="1"/>
  <c r="N4" i="76"/>
  <c r="M4" i="76"/>
  <c r="E20" i="74"/>
  <c r="D19" i="74"/>
  <c r="C19" i="74"/>
  <c r="E15" i="74"/>
  <c r="E21" i="74" s="1"/>
  <c r="E14" i="74"/>
  <c r="E13" i="74"/>
  <c r="E34" i="76" s="1"/>
  <c r="D15" i="74"/>
  <c r="D14" i="74"/>
  <c r="D20" i="74" s="1"/>
  <c r="D13" i="74"/>
  <c r="C15" i="74"/>
  <c r="C14" i="74"/>
  <c r="C13" i="74"/>
  <c r="C34" i="76" s="1"/>
  <c r="E10" i="74"/>
  <c r="E9" i="74"/>
  <c r="E8" i="74"/>
  <c r="E19" i="74" s="1"/>
  <c r="D10" i="74"/>
  <c r="D21" i="74" s="1"/>
  <c r="D9" i="74"/>
  <c r="D8" i="74"/>
  <c r="D20" i="76" s="1"/>
  <c r="D22" i="76" s="1"/>
  <c r="D61" i="76" s="1"/>
  <c r="C10" i="74"/>
  <c r="C21" i="74" s="1"/>
  <c r="C9" i="74"/>
  <c r="C20" i="74" s="1"/>
  <c r="C8" i="74"/>
  <c r="C20" i="76" s="1"/>
  <c r="C32" i="76" s="1"/>
  <c r="E20" i="76" l="1"/>
  <c r="E22" i="76" s="1"/>
  <c r="E61" i="76" s="1"/>
  <c r="E7" i="74"/>
  <c r="E18" i="74" s="1"/>
  <c r="D54" i="76"/>
  <c r="D134" i="76"/>
  <c r="C54" i="76"/>
  <c r="C134" i="76"/>
  <c r="E135" i="76" s="1"/>
  <c r="E70" i="76"/>
  <c r="C95" i="76"/>
  <c r="D70" i="76"/>
  <c r="D49" i="76"/>
  <c r="C70" i="76"/>
  <c r="C58" i="76"/>
  <c r="C127" i="76" s="1"/>
  <c r="D58" i="76"/>
  <c r="D127" i="76" s="1"/>
  <c r="F53" i="76"/>
  <c r="E49" i="76"/>
  <c r="I60" i="76"/>
  <c r="E43" i="76"/>
  <c r="E58" i="76"/>
  <c r="E127" i="76" s="1"/>
  <c r="D47" i="76"/>
  <c r="E47" i="76"/>
  <c r="F49" i="76"/>
  <c r="D43" i="76"/>
  <c r="D45" i="76"/>
  <c r="E45" i="76"/>
  <c r="E55" i="76"/>
  <c r="E54" i="76"/>
  <c r="D35" i="76"/>
  <c r="E35" i="76"/>
  <c r="D55" i="76"/>
  <c r="E32" i="76"/>
  <c r="E95" i="76" s="1"/>
  <c r="D32" i="76"/>
  <c r="D33" i="76" s="1"/>
  <c r="C22" i="76"/>
  <c r="C7" i="74"/>
  <c r="C18" i="74" s="1"/>
  <c r="C12" i="74"/>
  <c r="D12" i="74"/>
  <c r="E12" i="74"/>
  <c r="D7" i="74"/>
  <c r="GA44" i="72"/>
  <c r="FZ44" i="72"/>
  <c r="FY44" i="72"/>
  <c r="FX44" i="72"/>
  <c r="GA43" i="72"/>
  <c r="FZ43" i="72"/>
  <c r="FY43" i="72"/>
  <c r="FX43" i="72"/>
  <c r="GA42" i="72"/>
  <c r="FZ42" i="72"/>
  <c r="FY42" i="72"/>
  <c r="FX42" i="72"/>
  <c r="GA41" i="72"/>
  <c r="FZ41" i="72"/>
  <c r="FY41" i="72"/>
  <c r="FX41" i="72"/>
  <c r="GA40" i="72"/>
  <c r="FZ40" i="72"/>
  <c r="FY40" i="72"/>
  <c r="FX40" i="72"/>
  <c r="GA39" i="72"/>
  <c r="FZ39" i="72"/>
  <c r="FY39" i="72"/>
  <c r="FX39" i="72"/>
  <c r="GA38" i="72"/>
  <c r="FZ38" i="72"/>
  <c r="FY38" i="72"/>
  <c r="FX38" i="72"/>
  <c r="GA37" i="72"/>
  <c r="FZ37" i="72"/>
  <c r="FY37" i="72"/>
  <c r="FX37" i="72"/>
  <c r="GA36" i="72"/>
  <c r="FZ36" i="72"/>
  <c r="FY36" i="72"/>
  <c r="FX36" i="72"/>
  <c r="GA35" i="72"/>
  <c r="FZ35" i="72"/>
  <c r="FY35" i="72"/>
  <c r="FX35" i="72"/>
  <c r="GA29" i="72"/>
  <c r="FZ29" i="72"/>
  <c r="FY29" i="72"/>
  <c r="FX29" i="72"/>
  <c r="GA28" i="72"/>
  <c r="FZ28" i="72"/>
  <c r="FY28" i="72"/>
  <c r="FX28" i="72"/>
  <c r="GA27" i="72"/>
  <c r="FZ27" i="72"/>
  <c r="FY27" i="72"/>
  <c r="FX27" i="72"/>
  <c r="GA26" i="72"/>
  <c r="FZ26" i="72"/>
  <c r="FY26" i="72"/>
  <c r="FX26" i="72"/>
  <c r="GA25" i="72"/>
  <c r="FZ25" i="72"/>
  <c r="FY25" i="72"/>
  <c r="FX25" i="72"/>
  <c r="GA24" i="72"/>
  <c r="FZ24" i="72"/>
  <c r="FY24" i="72"/>
  <c r="FX24" i="72"/>
  <c r="GA23" i="72"/>
  <c r="FZ23" i="72"/>
  <c r="FY23" i="72"/>
  <c r="FX23" i="72"/>
  <c r="GA22" i="72"/>
  <c r="FZ22" i="72"/>
  <c r="FY22" i="72"/>
  <c r="FX22" i="72"/>
  <c r="GA21" i="72"/>
  <c r="FZ21" i="72"/>
  <c r="FY21" i="72"/>
  <c r="FX21" i="72"/>
  <c r="GA20" i="72"/>
  <c r="FZ20" i="72"/>
  <c r="FY20" i="72"/>
  <c r="FX20" i="72"/>
  <c r="GA14" i="72"/>
  <c r="FZ14" i="72"/>
  <c r="FY14" i="72"/>
  <c r="FX14" i="72"/>
  <c r="GA13" i="72"/>
  <c r="FZ13" i="72"/>
  <c r="FY13" i="72"/>
  <c r="FX13" i="72"/>
  <c r="GA12" i="72"/>
  <c r="FZ12" i="72"/>
  <c r="FY12" i="72"/>
  <c r="FX12" i="72"/>
  <c r="GA11" i="72"/>
  <c r="FZ11" i="72"/>
  <c r="FY11" i="72"/>
  <c r="FX11" i="72"/>
  <c r="GA10" i="72"/>
  <c r="FZ10" i="72"/>
  <c r="FY10" i="72"/>
  <c r="FX10" i="72"/>
  <c r="GA9" i="72"/>
  <c r="FZ9" i="72"/>
  <c r="FY9" i="72"/>
  <c r="FX9" i="72"/>
  <c r="GA8" i="72"/>
  <c r="FZ8" i="72"/>
  <c r="FY8" i="72"/>
  <c r="FX8" i="72"/>
  <c r="GA7" i="72"/>
  <c r="FZ7" i="72"/>
  <c r="FY7" i="72"/>
  <c r="FX7" i="72"/>
  <c r="GA6" i="72"/>
  <c r="FZ6" i="72"/>
  <c r="FY6" i="72"/>
  <c r="FX6" i="72"/>
  <c r="GA5" i="72"/>
  <c r="FZ5" i="72"/>
  <c r="FY5" i="72"/>
  <c r="FX5" i="72"/>
  <c r="M24" i="73"/>
  <c r="L24" i="73"/>
  <c r="K24" i="73"/>
  <c r="J24" i="73"/>
  <c r="I24" i="73"/>
  <c r="H24" i="73"/>
  <c r="G24" i="73"/>
  <c r="F24" i="73"/>
  <c r="E24" i="73"/>
  <c r="D24" i="73"/>
  <c r="C24" i="73"/>
  <c r="B24" i="73"/>
  <c r="M23" i="73"/>
  <c r="L23" i="73"/>
  <c r="K23" i="73"/>
  <c r="J23" i="73"/>
  <c r="I23" i="73"/>
  <c r="H23" i="73"/>
  <c r="G23" i="73"/>
  <c r="F23" i="73"/>
  <c r="E23" i="73"/>
  <c r="D23" i="73"/>
  <c r="C23" i="73"/>
  <c r="B23" i="73"/>
  <c r="M22" i="73"/>
  <c r="L22" i="73"/>
  <c r="K22" i="73"/>
  <c r="J22" i="73"/>
  <c r="I22" i="73"/>
  <c r="H22" i="73"/>
  <c r="G22" i="73"/>
  <c r="F22" i="73"/>
  <c r="E22" i="73"/>
  <c r="D22" i="73"/>
  <c r="C22" i="73"/>
  <c r="B22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N8" i="73"/>
  <c r="P8" i="73" s="1"/>
  <c r="N7" i="73"/>
  <c r="P7" i="73" s="1"/>
  <c r="N6" i="73"/>
  <c r="P6" i="73" s="1"/>
  <c r="N5" i="73"/>
  <c r="P5" i="73" s="1"/>
  <c r="FY53" i="72"/>
  <c r="FY52" i="72"/>
  <c r="FZ50" i="72"/>
  <c r="FY50" i="72"/>
  <c r="FS42" i="72"/>
  <c r="FR42" i="72"/>
  <c r="FQ42" i="72"/>
  <c r="FP42" i="72"/>
  <c r="FO42" i="72"/>
  <c r="FN42" i="72"/>
  <c r="FT42" i="72" s="1"/>
  <c r="FS41" i="72"/>
  <c r="FR41" i="72"/>
  <c r="FQ41" i="72"/>
  <c r="FP41" i="72"/>
  <c r="FO41" i="72"/>
  <c r="FN41" i="72"/>
  <c r="FS40" i="72"/>
  <c r="FR40" i="72"/>
  <c r="FQ40" i="72"/>
  <c r="FP40" i="72"/>
  <c r="FO40" i="72"/>
  <c r="FN40" i="72"/>
  <c r="FT40" i="72" s="1"/>
  <c r="FS39" i="72"/>
  <c r="FR39" i="72"/>
  <c r="FQ39" i="72"/>
  <c r="FP39" i="72"/>
  <c r="FO39" i="72"/>
  <c r="FN39" i="72"/>
  <c r="FS38" i="72"/>
  <c r="FR38" i="72"/>
  <c r="FQ38" i="72"/>
  <c r="FP38" i="72"/>
  <c r="FO38" i="72"/>
  <c r="FN38" i="72"/>
  <c r="FT38" i="72" s="1"/>
  <c r="FS37" i="72"/>
  <c r="FR37" i="72"/>
  <c r="FQ37" i="72"/>
  <c r="FP37" i="72"/>
  <c r="FO37" i="72"/>
  <c r="FN37" i="72"/>
  <c r="FS36" i="72"/>
  <c r="FR36" i="72"/>
  <c r="FQ36" i="72"/>
  <c r="FP36" i="72"/>
  <c r="FO36" i="72"/>
  <c r="FN36" i="72"/>
  <c r="FT36" i="72" s="1"/>
  <c r="FS35" i="72"/>
  <c r="FR35" i="72"/>
  <c r="FQ35" i="72"/>
  <c r="FP35" i="72"/>
  <c r="FP43" i="72" s="1"/>
  <c r="FP44" i="72" s="1"/>
  <c r="FO35" i="72"/>
  <c r="FN35" i="72"/>
  <c r="FS27" i="72"/>
  <c r="FR27" i="72"/>
  <c r="FQ27" i="72"/>
  <c r="FP27" i="72"/>
  <c r="FO27" i="72"/>
  <c r="FN27" i="72"/>
  <c r="FT27" i="72" s="1"/>
  <c r="FS26" i="72"/>
  <c r="FR26" i="72"/>
  <c r="FQ26" i="72"/>
  <c r="FP26" i="72"/>
  <c r="FO26" i="72"/>
  <c r="FN26" i="72"/>
  <c r="FS25" i="72"/>
  <c r="FR25" i="72"/>
  <c r="FQ25" i="72"/>
  <c r="FP25" i="72"/>
  <c r="FO25" i="72"/>
  <c r="FN25" i="72"/>
  <c r="FS24" i="72"/>
  <c r="FR24" i="72"/>
  <c r="FQ24" i="72"/>
  <c r="FP24" i="72"/>
  <c r="FO24" i="72"/>
  <c r="FN24" i="72"/>
  <c r="FS23" i="72"/>
  <c r="FR23" i="72"/>
  <c r="FQ23" i="72"/>
  <c r="FP23" i="72"/>
  <c r="FO23" i="72"/>
  <c r="FN23" i="72"/>
  <c r="FS22" i="72"/>
  <c r="FR22" i="72"/>
  <c r="FQ22" i="72"/>
  <c r="FP22" i="72"/>
  <c r="FO22" i="72"/>
  <c r="FN22" i="72"/>
  <c r="FS21" i="72"/>
  <c r="FR21" i="72"/>
  <c r="FQ21" i="72"/>
  <c r="FP21" i="72"/>
  <c r="FO21" i="72"/>
  <c r="FN21" i="72"/>
  <c r="FS20" i="72"/>
  <c r="FR20" i="72"/>
  <c r="FQ20" i="72"/>
  <c r="FP20" i="72"/>
  <c r="FO20" i="72"/>
  <c r="FN20" i="72"/>
  <c r="FM59" i="72"/>
  <c r="FL59" i="72"/>
  <c r="FK59" i="72"/>
  <c r="FJ59" i="72"/>
  <c r="FI59" i="72"/>
  <c r="FH59" i="72"/>
  <c r="FG59" i="72"/>
  <c r="FF59" i="72"/>
  <c r="FE59" i="72"/>
  <c r="FD59" i="72"/>
  <c r="FC59" i="72"/>
  <c r="FB59" i="72"/>
  <c r="FA59" i="72"/>
  <c r="EZ59" i="72"/>
  <c r="EY59" i="72"/>
  <c r="EX59" i="72"/>
  <c r="EW59" i="72"/>
  <c r="EV59" i="72"/>
  <c r="EU59" i="72"/>
  <c r="ET59" i="72"/>
  <c r="ES59" i="72"/>
  <c r="ER59" i="72"/>
  <c r="EQ59" i="72"/>
  <c r="EP59" i="72"/>
  <c r="EO59" i="72"/>
  <c r="EN59" i="72"/>
  <c r="EM59" i="72"/>
  <c r="EL59" i="72"/>
  <c r="EK59" i="72"/>
  <c r="EJ59" i="72"/>
  <c r="EI59" i="72"/>
  <c r="EH59" i="72"/>
  <c r="EG59" i="72"/>
  <c r="EF59" i="72"/>
  <c r="EE59" i="72"/>
  <c r="ED59" i="72"/>
  <c r="EC59" i="72"/>
  <c r="EB59" i="72"/>
  <c r="EA59" i="72"/>
  <c r="DZ59" i="72"/>
  <c r="DY59" i="72"/>
  <c r="DX59" i="72"/>
  <c r="J31" i="73"/>
  <c r="DU59" i="72"/>
  <c r="DT59" i="72"/>
  <c r="DS59" i="72"/>
  <c r="DR59" i="72"/>
  <c r="DQ59" i="72"/>
  <c r="DP59" i="72"/>
  <c r="DO59" i="72"/>
  <c r="DN59" i="72"/>
  <c r="J45" i="73" s="1"/>
  <c r="DM59" i="72"/>
  <c r="DL59" i="72"/>
  <c r="DK59" i="72"/>
  <c r="DJ59" i="72"/>
  <c r="H31" i="73"/>
  <c r="H45" i="73"/>
  <c r="D52" i="73" s="1"/>
  <c r="G31" i="73"/>
  <c r="G45" i="73"/>
  <c r="F31" i="73"/>
  <c r="F45" i="73"/>
  <c r="E31" i="73"/>
  <c r="E45" i="73"/>
  <c r="O59" i="72"/>
  <c r="N59" i="72"/>
  <c r="M59" i="72"/>
  <c r="L59" i="72"/>
  <c r="K59" i="72"/>
  <c r="J59" i="72"/>
  <c r="I59" i="72"/>
  <c r="H59" i="72"/>
  <c r="G59" i="72"/>
  <c r="F59" i="72"/>
  <c r="E59" i="72"/>
  <c r="D59" i="72"/>
  <c r="C59" i="72"/>
  <c r="B59" i="72"/>
  <c r="FM44" i="72"/>
  <c r="FL44" i="72"/>
  <c r="FK44" i="72"/>
  <c r="FJ44" i="72"/>
  <c r="FI44" i="72"/>
  <c r="FH44" i="72"/>
  <c r="FG44" i="72"/>
  <c r="FF44" i="72"/>
  <c r="FE44" i="72"/>
  <c r="FD44" i="72"/>
  <c r="FC44" i="72"/>
  <c r="FB44" i="72"/>
  <c r="FA44" i="72"/>
  <c r="EZ44" i="72"/>
  <c r="EY44" i="72"/>
  <c r="EX44" i="72"/>
  <c r="EW44" i="72"/>
  <c r="EV44" i="72"/>
  <c r="EU44" i="72"/>
  <c r="ET44" i="72"/>
  <c r="ES44" i="72"/>
  <c r="ER44" i="72"/>
  <c r="EQ44" i="72"/>
  <c r="EP44" i="72"/>
  <c r="EO44" i="72"/>
  <c r="EN44" i="72"/>
  <c r="EM44" i="72"/>
  <c r="EL44" i="72"/>
  <c r="EK44" i="72"/>
  <c r="EJ44" i="72"/>
  <c r="EI44" i="72"/>
  <c r="EH44" i="72"/>
  <c r="EG44" i="72"/>
  <c r="EF44" i="72"/>
  <c r="EE44" i="72"/>
  <c r="ED44" i="72"/>
  <c r="EC44" i="72"/>
  <c r="EB44" i="72"/>
  <c r="EA44" i="72"/>
  <c r="DZ44" i="72"/>
  <c r="DY44" i="72"/>
  <c r="DX44" i="72"/>
  <c r="DW44" i="72"/>
  <c r="DV44" i="72"/>
  <c r="DU44" i="72"/>
  <c r="DT44" i="72"/>
  <c r="DS44" i="72"/>
  <c r="DR44" i="72"/>
  <c r="DQ44" i="72"/>
  <c r="DP44" i="72"/>
  <c r="DO44" i="72"/>
  <c r="DN44" i="72"/>
  <c r="DM44" i="72"/>
  <c r="DL44" i="72"/>
  <c r="DK44" i="72"/>
  <c r="DJ44" i="72"/>
  <c r="DI44" i="72"/>
  <c r="DH44" i="72"/>
  <c r="DG44" i="72"/>
  <c r="DF44" i="72"/>
  <c r="DE44" i="72"/>
  <c r="DD44" i="72"/>
  <c r="DC44" i="72"/>
  <c r="DB44" i="72"/>
  <c r="DA44" i="72"/>
  <c r="CZ44" i="72"/>
  <c r="CY44" i="72"/>
  <c r="CX44" i="72"/>
  <c r="CW44" i="72"/>
  <c r="CV44" i="72"/>
  <c r="CU44" i="72"/>
  <c r="CT44" i="72"/>
  <c r="CS44" i="72"/>
  <c r="CR44" i="72"/>
  <c r="CQ44" i="72"/>
  <c r="CP44" i="72"/>
  <c r="CO44" i="72"/>
  <c r="CN44" i="72"/>
  <c r="CM44" i="72"/>
  <c r="CL44" i="72"/>
  <c r="CK44" i="72"/>
  <c r="CJ44" i="72"/>
  <c r="CI44" i="72"/>
  <c r="CH44" i="72"/>
  <c r="CG44" i="72"/>
  <c r="CF44" i="72"/>
  <c r="CE44" i="72"/>
  <c r="CD44" i="72"/>
  <c r="CC44" i="72"/>
  <c r="CB44" i="72"/>
  <c r="CA44" i="72"/>
  <c r="BZ44" i="72"/>
  <c r="BY44" i="72"/>
  <c r="BX44" i="72"/>
  <c r="BW44" i="72"/>
  <c r="BV44" i="72"/>
  <c r="BU44" i="72"/>
  <c r="BT44" i="72"/>
  <c r="BS44" i="72"/>
  <c r="BR44" i="72"/>
  <c r="BQ44" i="72"/>
  <c r="BP44" i="72"/>
  <c r="BO44" i="72"/>
  <c r="BN44" i="72"/>
  <c r="BM44" i="72"/>
  <c r="BL44" i="72"/>
  <c r="BK44" i="72"/>
  <c r="BJ44" i="72"/>
  <c r="BI44" i="72"/>
  <c r="BH44" i="72"/>
  <c r="BG44" i="72"/>
  <c r="BF44" i="72"/>
  <c r="BE44" i="72"/>
  <c r="BD44" i="72"/>
  <c r="BC44" i="72"/>
  <c r="BB44" i="72"/>
  <c r="BA44" i="72"/>
  <c r="AZ44" i="72"/>
  <c r="AY44" i="72"/>
  <c r="AX44" i="72"/>
  <c r="AW44" i="72"/>
  <c r="AV44" i="72"/>
  <c r="AU44" i="72"/>
  <c r="AT44" i="72"/>
  <c r="AS44" i="72"/>
  <c r="AR44" i="72"/>
  <c r="AQ44" i="72"/>
  <c r="AP44" i="72"/>
  <c r="AO44" i="72"/>
  <c r="AN44" i="72"/>
  <c r="AM44" i="72"/>
  <c r="AL44" i="72"/>
  <c r="AK44" i="72"/>
  <c r="AJ44" i="72"/>
  <c r="AI44" i="72"/>
  <c r="AH44" i="72"/>
  <c r="AG44" i="72"/>
  <c r="AF44" i="72"/>
  <c r="AE44" i="72"/>
  <c r="AD44" i="72"/>
  <c r="AC44" i="72"/>
  <c r="AB44" i="72"/>
  <c r="AA44" i="72"/>
  <c r="Z44" i="72"/>
  <c r="Y44" i="72"/>
  <c r="X44" i="72"/>
  <c r="W44" i="72"/>
  <c r="V44" i="72"/>
  <c r="U44" i="72"/>
  <c r="T44" i="72"/>
  <c r="S44" i="72"/>
  <c r="R44" i="72"/>
  <c r="Q44" i="72"/>
  <c r="P44" i="72"/>
  <c r="O44" i="72"/>
  <c r="N44" i="72"/>
  <c r="M44" i="72"/>
  <c r="L44" i="72"/>
  <c r="K44" i="72"/>
  <c r="J44" i="72"/>
  <c r="I44" i="72"/>
  <c r="H44" i="72"/>
  <c r="G44" i="72"/>
  <c r="F44" i="72"/>
  <c r="E44" i="72"/>
  <c r="D44" i="72"/>
  <c r="C44" i="72"/>
  <c r="B44" i="72"/>
  <c r="FM29" i="72"/>
  <c r="FL29" i="72"/>
  <c r="FK29" i="72"/>
  <c r="FJ29" i="72"/>
  <c r="FI29" i="72"/>
  <c r="FH29" i="72"/>
  <c r="FG29" i="72"/>
  <c r="FF29" i="72"/>
  <c r="FE29" i="72"/>
  <c r="FD29" i="72"/>
  <c r="FC29" i="72"/>
  <c r="FB29" i="72"/>
  <c r="FA29" i="72"/>
  <c r="EZ29" i="72"/>
  <c r="EY29" i="72"/>
  <c r="EX29" i="72"/>
  <c r="EW29" i="72"/>
  <c r="EV29" i="72"/>
  <c r="EU29" i="72"/>
  <c r="ET29" i="72"/>
  <c r="ES29" i="72"/>
  <c r="ER29" i="72"/>
  <c r="EQ29" i="72"/>
  <c r="EP29" i="72"/>
  <c r="EO29" i="72"/>
  <c r="EN29" i="72"/>
  <c r="EM29" i="72"/>
  <c r="EL29" i="72"/>
  <c r="EK29" i="72"/>
  <c r="EJ29" i="72"/>
  <c r="EI29" i="72"/>
  <c r="EH29" i="72"/>
  <c r="EG29" i="72"/>
  <c r="EF29" i="72"/>
  <c r="EE29" i="72"/>
  <c r="ED29" i="72"/>
  <c r="EC29" i="72"/>
  <c r="EB29" i="72"/>
  <c r="EA29" i="72"/>
  <c r="DZ29" i="72"/>
  <c r="DY29" i="72"/>
  <c r="DX29" i="72"/>
  <c r="DW29" i="72"/>
  <c r="DV29" i="72"/>
  <c r="DU29" i="72"/>
  <c r="DT29" i="72"/>
  <c r="DS29" i="72"/>
  <c r="DR29" i="72"/>
  <c r="DQ29" i="72"/>
  <c r="DP29" i="72"/>
  <c r="DO29" i="72"/>
  <c r="DN29" i="72"/>
  <c r="DM29" i="72"/>
  <c r="DL29" i="72"/>
  <c r="DK29" i="72"/>
  <c r="DJ29" i="72"/>
  <c r="DI29" i="72"/>
  <c r="DH29" i="72"/>
  <c r="DG29" i="72"/>
  <c r="DF29" i="72"/>
  <c r="DE29" i="72"/>
  <c r="DD29" i="72"/>
  <c r="DC29" i="72"/>
  <c r="DB29" i="72"/>
  <c r="DA29" i="72"/>
  <c r="CZ29" i="72"/>
  <c r="CY29" i="72"/>
  <c r="CX29" i="72"/>
  <c r="CW29" i="72"/>
  <c r="CV29" i="72"/>
  <c r="CU29" i="72"/>
  <c r="CT29" i="72"/>
  <c r="CS29" i="72"/>
  <c r="CR29" i="72"/>
  <c r="CQ29" i="72"/>
  <c r="CP29" i="72"/>
  <c r="CO29" i="72"/>
  <c r="CN29" i="72"/>
  <c r="CM29" i="72"/>
  <c r="CL29" i="72"/>
  <c r="CK29" i="72"/>
  <c r="CJ29" i="72"/>
  <c r="CI29" i="72"/>
  <c r="CH29" i="72"/>
  <c r="CG29" i="72"/>
  <c r="CF29" i="72"/>
  <c r="CE29" i="72"/>
  <c r="CD29" i="72"/>
  <c r="CC29" i="72"/>
  <c r="CB29" i="72"/>
  <c r="CA29" i="72"/>
  <c r="BZ29" i="72"/>
  <c r="BY29" i="72"/>
  <c r="BX29" i="72"/>
  <c r="BW29" i="72"/>
  <c r="BV29" i="72"/>
  <c r="BU29" i="72"/>
  <c r="BT29" i="72"/>
  <c r="BS29" i="72"/>
  <c r="BR29" i="72"/>
  <c r="BQ29" i="72"/>
  <c r="BP29" i="72"/>
  <c r="BO29" i="72"/>
  <c r="BN29" i="72"/>
  <c r="BM29" i="72"/>
  <c r="BL29" i="72"/>
  <c r="BK29" i="72"/>
  <c r="BJ29" i="72"/>
  <c r="BI29" i="72"/>
  <c r="BH29" i="72"/>
  <c r="BG29" i="72"/>
  <c r="BF29" i="72"/>
  <c r="BE29" i="72"/>
  <c r="BD29" i="72"/>
  <c r="BC29" i="72"/>
  <c r="BB29" i="72"/>
  <c r="BA29" i="72"/>
  <c r="AZ29" i="72"/>
  <c r="AY29" i="72"/>
  <c r="AX29" i="72"/>
  <c r="AW29" i="72"/>
  <c r="AV29" i="72"/>
  <c r="AU29" i="72"/>
  <c r="AT29" i="72"/>
  <c r="AS29" i="72"/>
  <c r="AR29" i="72"/>
  <c r="AQ29" i="72"/>
  <c r="AP29" i="72"/>
  <c r="AO29" i="72"/>
  <c r="AN29" i="72"/>
  <c r="AM29" i="72"/>
  <c r="AL29" i="72"/>
  <c r="AK29" i="72"/>
  <c r="AJ29" i="72"/>
  <c r="AI29" i="72"/>
  <c r="AH29" i="72"/>
  <c r="AG29" i="72"/>
  <c r="AF29" i="72"/>
  <c r="AE29" i="72"/>
  <c r="AD29" i="72"/>
  <c r="AC29" i="72"/>
  <c r="AB29" i="72"/>
  <c r="AA29" i="72"/>
  <c r="Z29" i="72"/>
  <c r="Y29" i="72"/>
  <c r="X29" i="72"/>
  <c r="W29" i="72"/>
  <c r="V29" i="72"/>
  <c r="U29" i="72"/>
  <c r="T29" i="72"/>
  <c r="S29" i="72"/>
  <c r="R29" i="72"/>
  <c r="Q29" i="72"/>
  <c r="P29" i="72"/>
  <c r="O29" i="72"/>
  <c r="N29" i="72"/>
  <c r="M29" i="72"/>
  <c r="L29" i="72"/>
  <c r="K29" i="72"/>
  <c r="J29" i="72"/>
  <c r="I29" i="72"/>
  <c r="H29" i="72"/>
  <c r="G29" i="72"/>
  <c r="F29" i="72"/>
  <c r="E29" i="72"/>
  <c r="D29" i="72"/>
  <c r="C29" i="72"/>
  <c r="B29" i="72"/>
  <c r="BQ14" i="72"/>
  <c r="FS12" i="72"/>
  <c r="FR12" i="72"/>
  <c r="FQ12" i="72"/>
  <c r="FP12" i="72"/>
  <c r="FO12" i="72"/>
  <c r="FN12" i="72"/>
  <c r="FS11" i="72"/>
  <c r="FR11" i="72"/>
  <c r="FQ11" i="72"/>
  <c r="FP11" i="72"/>
  <c r="FO11" i="72"/>
  <c r="FN11" i="72"/>
  <c r="FS10" i="72"/>
  <c r="FR10" i="72"/>
  <c r="FQ10" i="72"/>
  <c r="FP10" i="72"/>
  <c r="FO10" i="72"/>
  <c r="FN10" i="72"/>
  <c r="FS9" i="72"/>
  <c r="FR9" i="72"/>
  <c r="FQ9" i="72"/>
  <c r="FP9" i="72"/>
  <c r="FO9" i="72"/>
  <c r="FN9" i="72"/>
  <c r="FS8" i="72"/>
  <c r="FR8" i="72"/>
  <c r="FQ8" i="72"/>
  <c r="FP8" i="72"/>
  <c r="FO8" i="72"/>
  <c r="FN8" i="72"/>
  <c r="FS7" i="72"/>
  <c r="FR7" i="72"/>
  <c r="FQ7" i="72"/>
  <c r="FP7" i="72"/>
  <c r="FO7" i="72"/>
  <c r="FN7" i="72"/>
  <c r="FS6" i="72"/>
  <c r="FR6" i="72"/>
  <c r="FQ6" i="72"/>
  <c r="FP6" i="72"/>
  <c r="FO6" i="72"/>
  <c r="FN6" i="72"/>
  <c r="FS5" i="72"/>
  <c r="FR5" i="72"/>
  <c r="FQ5" i="72"/>
  <c r="FP5" i="72"/>
  <c r="FO5" i="72"/>
  <c r="FN5" i="72"/>
  <c r="FM13" i="72"/>
  <c r="FM14" i="72" s="1"/>
  <c r="FL13" i="72"/>
  <c r="M13" i="73" s="1"/>
  <c r="FK13" i="72"/>
  <c r="FK14" i="72" s="1"/>
  <c r="FJ13" i="72"/>
  <c r="FJ14" i="72" s="1"/>
  <c r="FI13" i="72"/>
  <c r="FI14" i="72" s="1"/>
  <c r="FH13" i="72"/>
  <c r="FH14" i="72" s="1"/>
  <c r="FG13" i="72"/>
  <c r="FG14" i="72" s="1"/>
  <c r="FF13" i="72"/>
  <c r="FF14" i="72" s="1"/>
  <c r="FE13" i="72"/>
  <c r="FE14" i="72" s="1"/>
  <c r="FD13" i="72"/>
  <c r="FD14" i="72" s="1"/>
  <c r="FC13" i="72"/>
  <c r="FC14" i="72" s="1"/>
  <c r="FB13" i="72"/>
  <c r="FB14" i="72" s="1"/>
  <c r="FA13" i="72"/>
  <c r="FA14" i="72" s="1"/>
  <c r="EZ13" i="72"/>
  <c r="EZ14" i="72" s="1"/>
  <c r="EY13" i="72"/>
  <c r="L21" i="73" s="1"/>
  <c r="EX13" i="72"/>
  <c r="EX14" i="72" s="1"/>
  <c r="EW13" i="72"/>
  <c r="EW14" i="72" s="1"/>
  <c r="EV13" i="72"/>
  <c r="EV14" i="72" s="1"/>
  <c r="EU13" i="72"/>
  <c r="EU14" i="72" s="1"/>
  <c r="ET13" i="72"/>
  <c r="ET14" i="72" s="1"/>
  <c r="ES13" i="72"/>
  <c r="ES14" i="72" s="1"/>
  <c r="ER13" i="72"/>
  <c r="ER14" i="72" s="1"/>
  <c r="EQ13" i="72"/>
  <c r="EQ14" i="72" s="1"/>
  <c r="EP13" i="72"/>
  <c r="EP14" i="72" s="1"/>
  <c r="EO13" i="72"/>
  <c r="EO14" i="72" s="1"/>
  <c r="EN13" i="72"/>
  <c r="EN14" i="72" s="1"/>
  <c r="EM13" i="72"/>
  <c r="EM14" i="72" s="1"/>
  <c r="EL13" i="72"/>
  <c r="EL14" i="72" s="1"/>
  <c r="EK13" i="72"/>
  <c r="EJ13" i="72"/>
  <c r="K13" i="73" s="1"/>
  <c r="EI13" i="72"/>
  <c r="EI14" i="72" s="1"/>
  <c r="EH13" i="72"/>
  <c r="EH14" i="72" s="1"/>
  <c r="EG13" i="72"/>
  <c r="EG14" i="72" s="1"/>
  <c r="EF13" i="72"/>
  <c r="EF14" i="72" s="1"/>
  <c r="EE13" i="72"/>
  <c r="EE14" i="72" s="1"/>
  <c r="ED13" i="72"/>
  <c r="ED14" i="72" s="1"/>
  <c r="EC13" i="72"/>
  <c r="EC14" i="72" s="1"/>
  <c r="EB13" i="72"/>
  <c r="EB14" i="72" s="1"/>
  <c r="EA13" i="72"/>
  <c r="EA14" i="72" s="1"/>
  <c r="DZ13" i="72"/>
  <c r="DZ14" i="72" s="1"/>
  <c r="DY13" i="72"/>
  <c r="DY14" i="72" s="1"/>
  <c r="DX13" i="72"/>
  <c r="DX14" i="72" s="1"/>
  <c r="DW13" i="72"/>
  <c r="DW14" i="72" s="1"/>
  <c r="DV13" i="72"/>
  <c r="J13" i="73" s="1"/>
  <c r="DU13" i="72"/>
  <c r="DU14" i="72" s="1"/>
  <c r="DT13" i="72"/>
  <c r="DT14" i="72" s="1"/>
  <c r="DS13" i="72"/>
  <c r="DS14" i="72" s="1"/>
  <c r="DR13" i="72"/>
  <c r="DR14" i="72" s="1"/>
  <c r="DQ13" i="72"/>
  <c r="DQ14" i="72" s="1"/>
  <c r="DP13" i="72"/>
  <c r="DP14" i="72" s="1"/>
  <c r="DO13" i="72"/>
  <c r="DO14" i="72" s="1"/>
  <c r="DN13" i="72"/>
  <c r="DN14" i="72" s="1"/>
  <c r="DM13" i="72"/>
  <c r="DM14" i="72" s="1"/>
  <c r="DL13" i="72"/>
  <c r="DL14" i="72" s="1"/>
  <c r="DK13" i="72"/>
  <c r="DK14" i="72" s="1"/>
  <c r="DJ13" i="72"/>
  <c r="DJ14" i="72" s="1"/>
  <c r="DI13" i="72"/>
  <c r="DI14" i="72" s="1"/>
  <c r="DH13" i="72"/>
  <c r="I13" i="73" s="1"/>
  <c r="DG13" i="72"/>
  <c r="DG14" i="72" s="1"/>
  <c r="DF13" i="72"/>
  <c r="DF14" i="72" s="1"/>
  <c r="DE13" i="72"/>
  <c r="DE14" i="72" s="1"/>
  <c r="DD13" i="72"/>
  <c r="DD14" i="72" s="1"/>
  <c r="DC13" i="72"/>
  <c r="DC14" i="72" s="1"/>
  <c r="DB13" i="72"/>
  <c r="DB14" i="72" s="1"/>
  <c r="DA13" i="72"/>
  <c r="DA14" i="72" s="1"/>
  <c r="CZ13" i="72"/>
  <c r="CZ14" i="72" s="1"/>
  <c r="CY13" i="72"/>
  <c r="CY14" i="72" s="1"/>
  <c r="CX13" i="72"/>
  <c r="CX14" i="72" s="1"/>
  <c r="CW13" i="72"/>
  <c r="CW14" i="72" s="1"/>
  <c r="CV13" i="72"/>
  <c r="CV14" i="72" s="1"/>
  <c r="CU13" i="72"/>
  <c r="H21" i="73" s="1"/>
  <c r="CT13" i="72"/>
  <c r="CT14" i="72" s="1"/>
  <c r="CS13" i="72"/>
  <c r="CS14" i="72" s="1"/>
  <c r="CR13" i="72"/>
  <c r="CR14" i="72" s="1"/>
  <c r="CQ13" i="72"/>
  <c r="CQ14" i="72" s="1"/>
  <c r="CP13" i="72"/>
  <c r="CP14" i="72" s="1"/>
  <c r="CO13" i="72"/>
  <c r="CO14" i="72" s="1"/>
  <c r="CN13" i="72"/>
  <c r="CN14" i="72" s="1"/>
  <c r="CM13" i="72"/>
  <c r="CM14" i="72" s="1"/>
  <c r="CL13" i="72"/>
  <c r="CL14" i="72" s="1"/>
  <c r="CK13" i="72"/>
  <c r="CK14" i="72" s="1"/>
  <c r="CJ13" i="72"/>
  <c r="CJ14" i="72" s="1"/>
  <c r="CI13" i="72"/>
  <c r="CI14" i="72" s="1"/>
  <c r="CH13" i="72"/>
  <c r="CH14" i="72" s="1"/>
  <c r="CG13" i="72"/>
  <c r="G21" i="73" s="1"/>
  <c r="CF13" i="72"/>
  <c r="G13" i="73" s="1"/>
  <c r="CE13" i="72"/>
  <c r="CE14" i="72" s="1"/>
  <c r="CD13" i="72"/>
  <c r="CD14" i="72" s="1"/>
  <c r="CC13" i="72"/>
  <c r="CC14" i="72" s="1"/>
  <c r="CB13" i="72"/>
  <c r="CB14" i="72" s="1"/>
  <c r="CA13" i="72"/>
  <c r="CA14" i="72" s="1"/>
  <c r="BZ13" i="72"/>
  <c r="BZ14" i="72" s="1"/>
  <c r="BY13" i="72"/>
  <c r="BY14" i="72" s="1"/>
  <c r="BX13" i="72"/>
  <c r="BX14" i="72" s="1"/>
  <c r="BW13" i="72"/>
  <c r="BW14" i="72" s="1"/>
  <c r="BV13" i="72"/>
  <c r="BV14" i="72" s="1"/>
  <c r="BU13" i="72"/>
  <c r="BU14" i="72" s="1"/>
  <c r="BT13" i="72"/>
  <c r="BT14" i="72" s="1"/>
  <c r="BS13" i="72"/>
  <c r="BS14" i="72" s="1"/>
  <c r="BR13" i="72"/>
  <c r="F13" i="73" s="1"/>
  <c r="BQ13" i="72"/>
  <c r="BP13" i="72"/>
  <c r="BP14" i="72" s="1"/>
  <c r="BO13" i="72"/>
  <c r="BO14" i="72" s="1"/>
  <c r="BN13" i="72"/>
  <c r="BN14" i="72" s="1"/>
  <c r="BM13" i="72"/>
  <c r="BM14" i="72" s="1"/>
  <c r="BL13" i="72"/>
  <c r="BL14" i="72" s="1"/>
  <c r="BK13" i="72"/>
  <c r="BK14" i="72" s="1"/>
  <c r="BJ13" i="72"/>
  <c r="BJ14" i="72" s="1"/>
  <c r="BI13" i="72"/>
  <c r="BI14" i="72" s="1"/>
  <c r="BH13" i="72"/>
  <c r="BH14" i="72" s="1"/>
  <c r="BG13" i="72"/>
  <c r="BG14" i="72" s="1"/>
  <c r="BF13" i="72"/>
  <c r="BF14" i="72" s="1"/>
  <c r="BE13" i="72"/>
  <c r="E21" i="73" s="1"/>
  <c r="BD13" i="72"/>
  <c r="E13" i="73" s="1"/>
  <c r="BC13" i="72"/>
  <c r="BC14" i="72" s="1"/>
  <c r="BB13" i="72"/>
  <c r="BB14" i="72" s="1"/>
  <c r="BA13" i="72"/>
  <c r="BA14" i="72" s="1"/>
  <c r="AZ13" i="72"/>
  <c r="AZ14" i="72" s="1"/>
  <c r="AY13" i="72"/>
  <c r="AY14" i="72" s="1"/>
  <c r="AX13" i="72"/>
  <c r="AX14" i="72" s="1"/>
  <c r="AW13" i="72"/>
  <c r="AW14" i="72" s="1"/>
  <c r="AV13" i="72"/>
  <c r="AV14" i="72" s="1"/>
  <c r="AU13" i="72"/>
  <c r="AU14" i="72" s="1"/>
  <c r="AT13" i="72"/>
  <c r="AT14" i="72" s="1"/>
  <c r="AS13" i="72"/>
  <c r="AS14" i="72" s="1"/>
  <c r="AR13" i="72"/>
  <c r="AR14" i="72" s="1"/>
  <c r="AQ13" i="72"/>
  <c r="D21" i="73" s="1"/>
  <c r="AP13" i="72"/>
  <c r="AP14" i="72" s="1"/>
  <c r="AO13" i="72"/>
  <c r="AO14" i="72" s="1"/>
  <c r="AN13" i="72"/>
  <c r="AN14" i="72" s="1"/>
  <c r="AM13" i="72"/>
  <c r="AM14" i="72" s="1"/>
  <c r="AL13" i="72"/>
  <c r="AL14" i="72" s="1"/>
  <c r="AK13" i="72"/>
  <c r="AK14" i="72" s="1"/>
  <c r="AJ13" i="72"/>
  <c r="AJ14" i="72" s="1"/>
  <c r="AI13" i="72"/>
  <c r="AI14" i="72" s="1"/>
  <c r="AH13" i="72"/>
  <c r="AH14" i="72" s="1"/>
  <c r="AG13" i="72"/>
  <c r="AG14" i="72" s="1"/>
  <c r="AF13" i="72"/>
  <c r="AF14" i="72" s="1"/>
  <c r="AE13" i="72"/>
  <c r="AE14" i="72" s="1"/>
  <c r="AD13" i="72"/>
  <c r="AD14" i="72" s="1"/>
  <c r="AC13" i="72"/>
  <c r="C21" i="73" s="1"/>
  <c r="AB13" i="72"/>
  <c r="C13" i="73" s="1"/>
  <c r="AA13" i="72"/>
  <c r="AA14" i="72" s="1"/>
  <c r="Z13" i="72"/>
  <c r="Z14" i="72" s="1"/>
  <c r="Y13" i="72"/>
  <c r="Y14" i="72" s="1"/>
  <c r="X13" i="72"/>
  <c r="X14" i="72" s="1"/>
  <c r="W13" i="72"/>
  <c r="W14" i="72" s="1"/>
  <c r="V13" i="72"/>
  <c r="V14" i="72" s="1"/>
  <c r="U13" i="72"/>
  <c r="U14" i="72" s="1"/>
  <c r="T13" i="72"/>
  <c r="T14" i="72" s="1"/>
  <c r="S13" i="72"/>
  <c r="S14" i="72" s="1"/>
  <c r="R13" i="72"/>
  <c r="R14" i="72" s="1"/>
  <c r="Q13" i="72"/>
  <c r="Q14" i="72" s="1"/>
  <c r="P13" i="72"/>
  <c r="P14" i="72" s="1"/>
  <c r="O13" i="72"/>
  <c r="O14" i="72" s="1"/>
  <c r="N13" i="72"/>
  <c r="B13" i="73" s="1"/>
  <c r="M13" i="72"/>
  <c r="M14" i="72" s="1"/>
  <c r="L13" i="72"/>
  <c r="L14" i="72" s="1"/>
  <c r="K13" i="72"/>
  <c r="K14" i="72" s="1"/>
  <c r="J13" i="72"/>
  <c r="J14" i="72" s="1"/>
  <c r="I13" i="72"/>
  <c r="I14" i="72" s="1"/>
  <c r="H13" i="72"/>
  <c r="H14" i="72" s="1"/>
  <c r="G13" i="72"/>
  <c r="G14" i="72" s="1"/>
  <c r="F13" i="72"/>
  <c r="F14" i="72" s="1"/>
  <c r="E13" i="72"/>
  <c r="E14" i="72" s="1"/>
  <c r="D13" i="72"/>
  <c r="D14" i="72" s="1"/>
  <c r="C13" i="72"/>
  <c r="C14" i="72" s="1"/>
  <c r="B13" i="72"/>
  <c r="B14" i="72" s="1"/>
  <c r="D38" i="73" l="1"/>
  <c r="D18" i="74"/>
  <c r="E128" i="76"/>
  <c r="H53" i="76"/>
  <c r="I53" i="76" s="1"/>
  <c r="G53" i="76"/>
  <c r="G54" i="76" s="1"/>
  <c r="FX55" i="72"/>
  <c r="FX50" i="72"/>
  <c r="FX51" i="72"/>
  <c r="FZ53" i="72"/>
  <c r="FY54" i="72"/>
  <c r="FY56" i="72"/>
  <c r="FY51" i="72"/>
  <c r="FZ52" i="72"/>
  <c r="FY55" i="72"/>
  <c r="FY57" i="72"/>
  <c r="C38" i="73"/>
  <c r="N31" i="73"/>
  <c r="FZ51" i="72"/>
  <c r="FX53" i="72"/>
  <c r="FZ55" i="72"/>
  <c r="FX57" i="72"/>
  <c r="FZ57" i="72"/>
  <c r="FX52" i="72"/>
  <c r="FX54" i="72"/>
  <c r="FZ54" i="72"/>
  <c r="FX56" i="72"/>
  <c r="FZ56" i="72"/>
  <c r="C52" i="73"/>
  <c r="F52" i="73" s="1"/>
  <c r="N45" i="73"/>
  <c r="D135" i="76"/>
  <c r="D128" i="76"/>
  <c r="F134" i="76"/>
  <c r="D71" i="76"/>
  <c r="E71" i="76"/>
  <c r="E97" i="76"/>
  <c r="E98" i="76" s="1"/>
  <c r="D95" i="76"/>
  <c r="C97" i="76"/>
  <c r="C98" i="76" s="1"/>
  <c r="C99" i="76" s="1"/>
  <c r="D59" i="76"/>
  <c r="E59" i="76"/>
  <c r="D23" i="76"/>
  <c r="C61" i="76"/>
  <c r="D62" i="76" s="1"/>
  <c r="E33" i="76"/>
  <c r="E23" i="76"/>
  <c r="FL14" i="72"/>
  <c r="FQ28" i="72"/>
  <c r="FQ29" i="72" s="1"/>
  <c r="FU22" i="72"/>
  <c r="FU24" i="72"/>
  <c r="FU26" i="72"/>
  <c r="FQ43" i="72"/>
  <c r="FQ44" i="72" s="1"/>
  <c r="FU36" i="72"/>
  <c r="FU40" i="72"/>
  <c r="F14" i="74"/>
  <c r="FU5" i="72"/>
  <c r="FS13" i="72"/>
  <c r="FS14" i="72" s="1"/>
  <c r="FQ13" i="72"/>
  <c r="FQ14" i="72" s="1"/>
  <c r="FU7" i="72"/>
  <c r="FU9" i="72"/>
  <c r="FU11" i="72"/>
  <c r="F21" i="73"/>
  <c r="D13" i="73"/>
  <c r="I21" i="73"/>
  <c r="FT6" i="72"/>
  <c r="FT8" i="72"/>
  <c r="FT10" i="72"/>
  <c r="FT12" i="72"/>
  <c r="CG14" i="72"/>
  <c r="H13" i="73"/>
  <c r="J21" i="73"/>
  <c r="FU38" i="72"/>
  <c r="FU42" i="72"/>
  <c r="AC14" i="72"/>
  <c r="FP28" i="72"/>
  <c r="FP29" i="72" s="1"/>
  <c r="FT21" i="72"/>
  <c r="FT23" i="72"/>
  <c r="FT25" i="72"/>
  <c r="L13" i="73"/>
  <c r="B21" i="73"/>
  <c r="K21" i="73"/>
  <c r="EK14" i="72"/>
  <c r="BE14" i="72"/>
  <c r="DH14" i="72"/>
  <c r="M21" i="73"/>
  <c r="BD14" i="72"/>
  <c r="EJ14" i="72"/>
  <c r="AB14" i="72"/>
  <c r="CF14" i="72"/>
  <c r="FO13" i="72"/>
  <c r="FU8" i="72"/>
  <c r="FU10" i="72"/>
  <c r="FU12" i="72"/>
  <c r="N14" i="72"/>
  <c r="BR14" i="72"/>
  <c r="DV14" i="72"/>
  <c r="FT20" i="72"/>
  <c r="FR28" i="72"/>
  <c r="FR29" i="72" s="1"/>
  <c r="FT22" i="72"/>
  <c r="FT24" i="72"/>
  <c r="FT26" i="72"/>
  <c r="FN43" i="72"/>
  <c r="FR43" i="72"/>
  <c r="FR44" i="72" s="1"/>
  <c r="FT37" i="72"/>
  <c r="FT39" i="72"/>
  <c r="FT41" i="72"/>
  <c r="GA52" i="72"/>
  <c r="GA54" i="72"/>
  <c r="GA56" i="72"/>
  <c r="N14" i="73"/>
  <c r="P14" i="73" s="1"/>
  <c r="N15" i="73"/>
  <c r="P15" i="73" s="1"/>
  <c r="N16" i="73"/>
  <c r="P16" i="73" s="1"/>
  <c r="N22" i="73"/>
  <c r="N23" i="73"/>
  <c r="N24" i="73"/>
  <c r="FT5" i="72"/>
  <c r="FT7" i="72"/>
  <c r="FT9" i="72"/>
  <c r="FT11" i="72"/>
  <c r="AQ14" i="72"/>
  <c r="CU14" i="72"/>
  <c r="EY14" i="72"/>
  <c r="FO28" i="72"/>
  <c r="FS28" i="72"/>
  <c r="FS29" i="72" s="1"/>
  <c r="FU21" i="72"/>
  <c r="FU23" i="72"/>
  <c r="FU25" i="72"/>
  <c r="FU27" i="72"/>
  <c r="FU35" i="72"/>
  <c r="FS43" i="72"/>
  <c r="FS44" i="72" s="1"/>
  <c r="FU37" i="72"/>
  <c r="FU39" i="72"/>
  <c r="FU41" i="72"/>
  <c r="F13" i="74"/>
  <c r="F15" i="74"/>
  <c r="FN44" i="72"/>
  <c r="FO43" i="72"/>
  <c r="FT35" i="72"/>
  <c r="FO29" i="72"/>
  <c r="FN28" i="72"/>
  <c r="FU20" i="72"/>
  <c r="FU6" i="72"/>
  <c r="FR13" i="72"/>
  <c r="FR14" i="72" s="1"/>
  <c r="FP13" i="72"/>
  <c r="FP14" i="72" s="1"/>
  <c r="FN13" i="72"/>
  <c r="FN14" i="72" s="1"/>
  <c r="F38" i="73" l="1"/>
  <c r="H54" i="76"/>
  <c r="GA50" i="72"/>
  <c r="GA51" i="72"/>
  <c r="F34" i="76"/>
  <c r="F12" i="74"/>
  <c r="FZ58" i="72"/>
  <c r="GA57" i="72"/>
  <c r="FY58" i="72"/>
  <c r="FX58" i="72"/>
  <c r="GA55" i="72"/>
  <c r="GA53" i="72"/>
  <c r="I134" i="76"/>
  <c r="I135" i="76" s="1"/>
  <c r="H134" i="76"/>
  <c r="E99" i="76"/>
  <c r="E114" i="76" s="1"/>
  <c r="E144" i="76" s="1"/>
  <c r="E146" i="76" s="1"/>
  <c r="E147" i="76" s="1"/>
  <c r="E62" i="76"/>
  <c r="G55" i="76"/>
  <c r="G134" i="76"/>
  <c r="G135" i="76" s="1"/>
  <c r="C114" i="76"/>
  <c r="D97" i="76"/>
  <c r="D98" i="76" s="1"/>
  <c r="D99" i="76" s="1"/>
  <c r="N13" i="73"/>
  <c r="P13" i="73" s="1"/>
  <c r="FT43" i="72"/>
  <c r="FT44" i="72" s="1"/>
  <c r="FU28" i="72"/>
  <c r="FU29" i="72" s="1"/>
  <c r="N21" i="73"/>
  <c r="FU13" i="72"/>
  <c r="FU14" i="72" s="1"/>
  <c r="FO14" i="72"/>
  <c r="FU43" i="72"/>
  <c r="FU44" i="72" s="1"/>
  <c r="FO44" i="72"/>
  <c r="FT28" i="72"/>
  <c r="FT29" i="72" s="1"/>
  <c r="FN29" i="72"/>
  <c r="FT13" i="72"/>
  <c r="FT14" i="72" s="1"/>
  <c r="G34" i="76" l="1"/>
  <c r="H34" i="76"/>
  <c r="I34" i="76" s="1"/>
  <c r="F8" i="74"/>
  <c r="FX59" i="72"/>
  <c r="F10" i="74"/>
  <c r="F21" i="74" s="1"/>
  <c r="FZ59" i="72"/>
  <c r="GA59" i="72"/>
  <c r="GA58" i="72"/>
  <c r="F9" i="74"/>
  <c r="F20" i="74" s="1"/>
  <c r="FY59" i="72"/>
  <c r="F70" i="76"/>
  <c r="E148" i="76"/>
  <c r="E100" i="76"/>
  <c r="I54" i="76"/>
  <c r="I55" i="76"/>
  <c r="C144" i="76"/>
  <c r="C146" i="76" s="1"/>
  <c r="D114" i="76"/>
  <c r="D144" i="76" s="1"/>
  <c r="D146" i="76" s="1"/>
  <c r="E115" i="76"/>
  <c r="D100" i="76"/>
  <c r="AP109" i="4"/>
  <c r="AA109" i="4"/>
  <c r="L109" i="4"/>
  <c r="H70" i="76" l="1"/>
  <c r="H71" i="76" s="1"/>
  <c r="G70" i="76"/>
  <c r="G71" i="76" s="1"/>
  <c r="G35" i="76"/>
  <c r="F20" i="76"/>
  <c r="F19" i="74"/>
  <c r="F7" i="74"/>
  <c r="D148" i="76"/>
  <c r="D147" i="76"/>
  <c r="C148" i="76"/>
  <c r="C147" i="76"/>
  <c r="D115" i="76"/>
  <c r="AF30" i="4"/>
  <c r="Q30" i="4"/>
  <c r="B30" i="4"/>
  <c r="F18" i="74" l="1"/>
  <c r="F25" i="74"/>
  <c r="F22" i="76"/>
  <c r="F32" i="76"/>
  <c r="F58" i="76"/>
  <c r="F127" i="76" s="1"/>
  <c r="I70" i="76"/>
  <c r="I71" i="76" s="1"/>
  <c r="I35" i="76"/>
  <c r="Z63" i="43"/>
  <c r="Z47" i="43"/>
  <c r="Z31" i="43"/>
  <c r="H32" i="76" l="1"/>
  <c r="I32" i="76" s="1"/>
  <c r="G32" i="76"/>
  <c r="G33" i="76" s="1"/>
  <c r="F61" i="76"/>
  <c r="H22" i="76"/>
  <c r="I22" i="76" s="1"/>
  <c r="G22" i="76"/>
  <c r="G58" i="76"/>
  <c r="F95" i="76"/>
  <c r="H58" i="76"/>
  <c r="H127" i="76" s="1"/>
  <c r="AQ140" i="16"/>
  <c r="AP140" i="16"/>
  <c r="AO140" i="16"/>
  <c r="AN140" i="16"/>
  <c r="AM140" i="16"/>
  <c r="AL140" i="16"/>
  <c r="AK140" i="16"/>
  <c r="AJ140" i="16"/>
  <c r="AI140" i="16"/>
  <c r="AH140" i="16"/>
  <c r="AG140" i="16"/>
  <c r="AF140" i="16"/>
  <c r="AB140" i="16"/>
  <c r="AA140" i="16"/>
  <c r="Z140" i="16"/>
  <c r="Y140" i="16"/>
  <c r="X140" i="16"/>
  <c r="W140" i="16"/>
  <c r="V140" i="16"/>
  <c r="U140" i="16"/>
  <c r="T140" i="16"/>
  <c r="S140" i="16"/>
  <c r="R140" i="16"/>
  <c r="Q140" i="16"/>
  <c r="M140" i="16"/>
  <c r="L140" i="16"/>
  <c r="K140" i="16"/>
  <c r="J140" i="16"/>
  <c r="I140" i="16"/>
  <c r="H140" i="16"/>
  <c r="G140" i="16"/>
  <c r="F140" i="16"/>
  <c r="E140" i="16"/>
  <c r="D140" i="16"/>
  <c r="C140" i="16"/>
  <c r="B140" i="16"/>
  <c r="AQ139" i="16"/>
  <c r="AP139" i="16"/>
  <c r="AO139" i="16"/>
  <c r="AN139" i="16"/>
  <c r="AM139" i="16"/>
  <c r="AL139" i="16"/>
  <c r="AK139" i="16"/>
  <c r="AJ139" i="16"/>
  <c r="AI139" i="16"/>
  <c r="AH139" i="16"/>
  <c r="AG139" i="16"/>
  <c r="AF139" i="16"/>
  <c r="AB139" i="16"/>
  <c r="AA139" i="16"/>
  <c r="Z139" i="16"/>
  <c r="Y139" i="16"/>
  <c r="X139" i="16"/>
  <c r="W139" i="16"/>
  <c r="V139" i="16"/>
  <c r="U139" i="16"/>
  <c r="T139" i="16"/>
  <c r="S139" i="16"/>
  <c r="R139" i="16"/>
  <c r="Q139" i="16"/>
  <c r="M139" i="16"/>
  <c r="L139" i="16"/>
  <c r="K139" i="16"/>
  <c r="J139" i="16"/>
  <c r="I139" i="16"/>
  <c r="AW139" i="16" s="1"/>
  <c r="H139" i="16"/>
  <c r="G139" i="16"/>
  <c r="F139" i="16"/>
  <c r="E139" i="16"/>
  <c r="D139" i="16"/>
  <c r="C139" i="16"/>
  <c r="B139" i="16"/>
  <c r="AQ137" i="16"/>
  <c r="AP137" i="16"/>
  <c r="AO137" i="16"/>
  <c r="AN137" i="16"/>
  <c r="AM137" i="16"/>
  <c r="AL137" i="16"/>
  <c r="AK137" i="16"/>
  <c r="AJ137" i="16"/>
  <c r="AI137" i="16"/>
  <c r="AH137" i="16"/>
  <c r="AG137" i="16"/>
  <c r="AF137" i="16"/>
  <c r="AB137" i="16"/>
  <c r="AA137" i="16"/>
  <c r="Z137" i="16"/>
  <c r="Y137" i="16"/>
  <c r="X137" i="16"/>
  <c r="W137" i="16"/>
  <c r="V137" i="16"/>
  <c r="U137" i="16"/>
  <c r="T137" i="16"/>
  <c r="S137" i="16"/>
  <c r="R137" i="16"/>
  <c r="Q137" i="16"/>
  <c r="M137" i="16"/>
  <c r="L137" i="16"/>
  <c r="K137" i="16"/>
  <c r="J137" i="16"/>
  <c r="I137" i="16"/>
  <c r="H137" i="16"/>
  <c r="G137" i="16"/>
  <c r="AU137" i="16" s="1"/>
  <c r="F137" i="16"/>
  <c r="E137" i="16"/>
  <c r="D137" i="16"/>
  <c r="C137" i="16"/>
  <c r="B137" i="16"/>
  <c r="AQ136" i="16"/>
  <c r="AP136" i="16"/>
  <c r="AO136" i="16"/>
  <c r="AN136" i="16"/>
  <c r="AM136" i="16"/>
  <c r="AL136" i="16"/>
  <c r="AK136" i="16"/>
  <c r="AJ136" i="16"/>
  <c r="AI136" i="16"/>
  <c r="AH136" i="16"/>
  <c r="AG136" i="16"/>
  <c r="AF136" i="16"/>
  <c r="AB136" i="16"/>
  <c r="AA136" i="16"/>
  <c r="Z136" i="16"/>
  <c r="Y136" i="16"/>
  <c r="X136" i="16"/>
  <c r="W136" i="16"/>
  <c r="V136" i="16"/>
  <c r="U136" i="16"/>
  <c r="T136" i="16"/>
  <c r="S136" i="16"/>
  <c r="R136" i="16"/>
  <c r="Q136" i="16"/>
  <c r="M136" i="16"/>
  <c r="L136" i="16"/>
  <c r="K136" i="16"/>
  <c r="J136" i="16"/>
  <c r="I136" i="16"/>
  <c r="H136" i="16"/>
  <c r="G136" i="16"/>
  <c r="F136" i="16"/>
  <c r="E136" i="16"/>
  <c r="D136" i="16"/>
  <c r="C136" i="16"/>
  <c r="B136" i="16"/>
  <c r="G130" i="16"/>
  <c r="E129" i="16"/>
  <c r="D129" i="16"/>
  <c r="C129" i="16"/>
  <c r="G129" i="16" s="1"/>
  <c r="B129" i="16"/>
  <c r="F129" i="16" s="1"/>
  <c r="E128" i="16"/>
  <c r="D128" i="16"/>
  <c r="C128" i="16"/>
  <c r="G128" i="16" s="1"/>
  <c r="B128" i="16"/>
  <c r="F128" i="16" s="1"/>
  <c r="E127" i="16"/>
  <c r="D127" i="16"/>
  <c r="C127" i="16"/>
  <c r="G127" i="16" s="1"/>
  <c r="B127" i="16"/>
  <c r="F127" i="16" s="1"/>
  <c r="E126" i="16"/>
  <c r="D126" i="16"/>
  <c r="C126" i="16"/>
  <c r="G126" i="16" s="1"/>
  <c r="B126" i="16"/>
  <c r="F126" i="16" s="1"/>
  <c r="E125" i="16"/>
  <c r="D125" i="16"/>
  <c r="C125" i="16"/>
  <c r="G125" i="16" s="1"/>
  <c r="B125" i="16"/>
  <c r="E124" i="16"/>
  <c r="D124" i="16"/>
  <c r="C124" i="16"/>
  <c r="G124" i="16" s="1"/>
  <c r="B124" i="16"/>
  <c r="E123" i="16"/>
  <c r="D123" i="16"/>
  <c r="C123" i="16"/>
  <c r="G123" i="16" s="1"/>
  <c r="B123" i="16"/>
  <c r="E122" i="16"/>
  <c r="D122" i="16"/>
  <c r="C122" i="16"/>
  <c r="G122" i="16" s="1"/>
  <c r="B122" i="16"/>
  <c r="E121" i="16"/>
  <c r="D121" i="16"/>
  <c r="C121" i="16"/>
  <c r="G121" i="16" s="1"/>
  <c r="B121" i="16"/>
  <c r="E120" i="16"/>
  <c r="D120" i="16"/>
  <c r="C120" i="16"/>
  <c r="G120" i="16" s="1"/>
  <c r="B120" i="16"/>
  <c r="E119" i="16"/>
  <c r="D119" i="16"/>
  <c r="C119" i="16"/>
  <c r="G119" i="16" s="1"/>
  <c r="B119" i="16"/>
  <c r="E118" i="16"/>
  <c r="D118" i="16"/>
  <c r="C118" i="16"/>
  <c r="G118" i="16" s="1"/>
  <c r="B118" i="16"/>
  <c r="AQ140" i="4"/>
  <c r="AP140" i="4"/>
  <c r="AO140" i="4"/>
  <c r="AN140" i="4"/>
  <c r="AM140" i="4"/>
  <c r="AL140" i="4"/>
  <c r="AK140" i="4"/>
  <c r="AJ140" i="4"/>
  <c r="AI140" i="4"/>
  <c r="AH140" i="4"/>
  <c r="AG140" i="4"/>
  <c r="AF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AQ139" i="4"/>
  <c r="AP139" i="4"/>
  <c r="AO139" i="4"/>
  <c r="AN139" i="4"/>
  <c r="AM139" i="4"/>
  <c r="AL139" i="4"/>
  <c r="AK139" i="4"/>
  <c r="AJ139" i="4"/>
  <c r="AI139" i="4"/>
  <c r="AH139" i="4"/>
  <c r="AG139" i="4"/>
  <c r="AF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M139" i="4"/>
  <c r="L139" i="4"/>
  <c r="K139" i="4"/>
  <c r="J139" i="4"/>
  <c r="I139" i="4"/>
  <c r="H139" i="4"/>
  <c r="G139" i="4"/>
  <c r="AU139" i="4" s="1"/>
  <c r="F139" i="4"/>
  <c r="E139" i="4"/>
  <c r="D139" i="4"/>
  <c r="C139" i="4"/>
  <c r="B139" i="4"/>
  <c r="AQ137" i="4"/>
  <c r="AP137" i="4"/>
  <c r="AO137" i="4"/>
  <c r="AN137" i="4"/>
  <c r="AM137" i="4"/>
  <c r="AL137" i="4"/>
  <c r="AK137" i="4"/>
  <c r="AJ137" i="4"/>
  <c r="AI137" i="4"/>
  <c r="AH137" i="4"/>
  <c r="AG137" i="4"/>
  <c r="AF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M137" i="4"/>
  <c r="L137" i="4"/>
  <c r="K137" i="4"/>
  <c r="J137" i="4"/>
  <c r="I137" i="4"/>
  <c r="H137" i="4"/>
  <c r="AV137" i="4" s="1"/>
  <c r="G137" i="4"/>
  <c r="F137" i="4"/>
  <c r="E137" i="4"/>
  <c r="D137" i="4"/>
  <c r="C137" i="4"/>
  <c r="B137" i="4"/>
  <c r="AQ136" i="4"/>
  <c r="AP136" i="4"/>
  <c r="AO136" i="4"/>
  <c r="AN136" i="4"/>
  <c r="AM136" i="4"/>
  <c r="AL136" i="4"/>
  <c r="AK136" i="4"/>
  <c r="AJ136" i="4"/>
  <c r="AI136" i="4"/>
  <c r="AH136" i="4"/>
  <c r="AG136" i="4"/>
  <c r="AF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M136" i="4"/>
  <c r="L136" i="4"/>
  <c r="K136" i="4"/>
  <c r="J136" i="4"/>
  <c r="I136" i="4"/>
  <c r="H136" i="4"/>
  <c r="AV136" i="4" s="1"/>
  <c r="G136" i="4"/>
  <c r="F136" i="4"/>
  <c r="E136" i="4"/>
  <c r="D136" i="4"/>
  <c r="C136" i="4"/>
  <c r="B136" i="4"/>
  <c r="G130" i="4"/>
  <c r="E129" i="4"/>
  <c r="D129" i="4"/>
  <c r="C129" i="4"/>
  <c r="G129" i="4" s="1"/>
  <c r="B129" i="4"/>
  <c r="E128" i="4"/>
  <c r="D128" i="4"/>
  <c r="C128" i="4"/>
  <c r="G128" i="4" s="1"/>
  <c r="B128" i="4"/>
  <c r="E127" i="4"/>
  <c r="D127" i="4"/>
  <c r="C127" i="4"/>
  <c r="G127" i="4" s="1"/>
  <c r="B127" i="4"/>
  <c r="E126" i="4"/>
  <c r="D126" i="4"/>
  <c r="C126" i="4"/>
  <c r="G126" i="4" s="1"/>
  <c r="B126" i="4"/>
  <c r="E125" i="4"/>
  <c r="D125" i="4"/>
  <c r="C125" i="4"/>
  <c r="G125" i="4" s="1"/>
  <c r="B125" i="4"/>
  <c r="E124" i="4"/>
  <c r="D124" i="4"/>
  <c r="C124" i="4"/>
  <c r="G124" i="4" s="1"/>
  <c r="B124" i="4"/>
  <c r="E123" i="4"/>
  <c r="D123" i="4"/>
  <c r="C123" i="4"/>
  <c r="G123" i="4" s="1"/>
  <c r="B123" i="4"/>
  <c r="E122" i="4"/>
  <c r="D122" i="4"/>
  <c r="C122" i="4"/>
  <c r="G122" i="4" s="1"/>
  <c r="B122" i="4"/>
  <c r="E121" i="4"/>
  <c r="D121" i="4"/>
  <c r="C121" i="4"/>
  <c r="G121" i="4" s="1"/>
  <c r="B121" i="4"/>
  <c r="E120" i="4"/>
  <c r="D120" i="4"/>
  <c r="C120" i="4"/>
  <c r="G120" i="4" s="1"/>
  <c r="B120" i="4"/>
  <c r="E119" i="4"/>
  <c r="D119" i="4"/>
  <c r="C119" i="4"/>
  <c r="G119" i="4" s="1"/>
  <c r="B119" i="4"/>
  <c r="E118" i="4"/>
  <c r="D118" i="4"/>
  <c r="C118" i="4"/>
  <c r="G118" i="4" s="1"/>
  <c r="B118" i="4"/>
  <c r="AQ140" i="5"/>
  <c r="AP140" i="5"/>
  <c r="AO140" i="5"/>
  <c r="AN140" i="5"/>
  <c r="AM140" i="5"/>
  <c r="AL140" i="5"/>
  <c r="AK140" i="5"/>
  <c r="AJ140" i="5"/>
  <c r="AI140" i="5"/>
  <c r="AH140" i="5"/>
  <c r="AG140" i="5"/>
  <c r="AF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M140" i="5"/>
  <c r="L140" i="5"/>
  <c r="K140" i="5"/>
  <c r="J140" i="5"/>
  <c r="I140" i="5"/>
  <c r="H140" i="5"/>
  <c r="G140" i="5"/>
  <c r="AU140" i="5" s="1"/>
  <c r="F140" i="5"/>
  <c r="E140" i="5"/>
  <c r="D140" i="5"/>
  <c r="C140" i="5"/>
  <c r="B140" i="5"/>
  <c r="AQ139" i="5"/>
  <c r="AP139" i="5"/>
  <c r="AO139" i="5"/>
  <c r="AN139" i="5"/>
  <c r="AM139" i="5"/>
  <c r="AL139" i="5"/>
  <c r="AK139" i="5"/>
  <c r="AJ139" i="5"/>
  <c r="AI139" i="5"/>
  <c r="AH139" i="5"/>
  <c r="AG139" i="5"/>
  <c r="AF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M139" i="5"/>
  <c r="L139" i="5"/>
  <c r="K139" i="5"/>
  <c r="J139" i="5"/>
  <c r="I139" i="5"/>
  <c r="H139" i="5"/>
  <c r="G139" i="5"/>
  <c r="AU139" i="5" s="1"/>
  <c r="F139" i="5"/>
  <c r="E139" i="5"/>
  <c r="D139" i="5"/>
  <c r="C139" i="5"/>
  <c r="B139" i="5"/>
  <c r="AQ137" i="5"/>
  <c r="AP137" i="5"/>
  <c r="AO137" i="5"/>
  <c r="AN137" i="5"/>
  <c r="AM137" i="5"/>
  <c r="AL137" i="5"/>
  <c r="AK137" i="5"/>
  <c r="AJ137" i="5"/>
  <c r="AI137" i="5"/>
  <c r="AH137" i="5"/>
  <c r="AG137" i="5"/>
  <c r="AF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M137" i="5"/>
  <c r="L137" i="5"/>
  <c r="K137" i="5"/>
  <c r="J137" i="5"/>
  <c r="I137" i="5"/>
  <c r="H137" i="5"/>
  <c r="AV137" i="5" s="1"/>
  <c r="G137" i="5"/>
  <c r="AU137" i="5" s="1"/>
  <c r="F137" i="5"/>
  <c r="E137" i="5"/>
  <c r="D137" i="5"/>
  <c r="C137" i="5"/>
  <c r="B137" i="5"/>
  <c r="AQ136" i="5"/>
  <c r="AP136" i="5"/>
  <c r="AO136" i="5"/>
  <c r="AN136" i="5"/>
  <c r="AM136" i="5"/>
  <c r="AL136" i="5"/>
  <c r="AK136" i="5"/>
  <c r="AJ136" i="5"/>
  <c r="AI136" i="5"/>
  <c r="AH136" i="5"/>
  <c r="AG136" i="5"/>
  <c r="AF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M136" i="5"/>
  <c r="L136" i="5"/>
  <c r="K136" i="5"/>
  <c r="J136" i="5"/>
  <c r="I136" i="5"/>
  <c r="H136" i="5"/>
  <c r="AV136" i="5" s="1"/>
  <c r="G136" i="5"/>
  <c r="F136" i="5"/>
  <c r="E136" i="5"/>
  <c r="D136" i="5"/>
  <c r="C136" i="5"/>
  <c r="B136" i="5"/>
  <c r="G130" i="5"/>
  <c r="E129" i="5"/>
  <c r="D129" i="5"/>
  <c r="C129" i="5"/>
  <c r="G129" i="5" s="1"/>
  <c r="B129" i="5"/>
  <c r="E128" i="5"/>
  <c r="D128" i="5"/>
  <c r="C128" i="5"/>
  <c r="G128" i="5" s="1"/>
  <c r="B128" i="5"/>
  <c r="E127" i="5"/>
  <c r="D127" i="5"/>
  <c r="C127" i="5"/>
  <c r="G127" i="5" s="1"/>
  <c r="B127" i="5"/>
  <c r="E126" i="5"/>
  <c r="D126" i="5"/>
  <c r="C126" i="5"/>
  <c r="B126" i="5"/>
  <c r="E125" i="5"/>
  <c r="D125" i="5"/>
  <c r="C125" i="5"/>
  <c r="G125" i="5" s="1"/>
  <c r="B125" i="5"/>
  <c r="E124" i="5"/>
  <c r="D124" i="5"/>
  <c r="C124" i="5"/>
  <c r="G124" i="5" s="1"/>
  <c r="B124" i="5"/>
  <c r="E123" i="5"/>
  <c r="D123" i="5"/>
  <c r="C123" i="5"/>
  <c r="G123" i="5" s="1"/>
  <c r="B123" i="5"/>
  <c r="E122" i="5"/>
  <c r="D122" i="5"/>
  <c r="C122" i="5"/>
  <c r="G122" i="5" s="1"/>
  <c r="B122" i="5"/>
  <c r="E121" i="5"/>
  <c r="D121" i="5"/>
  <c r="C121" i="5"/>
  <c r="G121" i="5" s="1"/>
  <c r="B121" i="5"/>
  <c r="E120" i="5"/>
  <c r="D120" i="5"/>
  <c r="C120" i="5"/>
  <c r="G120" i="5" s="1"/>
  <c r="B120" i="5"/>
  <c r="E119" i="5"/>
  <c r="D119" i="5"/>
  <c r="C119" i="5"/>
  <c r="G119" i="5" s="1"/>
  <c r="B119" i="5"/>
  <c r="E118" i="5"/>
  <c r="D118" i="5"/>
  <c r="C118" i="5"/>
  <c r="G118" i="5" s="1"/>
  <c r="B118" i="5"/>
  <c r="AQ112" i="16"/>
  <c r="AP112" i="16"/>
  <c r="Z62" i="43" s="1"/>
  <c r="AO112" i="16"/>
  <c r="Z61" i="43" s="1"/>
  <c r="AN112" i="16"/>
  <c r="Z60" i="43" s="1"/>
  <c r="AM112" i="16"/>
  <c r="Z59" i="43" s="1"/>
  <c r="AL112" i="16"/>
  <c r="Z58" i="43" s="1"/>
  <c r="AK112" i="16"/>
  <c r="Z57" i="43" s="1"/>
  <c r="AJ112" i="16"/>
  <c r="Z56" i="43" s="1"/>
  <c r="AI112" i="16"/>
  <c r="Z55" i="43" s="1"/>
  <c r="AH112" i="16"/>
  <c r="Z54" i="43" s="1"/>
  <c r="AG112" i="16"/>
  <c r="Z53" i="43" s="1"/>
  <c r="AF112" i="16"/>
  <c r="AB112" i="16"/>
  <c r="Q63" i="43" s="1"/>
  <c r="CB63" i="43" s="1"/>
  <c r="AA112" i="16"/>
  <c r="Q62" i="43" s="1"/>
  <c r="Z112" i="16"/>
  <c r="Q61" i="43" s="1"/>
  <c r="CB61" i="43" s="1"/>
  <c r="Y112" i="16"/>
  <c r="Q60" i="43" s="1"/>
  <c r="CB60" i="43" s="1"/>
  <c r="X112" i="16"/>
  <c r="Q59" i="43" s="1"/>
  <c r="CB59" i="43" s="1"/>
  <c r="W112" i="16"/>
  <c r="Q58" i="43" s="1"/>
  <c r="CB58" i="43" s="1"/>
  <c r="V112" i="16"/>
  <c r="Q57" i="43" s="1"/>
  <c r="CB57" i="43" s="1"/>
  <c r="U112" i="16"/>
  <c r="Q56" i="43" s="1"/>
  <c r="T112" i="16"/>
  <c r="Q55" i="43" s="1"/>
  <c r="CB55" i="43" s="1"/>
  <c r="S112" i="16"/>
  <c r="Q54" i="43" s="1"/>
  <c r="R112" i="16"/>
  <c r="Q53" i="43" s="1"/>
  <c r="CB53" i="43" s="1"/>
  <c r="Q112" i="16"/>
  <c r="M112" i="16"/>
  <c r="H63" i="43" s="1"/>
  <c r="L112" i="16"/>
  <c r="H62" i="43" s="1"/>
  <c r="K112" i="16"/>
  <c r="H61" i="43" s="1"/>
  <c r="J112" i="16"/>
  <c r="H60" i="43" s="1"/>
  <c r="I112" i="16"/>
  <c r="H59" i="43" s="1"/>
  <c r="H112" i="16"/>
  <c r="H58" i="43" s="1"/>
  <c r="G112" i="16"/>
  <c r="H57" i="43" s="1"/>
  <c r="F112" i="16"/>
  <c r="H56" i="43" s="1"/>
  <c r="E112" i="16"/>
  <c r="H55" i="43" s="1"/>
  <c r="D112" i="16"/>
  <c r="H54" i="43" s="1"/>
  <c r="C112" i="16"/>
  <c r="H53" i="43" s="1"/>
  <c r="B112" i="16"/>
  <c r="AR111" i="16"/>
  <c r="AE111" i="16"/>
  <c r="AC111" i="16"/>
  <c r="P111" i="16"/>
  <c r="N111" i="16"/>
  <c r="A111" i="16"/>
  <c r="AR110" i="16"/>
  <c r="AE110" i="16"/>
  <c r="AC110" i="16"/>
  <c r="P110" i="16"/>
  <c r="N110" i="16"/>
  <c r="A110" i="16"/>
  <c r="AR109" i="16"/>
  <c r="AE109" i="16"/>
  <c r="AC109" i="16"/>
  <c r="P109" i="16"/>
  <c r="N109" i="16"/>
  <c r="A109" i="16"/>
  <c r="AR108" i="16"/>
  <c r="AE108" i="16"/>
  <c r="AC108" i="16"/>
  <c r="P108" i="16"/>
  <c r="N108" i="16"/>
  <c r="A108" i="16"/>
  <c r="AR107" i="16"/>
  <c r="AE107" i="16"/>
  <c r="AC107" i="16"/>
  <c r="P107" i="16"/>
  <c r="N107" i="16"/>
  <c r="A107" i="16"/>
  <c r="AR106" i="16"/>
  <c r="AE106" i="16"/>
  <c r="AC106" i="16"/>
  <c r="P106" i="16"/>
  <c r="N106" i="16"/>
  <c r="A106" i="16"/>
  <c r="AR105" i="16"/>
  <c r="AE105" i="16"/>
  <c r="AC105" i="16"/>
  <c r="P105" i="16"/>
  <c r="N105" i="16"/>
  <c r="A105" i="16"/>
  <c r="AR104" i="16"/>
  <c r="AE104" i="16"/>
  <c r="AC104" i="16"/>
  <c r="P104" i="16"/>
  <c r="N104" i="16"/>
  <c r="A104" i="16"/>
  <c r="AR103" i="16"/>
  <c r="AE103" i="16"/>
  <c r="AC103" i="16"/>
  <c r="P103" i="16"/>
  <c r="N103" i="16"/>
  <c r="A103" i="16"/>
  <c r="AR102" i="16"/>
  <c r="AE102" i="16"/>
  <c r="AC102" i="16"/>
  <c r="P102" i="16"/>
  <c r="N102" i="16"/>
  <c r="A102" i="16"/>
  <c r="AR101" i="16"/>
  <c r="AE101" i="16"/>
  <c r="AC101" i="16"/>
  <c r="P101" i="16"/>
  <c r="N101" i="16"/>
  <c r="A101" i="16"/>
  <c r="AR100" i="16"/>
  <c r="AE100" i="16"/>
  <c r="AC100" i="16"/>
  <c r="P100" i="16"/>
  <c r="N100" i="16"/>
  <c r="A100" i="16"/>
  <c r="AQ96" i="16"/>
  <c r="Y63" i="43" s="1"/>
  <c r="AP96" i="16"/>
  <c r="Y62" i="43" s="1"/>
  <c r="AO96" i="16"/>
  <c r="Y61" i="43" s="1"/>
  <c r="AN96" i="16"/>
  <c r="Y60" i="43" s="1"/>
  <c r="AM96" i="16"/>
  <c r="Y59" i="43" s="1"/>
  <c r="AL96" i="16"/>
  <c r="Y58" i="43" s="1"/>
  <c r="AK96" i="16"/>
  <c r="Y57" i="43" s="1"/>
  <c r="AJ96" i="16"/>
  <c r="Y56" i="43" s="1"/>
  <c r="AI96" i="16"/>
  <c r="Y55" i="43" s="1"/>
  <c r="AH96" i="16"/>
  <c r="Y54" i="43" s="1"/>
  <c r="AG96" i="16"/>
  <c r="Y53" i="43" s="1"/>
  <c r="AF96" i="16"/>
  <c r="AB96" i="16"/>
  <c r="P63" i="43" s="1"/>
  <c r="CA63" i="43" s="1"/>
  <c r="AA96" i="16"/>
  <c r="P62" i="43" s="1"/>
  <c r="Z96" i="16"/>
  <c r="P61" i="43" s="1"/>
  <c r="CA61" i="43" s="1"/>
  <c r="Y96" i="16"/>
  <c r="P60" i="43" s="1"/>
  <c r="CA60" i="43" s="1"/>
  <c r="X96" i="16"/>
  <c r="P59" i="43" s="1"/>
  <c r="CA59" i="43" s="1"/>
  <c r="W96" i="16"/>
  <c r="P58" i="43" s="1"/>
  <c r="CA58" i="43" s="1"/>
  <c r="V96" i="16"/>
  <c r="P57" i="43" s="1"/>
  <c r="CA57" i="43" s="1"/>
  <c r="U96" i="16"/>
  <c r="P56" i="43" s="1"/>
  <c r="CA56" i="43" s="1"/>
  <c r="T96" i="16"/>
  <c r="P55" i="43" s="1"/>
  <c r="CA55" i="43" s="1"/>
  <c r="S96" i="16"/>
  <c r="P54" i="43" s="1"/>
  <c r="CA54" i="43" s="1"/>
  <c r="R96" i="16"/>
  <c r="P53" i="43" s="1"/>
  <c r="CA53" i="43" s="1"/>
  <c r="Q96" i="16"/>
  <c r="M96" i="16"/>
  <c r="G63" i="43" s="1"/>
  <c r="L96" i="16"/>
  <c r="G62" i="43" s="1"/>
  <c r="K96" i="16"/>
  <c r="G61" i="43" s="1"/>
  <c r="J96" i="16"/>
  <c r="G60" i="43" s="1"/>
  <c r="I96" i="16"/>
  <c r="G59" i="43" s="1"/>
  <c r="H96" i="16"/>
  <c r="G58" i="43" s="1"/>
  <c r="G96" i="16"/>
  <c r="G57" i="43" s="1"/>
  <c r="F96" i="16"/>
  <c r="G56" i="43" s="1"/>
  <c r="E96" i="16"/>
  <c r="G55" i="43" s="1"/>
  <c r="D96" i="16"/>
  <c r="G54" i="43" s="1"/>
  <c r="C96" i="16"/>
  <c r="G53" i="43" s="1"/>
  <c r="B96" i="16"/>
  <c r="AR95" i="16"/>
  <c r="AE95" i="16"/>
  <c r="AC95" i="16"/>
  <c r="P95" i="16"/>
  <c r="N95" i="16"/>
  <c r="A95" i="16"/>
  <c r="AR94" i="16"/>
  <c r="AE94" i="16"/>
  <c r="AC94" i="16"/>
  <c r="P94" i="16"/>
  <c r="N94" i="16"/>
  <c r="A94" i="16"/>
  <c r="AR93" i="16"/>
  <c r="AE93" i="16"/>
  <c r="AC93" i="16"/>
  <c r="P93" i="16"/>
  <c r="N93" i="16"/>
  <c r="A93" i="16"/>
  <c r="AR92" i="16"/>
  <c r="AE92" i="16"/>
  <c r="AC92" i="16"/>
  <c r="P92" i="16"/>
  <c r="N92" i="16"/>
  <c r="A92" i="16"/>
  <c r="AR91" i="16"/>
  <c r="AE91" i="16"/>
  <c r="AC91" i="16"/>
  <c r="P91" i="16"/>
  <c r="N91" i="16"/>
  <c r="A91" i="16"/>
  <c r="AR90" i="16"/>
  <c r="AE90" i="16"/>
  <c r="AC90" i="16"/>
  <c r="P90" i="16"/>
  <c r="N90" i="16"/>
  <c r="A90" i="16"/>
  <c r="AR89" i="16"/>
  <c r="AE89" i="16"/>
  <c r="AC89" i="16"/>
  <c r="P89" i="16"/>
  <c r="N89" i="16"/>
  <c r="A89" i="16"/>
  <c r="AR88" i="16"/>
  <c r="AE88" i="16"/>
  <c r="AC88" i="16"/>
  <c r="P88" i="16"/>
  <c r="N88" i="16"/>
  <c r="A88" i="16"/>
  <c r="AR87" i="16"/>
  <c r="AE87" i="16"/>
  <c r="AC87" i="16"/>
  <c r="P87" i="16"/>
  <c r="N87" i="16"/>
  <c r="A87" i="16"/>
  <c r="AR86" i="16"/>
  <c r="AE86" i="16"/>
  <c r="AC86" i="16"/>
  <c r="P86" i="16"/>
  <c r="N86" i="16"/>
  <c r="A86" i="16"/>
  <c r="AR85" i="16"/>
  <c r="AE85" i="16"/>
  <c r="AC85" i="16"/>
  <c r="P85" i="16"/>
  <c r="N85" i="16"/>
  <c r="A85" i="16"/>
  <c r="AR84" i="16"/>
  <c r="AE84" i="16"/>
  <c r="AC84" i="16"/>
  <c r="P84" i="16"/>
  <c r="N84" i="16"/>
  <c r="A84" i="16"/>
  <c r="AQ80" i="16"/>
  <c r="X63" i="43" s="1"/>
  <c r="AP80" i="16"/>
  <c r="X62" i="43" s="1"/>
  <c r="AO80" i="16"/>
  <c r="X61" i="43" s="1"/>
  <c r="AN80" i="16"/>
  <c r="X60" i="43" s="1"/>
  <c r="AM80" i="16"/>
  <c r="X59" i="43" s="1"/>
  <c r="AL80" i="16"/>
  <c r="X58" i="43" s="1"/>
  <c r="AK80" i="16"/>
  <c r="X57" i="43" s="1"/>
  <c r="AJ80" i="16"/>
  <c r="X56" i="43" s="1"/>
  <c r="AI80" i="16"/>
  <c r="X55" i="43" s="1"/>
  <c r="AH80" i="16"/>
  <c r="X54" i="43" s="1"/>
  <c r="AG80" i="16"/>
  <c r="X53" i="43" s="1"/>
  <c r="AF80" i="16"/>
  <c r="AB80" i="16"/>
  <c r="O63" i="43" s="1"/>
  <c r="CO63" i="43" s="1"/>
  <c r="AA80" i="16"/>
  <c r="O62" i="43" s="1"/>
  <c r="Z80" i="16"/>
  <c r="O61" i="43" s="1"/>
  <c r="Y80" i="16"/>
  <c r="O60" i="43" s="1"/>
  <c r="X80" i="16"/>
  <c r="O59" i="43" s="1"/>
  <c r="W80" i="16"/>
  <c r="O58" i="43" s="1"/>
  <c r="V80" i="16"/>
  <c r="O57" i="43" s="1"/>
  <c r="U80" i="16"/>
  <c r="O56" i="43" s="1"/>
  <c r="T80" i="16"/>
  <c r="O55" i="43" s="1"/>
  <c r="S80" i="16"/>
  <c r="O54" i="43" s="1"/>
  <c r="R80" i="16"/>
  <c r="O53" i="43" s="1"/>
  <c r="Q80" i="16"/>
  <c r="M80" i="16"/>
  <c r="F63" i="43" s="1"/>
  <c r="CI63" i="43" s="1"/>
  <c r="K63" i="75" s="1"/>
  <c r="K64" i="75" s="1"/>
  <c r="L80" i="16"/>
  <c r="F62" i="43" s="1"/>
  <c r="CI62" i="43" s="1"/>
  <c r="K57" i="75" s="1"/>
  <c r="K58" i="75" s="1"/>
  <c r="K80" i="16"/>
  <c r="F61" i="43" s="1"/>
  <c r="CI61" i="43" s="1"/>
  <c r="J80" i="16"/>
  <c r="F60" i="43" s="1"/>
  <c r="CI60" i="43" s="1"/>
  <c r="I80" i="16"/>
  <c r="F59" i="43" s="1"/>
  <c r="CI59" i="43" s="1"/>
  <c r="H80" i="16"/>
  <c r="F58" i="43" s="1"/>
  <c r="CI58" i="43" s="1"/>
  <c r="G80" i="16"/>
  <c r="F57" i="43" s="1"/>
  <c r="CI57" i="43" s="1"/>
  <c r="F80" i="16"/>
  <c r="F56" i="43" s="1"/>
  <c r="CI56" i="43" s="1"/>
  <c r="E80" i="16"/>
  <c r="F55" i="43" s="1"/>
  <c r="CI55" i="43" s="1"/>
  <c r="D80" i="16"/>
  <c r="F54" i="43" s="1"/>
  <c r="CI54" i="43" s="1"/>
  <c r="K9" i="75" s="1"/>
  <c r="K10" i="75" s="1"/>
  <c r="C80" i="16"/>
  <c r="F53" i="43" s="1"/>
  <c r="CI53" i="43" s="1"/>
  <c r="B80" i="16"/>
  <c r="AR79" i="16"/>
  <c r="AC79" i="16"/>
  <c r="N79" i="16"/>
  <c r="AR78" i="16"/>
  <c r="AC78" i="16"/>
  <c r="N78" i="16"/>
  <c r="AR77" i="16"/>
  <c r="AC77" i="16"/>
  <c r="N77" i="16"/>
  <c r="AR76" i="16"/>
  <c r="AC76" i="16"/>
  <c r="N76" i="16"/>
  <c r="AR75" i="16"/>
  <c r="AC75" i="16"/>
  <c r="N75" i="16"/>
  <c r="AR74" i="16"/>
  <c r="AC74" i="16"/>
  <c r="N74" i="16"/>
  <c r="AR73" i="16"/>
  <c r="AC73" i="16"/>
  <c r="N73" i="16"/>
  <c r="AR72" i="16"/>
  <c r="AC72" i="16"/>
  <c r="N72" i="16"/>
  <c r="AR71" i="16"/>
  <c r="AC71" i="16"/>
  <c r="N71" i="16"/>
  <c r="AR70" i="16"/>
  <c r="AC70" i="16"/>
  <c r="N70" i="16"/>
  <c r="AR69" i="16"/>
  <c r="AC69" i="16"/>
  <c r="N69" i="16"/>
  <c r="AR68" i="16"/>
  <c r="AC68" i="16"/>
  <c r="N68" i="16"/>
  <c r="AQ64" i="16"/>
  <c r="W63" i="43" s="1"/>
  <c r="AP64" i="16"/>
  <c r="W62" i="43" s="1"/>
  <c r="AO64" i="16"/>
  <c r="W61" i="43" s="1"/>
  <c r="AN64" i="16"/>
  <c r="W60" i="43" s="1"/>
  <c r="AM64" i="16"/>
  <c r="W59" i="43" s="1"/>
  <c r="AL64" i="16"/>
  <c r="W58" i="43" s="1"/>
  <c r="AK64" i="16"/>
  <c r="W57" i="43" s="1"/>
  <c r="AJ64" i="16"/>
  <c r="W56" i="43" s="1"/>
  <c r="AI64" i="16"/>
  <c r="W55" i="43" s="1"/>
  <c r="AH64" i="16"/>
  <c r="W54" i="43" s="1"/>
  <c r="AG64" i="16"/>
  <c r="W53" i="43" s="1"/>
  <c r="AF64" i="16"/>
  <c r="W52" i="43" s="1"/>
  <c r="AB64" i="16"/>
  <c r="N63" i="43" s="1"/>
  <c r="AA64" i="16"/>
  <c r="N62" i="43" s="1"/>
  <c r="Z64" i="16"/>
  <c r="N61" i="43" s="1"/>
  <c r="Y64" i="16"/>
  <c r="N60" i="43" s="1"/>
  <c r="X64" i="16"/>
  <c r="N59" i="43" s="1"/>
  <c r="CN59" i="43" s="1"/>
  <c r="W64" i="16"/>
  <c r="N58" i="43" s="1"/>
  <c r="CN58" i="43" s="1"/>
  <c r="V64" i="16"/>
  <c r="N57" i="43" s="1"/>
  <c r="CN57" i="43" s="1"/>
  <c r="U64" i="16"/>
  <c r="N56" i="43" s="1"/>
  <c r="T64" i="16"/>
  <c r="N55" i="43" s="1"/>
  <c r="S64" i="16"/>
  <c r="N54" i="43" s="1"/>
  <c r="R64" i="16"/>
  <c r="N53" i="43" s="1"/>
  <c r="Q64" i="16"/>
  <c r="N52" i="43" s="1"/>
  <c r="M64" i="16"/>
  <c r="E63" i="43" s="1"/>
  <c r="CH63" i="43" s="1"/>
  <c r="L64" i="16"/>
  <c r="E62" i="43" s="1"/>
  <c r="CH62" i="43" s="1"/>
  <c r="K64" i="16"/>
  <c r="E61" i="43" s="1"/>
  <c r="CH61" i="43" s="1"/>
  <c r="J64" i="16"/>
  <c r="E60" i="43" s="1"/>
  <c r="CH60" i="43" s="1"/>
  <c r="I64" i="16"/>
  <c r="E59" i="43" s="1"/>
  <c r="CH59" i="43" s="1"/>
  <c r="H64" i="16"/>
  <c r="E58" i="43" s="1"/>
  <c r="CH58" i="43" s="1"/>
  <c r="K32" i="75" s="1"/>
  <c r="G64" i="16"/>
  <c r="E57" i="43" s="1"/>
  <c r="CH57" i="43" s="1"/>
  <c r="K26" i="75" s="1"/>
  <c r="F64" i="16"/>
  <c r="E56" i="43" s="1"/>
  <c r="CH56" i="43" s="1"/>
  <c r="E64" i="16"/>
  <c r="E55" i="43" s="1"/>
  <c r="CH55" i="43" s="1"/>
  <c r="D64" i="16"/>
  <c r="E54" i="43" s="1"/>
  <c r="CH54" i="43" s="1"/>
  <c r="C64" i="16"/>
  <c r="E53" i="43" s="1"/>
  <c r="CH53" i="43" s="1"/>
  <c r="B64" i="16"/>
  <c r="E52" i="43" s="1"/>
  <c r="CH52" i="43" s="1"/>
  <c r="AR63" i="16"/>
  <c r="AE63" i="16"/>
  <c r="AC63" i="16"/>
  <c r="P63" i="16"/>
  <c r="N63" i="16"/>
  <c r="A63" i="16"/>
  <c r="AR62" i="16"/>
  <c r="AE62" i="16"/>
  <c r="AC62" i="16"/>
  <c r="P62" i="16"/>
  <c r="N62" i="16"/>
  <c r="A62" i="16"/>
  <c r="AR61" i="16"/>
  <c r="AE61" i="16"/>
  <c r="AC61" i="16"/>
  <c r="P61" i="16"/>
  <c r="N61" i="16"/>
  <c r="A61" i="16"/>
  <c r="AR60" i="16"/>
  <c r="AE60" i="16"/>
  <c r="AC60" i="16"/>
  <c r="P60" i="16"/>
  <c r="N60" i="16"/>
  <c r="A60" i="16"/>
  <c r="AR59" i="16"/>
  <c r="AE59" i="16"/>
  <c r="AC59" i="16"/>
  <c r="P59" i="16"/>
  <c r="N59" i="16"/>
  <c r="A59" i="16"/>
  <c r="AR58" i="16"/>
  <c r="AE58" i="16"/>
  <c r="AC58" i="16"/>
  <c r="P58" i="16"/>
  <c r="N58" i="16"/>
  <c r="A58" i="16"/>
  <c r="AR57" i="16"/>
  <c r="AE57" i="16"/>
  <c r="AC57" i="16"/>
  <c r="P57" i="16"/>
  <c r="N57" i="16"/>
  <c r="A57" i="16"/>
  <c r="AR56" i="16"/>
  <c r="AE56" i="16"/>
  <c r="AC56" i="16"/>
  <c r="P56" i="16"/>
  <c r="N56" i="16"/>
  <c r="A56" i="16"/>
  <c r="AR55" i="16"/>
  <c r="AE55" i="16"/>
  <c r="AC55" i="16"/>
  <c r="P55" i="16"/>
  <c r="N55" i="16"/>
  <c r="A55" i="16"/>
  <c r="AR54" i="16"/>
  <c r="AE54" i="16"/>
  <c r="AC54" i="16"/>
  <c r="P54" i="16"/>
  <c r="N54" i="16"/>
  <c r="A54" i="16"/>
  <c r="AR53" i="16"/>
  <c r="AE53" i="16"/>
  <c r="AC53" i="16"/>
  <c r="P53" i="16"/>
  <c r="N53" i="16"/>
  <c r="A53" i="16"/>
  <c r="AR52" i="16"/>
  <c r="AE52" i="16"/>
  <c r="AC52" i="16"/>
  <c r="P52" i="16"/>
  <c r="N52" i="16"/>
  <c r="A52" i="16"/>
  <c r="AQ48" i="16"/>
  <c r="V63" i="43" s="1"/>
  <c r="AP48" i="16"/>
  <c r="V62" i="43" s="1"/>
  <c r="AO48" i="16"/>
  <c r="AN48" i="16"/>
  <c r="V60" i="43" s="1"/>
  <c r="AM48" i="16"/>
  <c r="V59" i="43" s="1"/>
  <c r="AL48" i="16"/>
  <c r="V58" i="43" s="1"/>
  <c r="AK48" i="16"/>
  <c r="AJ48" i="16"/>
  <c r="V56" i="43" s="1"/>
  <c r="AI48" i="16"/>
  <c r="V55" i="43" s="1"/>
  <c r="AH48" i="16"/>
  <c r="V54" i="43" s="1"/>
  <c r="AG48" i="16"/>
  <c r="AF48" i="16"/>
  <c r="V52" i="43" s="1"/>
  <c r="AB48" i="16"/>
  <c r="M63" i="43" s="1"/>
  <c r="CL63" i="43" s="1"/>
  <c r="AA48" i="16"/>
  <c r="Z48" i="16"/>
  <c r="M61" i="43" s="1"/>
  <c r="Y48" i="16"/>
  <c r="M60" i="43" s="1"/>
  <c r="X48" i="16"/>
  <c r="M59" i="43" s="1"/>
  <c r="W48" i="16"/>
  <c r="V48" i="16"/>
  <c r="M57" i="43" s="1"/>
  <c r="CL57" i="43" s="1"/>
  <c r="U48" i="16"/>
  <c r="M56" i="43" s="1"/>
  <c r="CL56" i="43" s="1"/>
  <c r="T48" i="16"/>
  <c r="M55" i="43" s="1"/>
  <c r="S48" i="16"/>
  <c r="R48" i="16"/>
  <c r="M53" i="43" s="1"/>
  <c r="Q48" i="16"/>
  <c r="M48" i="16"/>
  <c r="L48" i="16"/>
  <c r="D62" i="43" s="1"/>
  <c r="CF62" i="43" s="1"/>
  <c r="K48" i="16"/>
  <c r="D61" i="43" s="1"/>
  <c r="CF61" i="43" s="1"/>
  <c r="K48" i="75" s="1"/>
  <c r="J48" i="16"/>
  <c r="D60" i="43" s="1"/>
  <c r="CF60" i="43" s="1"/>
  <c r="I48" i="16"/>
  <c r="H48" i="16"/>
  <c r="D58" i="43" s="1"/>
  <c r="CF58" i="43" s="1"/>
  <c r="G48" i="16"/>
  <c r="D57" i="43" s="1"/>
  <c r="CF57" i="43" s="1"/>
  <c r="K24" i="75" s="1"/>
  <c r="F48" i="16"/>
  <c r="D56" i="43" s="1"/>
  <c r="CF56" i="43" s="1"/>
  <c r="E48" i="16"/>
  <c r="D48" i="16"/>
  <c r="D54" i="43" s="1"/>
  <c r="CF54" i="43" s="1"/>
  <c r="C48" i="16"/>
  <c r="D53" i="43" s="1"/>
  <c r="CF53" i="43" s="1"/>
  <c r="B48" i="16"/>
  <c r="D52" i="43" s="1"/>
  <c r="CF52" i="43" s="1"/>
  <c r="AR47" i="16"/>
  <c r="AE47" i="16"/>
  <c r="AC47" i="16"/>
  <c r="P47" i="16"/>
  <c r="N47" i="16"/>
  <c r="A47" i="16"/>
  <c r="AR46" i="16"/>
  <c r="AE46" i="16"/>
  <c r="AC46" i="16"/>
  <c r="P46" i="16"/>
  <c r="N46" i="16"/>
  <c r="A46" i="16"/>
  <c r="AR45" i="16"/>
  <c r="AE45" i="16"/>
  <c r="AC45" i="16"/>
  <c r="P45" i="16"/>
  <c r="N45" i="16"/>
  <c r="A45" i="16"/>
  <c r="AR44" i="16"/>
  <c r="AE44" i="16"/>
  <c r="AC44" i="16"/>
  <c r="P44" i="16"/>
  <c r="N44" i="16"/>
  <c r="A44" i="16"/>
  <c r="AR43" i="16"/>
  <c r="AE43" i="16"/>
  <c r="AC43" i="16"/>
  <c r="P43" i="16"/>
  <c r="N43" i="16"/>
  <c r="A43" i="16"/>
  <c r="AR42" i="16"/>
  <c r="AE42" i="16"/>
  <c r="AC42" i="16"/>
  <c r="P42" i="16"/>
  <c r="N42" i="16"/>
  <c r="A42" i="16"/>
  <c r="AR41" i="16"/>
  <c r="AE41" i="16"/>
  <c r="AC41" i="16"/>
  <c r="P41" i="16"/>
  <c r="N41" i="16"/>
  <c r="A41" i="16"/>
  <c r="AR40" i="16"/>
  <c r="AE40" i="16"/>
  <c r="AC40" i="16"/>
  <c r="P40" i="16"/>
  <c r="N40" i="16"/>
  <c r="A40" i="16"/>
  <c r="AR39" i="16"/>
  <c r="AE39" i="16"/>
  <c r="AC39" i="16"/>
  <c r="P39" i="16"/>
  <c r="N39" i="16"/>
  <c r="A39" i="16"/>
  <c r="AR38" i="16"/>
  <c r="AE38" i="16"/>
  <c r="AC38" i="16"/>
  <c r="P38" i="16"/>
  <c r="N38" i="16"/>
  <c r="A38" i="16"/>
  <c r="AR37" i="16"/>
  <c r="AE37" i="16"/>
  <c r="AC37" i="16"/>
  <c r="P37" i="16"/>
  <c r="N37" i="16"/>
  <c r="A37" i="16"/>
  <c r="AR36" i="16"/>
  <c r="AE36" i="16"/>
  <c r="AC36" i="16"/>
  <c r="P36" i="16"/>
  <c r="N36" i="16"/>
  <c r="A36" i="16"/>
  <c r="AQ32" i="16"/>
  <c r="AP32" i="16"/>
  <c r="AO32" i="16"/>
  <c r="U61" i="43" s="1"/>
  <c r="AN32" i="16"/>
  <c r="AM32" i="16"/>
  <c r="AL32" i="16"/>
  <c r="U58" i="43" s="1"/>
  <c r="AK32" i="16"/>
  <c r="U57" i="43" s="1"/>
  <c r="AJ32" i="16"/>
  <c r="AI32" i="16"/>
  <c r="AH32" i="16"/>
  <c r="AG32" i="16"/>
  <c r="U53" i="43" s="1"/>
  <c r="AF32" i="16"/>
  <c r="AB32" i="16"/>
  <c r="AA32" i="16"/>
  <c r="L62" i="43" s="1"/>
  <c r="CM62" i="43" s="1"/>
  <c r="Z32" i="16"/>
  <c r="Y32" i="16"/>
  <c r="X32" i="16"/>
  <c r="W32" i="16"/>
  <c r="L58" i="43" s="1"/>
  <c r="CM58" i="43" s="1"/>
  <c r="V32" i="16"/>
  <c r="U32" i="16"/>
  <c r="T32" i="16"/>
  <c r="S32" i="16"/>
  <c r="L54" i="43" s="1"/>
  <c r="R32" i="16"/>
  <c r="Q32" i="16"/>
  <c r="M32" i="16"/>
  <c r="C63" i="43" s="1"/>
  <c r="CG63" i="43" s="1"/>
  <c r="L32" i="16"/>
  <c r="K32" i="16"/>
  <c r="J32" i="16"/>
  <c r="I32" i="16"/>
  <c r="C59" i="43" s="1"/>
  <c r="CG59" i="43" s="1"/>
  <c r="K37" i="75" s="1"/>
  <c r="K40" i="75" s="1"/>
  <c r="H32" i="16"/>
  <c r="G32" i="16"/>
  <c r="F32" i="16"/>
  <c r="C56" i="43" s="1"/>
  <c r="CG56" i="43" s="1"/>
  <c r="K19" i="75" s="1"/>
  <c r="K22" i="75" s="1"/>
  <c r="E32" i="16"/>
  <c r="C55" i="43" s="1"/>
  <c r="CG55" i="43" s="1"/>
  <c r="K13" i="75" s="1"/>
  <c r="K16" i="75" s="1"/>
  <c r="L16" i="75" s="1"/>
  <c r="D32" i="16"/>
  <c r="C32" i="16"/>
  <c r="B32" i="16"/>
  <c r="C52" i="43" s="1"/>
  <c r="CG52" i="43" s="1"/>
  <c r="AR31" i="16"/>
  <c r="AE31" i="16"/>
  <c r="AE79" i="16" s="1"/>
  <c r="AC31" i="16"/>
  <c r="P31" i="16"/>
  <c r="P79" i="16" s="1"/>
  <c r="N31" i="16"/>
  <c r="A31" i="16"/>
  <c r="A79" i="16" s="1"/>
  <c r="AR30" i="16"/>
  <c r="AE30" i="16"/>
  <c r="AE78" i="16" s="1"/>
  <c r="AC30" i="16"/>
  <c r="P30" i="16"/>
  <c r="P78" i="16" s="1"/>
  <c r="N30" i="16"/>
  <c r="A30" i="16"/>
  <c r="A78" i="16" s="1"/>
  <c r="AR29" i="16"/>
  <c r="AE29" i="16"/>
  <c r="AE77" i="16" s="1"/>
  <c r="AC29" i="16"/>
  <c r="P29" i="16"/>
  <c r="P77" i="16" s="1"/>
  <c r="N29" i="16"/>
  <c r="A29" i="16"/>
  <c r="A77" i="16" s="1"/>
  <c r="AR28" i="16"/>
  <c r="AE28" i="16"/>
  <c r="AE76" i="16" s="1"/>
  <c r="AC28" i="16"/>
  <c r="P28" i="16"/>
  <c r="P76" i="16" s="1"/>
  <c r="N28" i="16"/>
  <c r="N12" i="16" s="1"/>
  <c r="A28" i="16"/>
  <c r="A76" i="16" s="1"/>
  <c r="AR27" i="16"/>
  <c r="AE27" i="16"/>
  <c r="AE75" i="16" s="1"/>
  <c r="AC27" i="16"/>
  <c r="P27" i="16"/>
  <c r="P75" i="16" s="1"/>
  <c r="N27" i="16"/>
  <c r="A27" i="16"/>
  <c r="A75" i="16" s="1"/>
  <c r="AR26" i="16"/>
  <c r="AE26" i="16"/>
  <c r="AE74" i="16" s="1"/>
  <c r="AC26" i="16"/>
  <c r="P26" i="16"/>
  <c r="P74" i="16" s="1"/>
  <c r="N26" i="16"/>
  <c r="A26" i="16"/>
  <c r="A74" i="16" s="1"/>
  <c r="AR25" i="16"/>
  <c r="AE25" i="16"/>
  <c r="AE73" i="16" s="1"/>
  <c r="AC25" i="16"/>
  <c r="P25" i="16"/>
  <c r="P73" i="16" s="1"/>
  <c r="N25" i="16"/>
  <c r="A25" i="16"/>
  <c r="A73" i="16" s="1"/>
  <c r="AR24" i="16"/>
  <c r="AE24" i="16"/>
  <c r="AE72" i="16" s="1"/>
  <c r="AC24" i="16"/>
  <c r="P24" i="16"/>
  <c r="P72" i="16" s="1"/>
  <c r="N24" i="16"/>
  <c r="A24" i="16"/>
  <c r="A72" i="16" s="1"/>
  <c r="AR23" i="16"/>
  <c r="AE23" i="16"/>
  <c r="AE71" i="16" s="1"/>
  <c r="AC23" i="16"/>
  <c r="P23" i="16"/>
  <c r="P71" i="16" s="1"/>
  <c r="N23" i="16"/>
  <c r="A23" i="16"/>
  <c r="A71" i="16" s="1"/>
  <c r="AR22" i="16"/>
  <c r="AR6" i="16" s="1"/>
  <c r="AE22" i="16"/>
  <c r="AE70" i="16" s="1"/>
  <c r="AC22" i="16"/>
  <c r="P22" i="16"/>
  <c r="P70" i="16" s="1"/>
  <c r="N22" i="16"/>
  <c r="A22" i="16"/>
  <c r="A70" i="16" s="1"/>
  <c r="AR21" i="16"/>
  <c r="AE21" i="16"/>
  <c r="AE69" i="16" s="1"/>
  <c r="AC21" i="16"/>
  <c r="P21" i="16"/>
  <c r="P69" i="16" s="1"/>
  <c r="N21" i="16"/>
  <c r="A21" i="16"/>
  <c r="A69" i="16" s="1"/>
  <c r="AR20" i="16"/>
  <c r="AE20" i="16"/>
  <c r="AE68" i="16" s="1"/>
  <c r="AC20" i="16"/>
  <c r="P20" i="16"/>
  <c r="P68" i="16" s="1"/>
  <c r="N20" i="16"/>
  <c r="A20" i="16"/>
  <c r="A68" i="16" s="1"/>
  <c r="AQ15" i="16"/>
  <c r="AP15" i="16"/>
  <c r="AO15" i="16"/>
  <c r="AN15" i="16"/>
  <c r="AM15" i="16"/>
  <c r="AL15" i="16"/>
  <c r="AK15" i="16"/>
  <c r="AJ15" i="16"/>
  <c r="AI15" i="16"/>
  <c r="AH15" i="16"/>
  <c r="AG15" i="16"/>
  <c r="AF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AQ14" i="16"/>
  <c r="AP14" i="16"/>
  <c r="AO14" i="16"/>
  <c r="AN14" i="16"/>
  <c r="AM14" i="16"/>
  <c r="AL14" i="16"/>
  <c r="AK14" i="16"/>
  <c r="AJ14" i="16"/>
  <c r="AI14" i="16"/>
  <c r="AH14" i="16"/>
  <c r="AG14" i="16"/>
  <c r="AF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AQ13" i="16"/>
  <c r="AP13" i="16"/>
  <c r="AO13" i="16"/>
  <c r="AN13" i="16"/>
  <c r="AM13" i="16"/>
  <c r="AL13" i="16"/>
  <c r="AK13" i="16"/>
  <c r="AJ13" i="16"/>
  <c r="AI13" i="16"/>
  <c r="AH13" i="16"/>
  <c r="AG13" i="16"/>
  <c r="AF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AQ12" i="16"/>
  <c r="AP12" i="16"/>
  <c r="AO12" i="16"/>
  <c r="AN12" i="16"/>
  <c r="AM12" i="16"/>
  <c r="AL12" i="16"/>
  <c r="AK12" i="16"/>
  <c r="AJ12" i="16"/>
  <c r="AI12" i="16"/>
  <c r="AH12" i="16"/>
  <c r="AG12" i="16"/>
  <c r="AF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AQ11" i="16"/>
  <c r="AP11" i="16"/>
  <c r="AO11" i="16"/>
  <c r="AN11" i="16"/>
  <c r="AM11" i="16"/>
  <c r="AL11" i="16"/>
  <c r="AK11" i="16"/>
  <c r="AJ11" i="16"/>
  <c r="AI11" i="16"/>
  <c r="AH11" i="16"/>
  <c r="AG11" i="16"/>
  <c r="AF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AQ10" i="16"/>
  <c r="AP10" i="16"/>
  <c r="AO10" i="16"/>
  <c r="AN10" i="16"/>
  <c r="AM10" i="16"/>
  <c r="AL10" i="16"/>
  <c r="AK10" i="16"/>
  <c r="AJ10" i="16"/>
  <c r="AI10" i="16"/>
  <c r="AH10" i="16"/>
  <c r="AG10" i="16"/>
  <c r="AF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AQ9" i="16"/>
  <c r="AP9" i="16"/>
  <c r="AO9" i="16"/>
  <c r="AN9" i="16"/>
  <c r="AM9" i="16"/>
  <c r="AL9" i="16"/>
  <c r="AK9" i="16"/>
  <c r="AJ9" i="16"/>
  <c r="AI9" i="16"/>
  <c r="AH9" i="16"/>
  <c r="AG9" i="16"/>
  <c r="AF9" i="16"/>
  <c r="AB9" i="16"/>
  <c r="AA9" i="16"/>
  <c r="Z9" i="16"/>
  <c r="Y9" i="16"/>
  <c r="X9" i="16"/>
  <c r="W9" i="16"/>
  <c r="V9" i="16"/>
  <c r="U9" i="16"/>
  <c r="T9" i="16"/>
  <c r="S9" i="16"/>
  <c r="R9" i="16"/>
  <c r="Q9" i="16"/>
  <c r="M9" i="16"/>
  <c r="L9" i="16"/>
  <c r="K9" i="16"/>
  <c r="J9" i="16"/>
  <c r="I9" i="16"/>
  <c r="H9" i="16"/>
  <c r="G9" i="16"/>
  <c r="F9" i="16"/>
  <c r="E9" i="16"/>
  <c r="D9" i="16"/>
  <c r="C9" i="16"/>
  <c r="B9" i="16"/>
  <c r="AQ8" i="16"/>
  <c r="AP8" i="16"/>
  <c r="AO8" i="16"/>
  <c r="AN8" i="16"/>
  <c r="AM8" i="16"/>
  <c r="AL8" i="16"/>
  <c r="AK8" i="16"/>
  <c r="AJ8" i="16"/>
  <c r="AI8" i="16"/>
  <c r="AH8" i="16"/>
  <c r="AG8" i="16"/>
  <c r="AF8" i="16"/>
  <c r="AB8" i="16"/>
  <c r="AA8" i="16"/>
  <c r="Z8" i="16"/>
  <c r="Y8" i="16"/>
  <c r="X8" i="16"/>
  <c r="W8" i="16"/>
  <c r="V8" i="16"/>
  <c r="U8" i="16"/>
  <c r="T8" i="16"/>
  <c r="S8" i="16"/>
  <c r="R8" i="16"/>
  <c r="Q8" i="16"/>
  <c r="M8" i="16"/>
  <c r="L8" i="16"/>
  <c r="K8" i="16"/>
  <c r="J8" i="16"/>
  <c r="I8" i="16"/>
  <c r="H8" i="16"/>
  <c r="G8" i="16"/>
  <c r="F8" i="16"/>
  <c r="E8" i="16"/>
  <c r="D8" i="16"/>
  <c r="C8" i="16"/>
  <c r="B8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B7" i="16"/>
  <c r="AA7" i="16"/>
  <c r="Z7" i="16"/>
  <c r="Y7" i="16"/>
  <c r="X7" i="16"/>
  <c r="W7" i="16"/>
  <c r="V7" i="16"/>
  <c r="U7" i="16"/>
  <c r="T7" i="16"/>
  <c r="S7" i="16"/>
  <c r="R7" i="16"/>
  <c r="Q7" i="16"/>
  <c r="M7" i="16"/>
  <c r="L7" i="16"/>
  <c r="K7" i="16"/>
  <c r="J7" i="16"/>
  <c r="I7" i="16"/>
  <c r="H7" i="16"/>
  <c r="G7" i="16"/>
  <c r="F7" i="16"/>
  <c r="E7" i="16"/>
  <c r="D7" i="16"/>
  <c r="C7" i="16"/>
  <c r="B7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B6" i="16"/>
  <c r="AA6" i="16"/>
  <c r="Z6" i="16"/>
  <c r="Y6" i="16"/>
  <c r="X6" i="16"/>
  <c r="W6" i="16"/>
  <c r="V6" i="16"/>
  <c r="U6" i="16"/>
  <c r="T6" i="16"/>
  <c r="S6" i="16"/>
  <c r="R6" i="16"/>
  <c r="Q6" i="16"/>
  <c r="M6" i="16"/>
  <c r="L6" i="16"/>
  <c r="K6" i="16"/>
  <c r="J6" i="16"/>
  <c r="I6" i="16"/>
  <c r="H6" i="16"/>
  <c r="G6" i="16"/>
  <c r="F6" i="16"/>
  <c r="E6" i="16"/>
  <c r="D6" i="16"/>
  <c r="C6" i="16"/>
  <c r="B6" i="16"/>
  <c r="AQ5" i="16"/>
  <c r="AP5" i="16"/>
  <c r="AO5" i="16"/>
  <c r="AN5" i="16"/>
  <c r="AM5" i="16"/>
  <c r="AL5" i="16"/>
  <c r="AK5" i="16"/>
  <c r="AJ5" i="16"/>
  <c r="AI5" i="16"/>
  <c r="AH5" i="16"/>
  <c r="AG5" i="16"/>
  <c r="AF5" i="16"/>
  <c r="AB5" i="16"/>
  <c r="AA5" i="16"/>
  <c r="Z5" i="16"/>
  <c r="Y5" i="16"/>
  <c r="X5" i="16"/>
  <c r="W5" i="16"/>
  <c r="V5" i="16"/>
  <c r="U5" i="16"/>
  <c r="T5" i="16"/>
  <c r="S5" i="16"/>
  <c r="R5" i="16"/>
  <c r="Q5" i="16"/>
  <c r="M5" i="16"/>
  <c r="L5" i="16"/>
  <c r="K5" i="16"/>
  <c r="J5" i="16"/>
  <c r="I5" i="16"/>
  <c r="H5" i="16"/>
  <c r="G5" i="16"/>
  <c r="F5" i="16"/>
  <c r="E5" i="16"/>
  <c r="D5" i="16"/>
  <c r="C5" i="16"/>
  <c r="B5" i="16"/>
  <c r="AQ4" i="16"/>
  <c r="AP4" i="16"/>
  <c r="AO4" i="16"/>
  <c r="AN4" i="16"/>
  <c r="AM4" i="16"/>
  <c r="AL4" i="16"/>
  <c r="AK4" i="16"/>
  <c r="AJ4" i="16"/>
  <c r="AI4" i="16"/>
  <c r="AH4" i="16"/>
  <c r="AG4" i="16"/>
  <c r="AF4" i="16"/>
  <c r="AB4" i="16"/>
  <c r="AA4" i="16"/>
  <c r="Z4" i="16"/>
  <c r="Y4" i="16"/>
  <c r="X4" i="16"/>
  <c r="W4" i="16"/>
  <c r="V4" i="16"/>
  <c r="U4" i="16"/>
  <c r="T4" i="16"/>
  <c r="S4" i="16"/>
  <c r="R4" i="16"/>
  <c r="Q4" i="16"/>
  <c r="M4" i="16"/>
  <c r="L4" i="16"/>
  <c r="K4" i="16"/>
  <c r="J4" i="16"/>
  <c r="I4" i="16"/>
  <c r="H4" i="16"/>
  <c r="G4" i="16"/>
  <c r="F4" i="16"/>
  <c r="E4" i="16"/>
  <c r="D4" i="16"/>
  <c r="C4" i="16"/>
  <c r="B4" i="16"/>
  <c r="AQ112" i="4"/>
  <c r="AP112" i="4"/>
  <c r="Z46" i="43" s="1"/>
  <c r="AO112" i="4"/>
  <c r="Z45" i="43" s="1"/>
  <c r="AN112" i="4"/>
  <c r="Z44" i="43" s="1"/>
  <c r="AM112" i="4"/>
  <c r="Z43" i="43" s="1"/>
  <c r="AL112" i="4"/>
  <c r="Z42" i="43" s="1"/>
  <c r="AK112" i="4"/>
  <c r="Z41" i="43" s="1"/>
  <c r="AJ112" i="4"/>
  <c r="Z40" i="43" s="1"/>
  <c r="AI112" i="4"/>
  <c r="Z39" i="43" s="1"/>
  <c r="AH112" i="4"/>
  <c r="Z38" i="43" s="1"/>
  <c r="AG112" i="4"/>
  <c r="Z37" i="43" s="1"/>
  <c r="AF112" i="4"/>
  <c r="Z36" i="43" s="1"/>
  <c r="AB112" i="4"/>
  <c r="Q47" i="43" s="1"/>
  <c r="CB47" i="43" s="1"/>
  <c r="AA112" i="4"/>
  <c r="Q46" i="43" s="1"/>
  <c r="Z112" i="4"/>
  <c r="Q45" i="43" s="1"/>
  <c r="Y112" i="4"/>
  <c r="Q44" i="43" s="1"/>
  <c r="X112" i="4"/>
  <c r="Q43" i="43" s="1"/>
  <c r="CB43" i="43" s="1"/>
  <c r="W112" i="4"/>
  <c r="Q42" i="43" s="1"/>
  <c r="CB42" i="43" s="1"/>
  <c r="V112" i="4"/>
  <c r="Q41" i="43" s="1"/>
  <c r="U112" i="4"/>
  <c r="Q40" i="43" s="1"/>
  <c r="CB40" i="43" s="1"/>
  <c r="T112" i="4"/>
  <c r="Q39" i="43" s="1"/>
  <c r="CB39" i="43" s="1"/>
  <c r="S112" i="4"/>
  <c r="Q38" i="43" s="1"/>
  <c r="R112" i="4"/>
  <c r="Q37" i="43" s="1"/>
  <c r="CB37" i="43" s="1"/>
  <c r="Q112" i="4"/>
  <c r="M112" i="4"/>
  <c r="H47" i="43" s="1"/>
  <c r="L112" i="4"/>
  <c r="H46" i="43" s="1"/>
  <c r="K112" i="4"/>
  <c r="H45" i="43" s="1"/>
  <c r="J112" i="4"/>
  <c r="H44" i="43" s="1"/>
  <c r="I112" i="4"/>
  <c r="H43" i="43" s="1"/>
  <c r="H112" i="4"/>
  <c r="H42" i="43" s="1"/>
  <c r="G112" i="4"/>
  <c r="H41" i="43" s="1"/>
  <c r="F112" i="4"/>
  <c r="H40" i="43" s="1"/>
  <c r="E112" i="4"/>
  <c r="H39" i="43" s="1"/>
  <c r="D112" i="4"/>
  <c r="H38" i="43" s="1"/>
  <c r="C112" i="4"/>
  <c r="H37" i="43" s="1"/>
  <c r="B112" i="4"/>
  <c r="AR111" i="4"/>
  <c r="AC111" i="4"/>
  <c r="N111" i="4"/>
  <c r="AR110" i="4"/>
  <c r="AC110" i="4"/>
  <c r="N110" i="4"/>
  <c r="AR109" i="4"/>
  <c r="AC109" i="4"/>
  <c r="N109" i="4"/>
  <c r="AR108" i="4"/>
  <c r="AC108" i="4"/>
  <c r="N108" i="4"/>
  <c r="AR107" i="4"/>
  <c r="AC107" i="4"/>
  <c r="N107" i="4"/>
  <c r="AR106" i="4"/>
  <c r="AC106" i="4"/>
  <c r="N106" i="4"/>
  <c r="AR105" i="4"/>
  <c r="AC105" i="4"/>
  <c r="N105" i="4"/>
  <c r="AR104" i="4"/>
  <c r="AC104" i="4"/>
  <c r="N104" i="4"/>
  <c r="AR103" i="4"/>
  <c r="AC103" i="4"/>
  <c r="N103" i="4"/>
  <c r="AR102" i="4"/>
  <c r="AC102" i="4"/>
  <c r="N102" i="4"/>
  <c r="AR101" i="4"/>
  <c r="AC101" i="4"/>
  <c r="N101" i="4"/>
  <c r="AR100" i="4"/>
  <c r="AC100" i="4"/>
  <c r="N100" i="4"/>
  <c r="AQ96" i="4"/>
  <c r="Y47" i="43" s="1"/>
  <c r="AP96" i="4"/>
  <c r="Y46" i="43" s="1"/>
  <c r="AO96" i="4"/>
  <c r="Y45" i="43" s="1"/>
  <c r="AN96" i="4"/>
  <c r="Y44" i="43" s="1"/>
  <c r="AM96" i="4"/>
  <c r="Y43" i="43" s="1"/>
  <c r="AL96" i="4"/>
  <c r="Y42" i="43" s="1"/>
  <c r="AK96" i="4"/>
  <c r="Y41" i="43" s="1"/>
  <c r="AJ96" i="4"/>
  <c r="Y40" i="43" s="1"/>
  <c r="AI96" i="4"/>
  <c r="Y39" i="43" s="1"/>
  <c r="AH96" i="4"/>
  <c r="Y38" i="43" s="1"/>
  <c r="AG96" i="4"/>
  <c r="Y37" i="43" s="1"/>
  <c r="AF96" i="4"/>
  <c r="AB96" i="4"/>
  <c r="P47" i="43" s="1"/>
  <c r="CA47" i="43" s="1"/>
  <c r="AA96" i="4"/>
  <c r="P46" i="43" s="1"/>
  <c r="Z96" i="4"/>
  <c r="P45" i="43" s="1"/>
  <c r="CA45" i="43" s="1"/>
  <c r="Y96" i="4"/>
  <c r="P44" i="43" s="1"/>
  <c r="CA44" i="43" s="1"/>
  <c r="X96" i="4"/>
  <c r="P43" i="43" s="1"/>
  <c r="CA43" i="43" s="1"/>
  <c r="W96" i="4"/>
  <c r="P42" i="43" s="1"/>
  <c r="CA42" i="43" s="1"/>
  <c r="V96" i="4"/>
  <c r="P41" i="43" s="1"/>
  <c r="U96" i="4"/>
  <c r="P40" i="43" s="1"/>
  <c r="CA40" i="43" s="1"/>
  <c r="T96" i="4"/>
  <c r="P39" i="43" s="1"/>
  <c r="CA39" i="43" s="1"/>
  <c r="S96" i="4"/>
  <c r="P38" i="43" s="1"/>
  <c r="CA38" i="43" s="1"/>
  <c r="R96" i="4"/>
  <c r="P37" i="43" s="1"/>
  <c r="CA37" i="43" s="1"/>
  <c r="Q96" i="4"/>
  <c r="M96" i="4"/>
  <c r="G47" i="43" s="1"/>
  <c r="L96" i="4"/>
  <c r="G46" i="43" s="1"/>
  <c r="K96" i="4"/>
  <c r="G45" i="43" s="1"/>
  <c r="J96" i="4"/>
  <c r="G44" i="43" s="1"/>
  <c r="I96" i="4"/>
  <c r="G43" i="43" s="1"/>
  <c r="H96" i="4"/>
  <c r="G42" i="43" s="1"/>
  <c r="G96" i="4"/>
  <c r="G41" i="43" s="1"/>
  <c r="F96" i="4"/>
  <c r="G40" i="43" s="1"/>
  <c r="E96" i="4"/>
  <c r="G39" i="43" s="1"/>
  <c r="D96" i="4"/>
  <c r="G38" i="43" s="1"/>
  <c r="C96" i="4"/>
  <c r="G37" i="43" s="1"/>
  <c r="B96" i="4"/>
  <c r="AR95" i="4"/>
  <c r="AC95" i="4"/>
  <c r="N95" i="4"/>
  <c r="AR94" i="4"/>
  <c r="AC94" i="4"/>
  <c r="N94" i="4"/>
  <c r="AR93" i="4"/>
  <c r="AC93" i="4"/>
  <c r="N93" i="4"/>
  <c r="AR92" i="4"/>
  <c r="AC92" i="4"/>
  <c r="N92" i="4"/>
  <c r="AR91" i="4"/>
  <c r="AC91" i="4"/>
  <c r="N91" i="4"/>
  <c r="AR90" i="4"/>
  <c r="AC90" i="4"/>
  <c r="N90" i="4"/>
  <c r="AR89" i="4"/>
  <c r="AC89" i="4"/>
  <c r="N89" i="4"/>
  <c r="AR88" i="4"/>
  <c r="AC88" i="4"/>
  <c r="N88" i="4"/>
  <c r="AR87" i="4"/>
  <c r="AC87" i="4"/>
  <c r="N87" i="4"/>
  <c r="AR86" i="4"/>
  <c r="AC86" i="4"/>
  <c r="N86" i="4"/>
  <c r="AR85" i="4"/>
  <c r="AC85" i="4"/>
  <c r="N85" i="4"/>
  <c r="AR84" i="4"/>
  <c r="AC84" i="4"/>
  <c r="N84" i="4"/>
  <c r="AQ80" i="4"/>
  <c r="X47" i="43" s="1"/>
  <c r="AP80" i="4"/>
  <c r="X46" i="43" s="1"/>
  <c r="AO80" i="4"/>
  <c r="X45" i="43" s="1"/>
  <c r="AN80" i="4"/>
  <c r="X44" i="43" s="1"/>
  <c r="AM80" i="4"/>
  <c r="X43" i="43" s="1"/>
  <c r="AL80" i="4"/>
  <c r="X42" i="43" s="1"/>
  <c r="AK80" i="4"/>
  <c r="X41" i="43" s="1"/>
  <c r="AJ80" i="4"/>
  <c r="X40" i="43" s="1"/>
  <c r="AI80" i="4"/>
  <c r="X39" i="43" s="1"/>
  <c r="AH80" i="4"/>
  <c r="X38" i="43" s="1"/>
  <c r="AG80" i="4"/>
  <c r="X37" i="43" s="1"/>
  <c r="AF80" i="4"/>
  <c r="AB80" i="4"/>
  <c r="O47" i="43" s="1"/>
  <c r="CO47" i="43" s="1"/>
  <c r="AA80" i="4"/>
  <c r="O46" i="43" s="1"/>
  <c r="Z80" i="4"/>
  <c r="O45" i="43" s="1"/>
  <c r="Y80" i="4"/>
  <c r="O44" i="43" s="1"/>
  <c r="X80" i="4"/>
  <c r="O43" i="43" s="1"/>
  <c r="W80" i="4"/>
  <c r="O42" i="43" s="1"/>
  <c r="V80" i="4"/>
  <c r="O41" i="43" s="1"/>
  <c r="U80" i="4"/>
  <c r="O40" i="43" s="1"/>
  <c r="T80" i="4"/>
  <c r="O39" i="43" s="1"/>
  <c r="S80" i="4"/>
  <c r="O38" i="43" s="1"/>
  <c r="R80" i="4"/>
  <c r="O37" i="43" s="1"/>
  <c r="Q80" i="4"/>
  <c r="M80" i="4"/>
  <c r="F47" i="43" s="1"/>
  <c r="CI47" i="43" s="1"/>
  <c r="L80" i="4"/>
  <c r="F46" i="43" s="1"/>
  <c r="CI46" i="43" s="1"/>
  <c r="K80" i="4"/>
  <c r="F45" i="43" s="1"/>
  <c r="CI45" i="43" s="1"/>
  <c r="J80" i="4"/>
  <c r="F44" i="43" s="1"/>
  <c r="CI44" i="43" s="1"/>
  <c r="I80" i="4"/>
  <c r="F43" i="43" s="1"/>
  <c r="CI43" i="43" s="1"/>
  <c r="H80" i="4"/>
  <c r="F42" i="43" s="1"/>
  <c r="CI42" i="43" s="1"/>
  <c r="G80" i="4"/>
  <c r="F41" i="43" s="1"/>
  <c r="CI41" i="43" s="1"/>
  <c r="F80" i="4"/>
  <c r="F40" i="43" s="1"/>
  <c r="CI40" i="43" s="1"/>
  <c r="E80" i="4"/>
  <c r="F39" i="43" s="1"/>
  <c r="CI39" i="43" s="1"/>
  <c r="D80" i="4"/>
  <c r="F38" i="43" s="1"/>
  <c r="CI38" i="43" s="1"/>
  <c r="C80" i="4"/>
  <c r="F37" i="43" s="1"/>
  <c r="CI37" i="43" s="1"/>
  <c r="B80" i="4"/>
  <c r="AR79" i="4"/>
  <c r="AC79" i="4"/>
  <c r="N79" i="4"/>
  <c r="AR78" i="4"/>
  <c r="AC78" i="4"/>
  <c r="N78" i="4"/>
  <c r="AR77" i="4"/>
  <c r="AC77" i="4"/>
  <c r="N77" i="4"/>
  <c r="AR76" i="4"/>
  <c r="AC76" i="4"/>
  <c r="N76" i="4"/>
  <c r="AR75" i="4"/>
  <c r="AC75" i="4"/>
  <c r="N75" i="4"/>
  <c r="AR74" i="4"/>
  <c r="AC74" i="4"/>
  <c r="N74" i="4"/>
  <c r="AR73" i="4"/>
  <c r="AC73" i="4"/>
  <c r="N73" i="4"/>
  <c r="AR72" i="4"/>
  <c r="AC72" i="4"/>
  <c r="N72" i="4"/>
  <c r="AR71" i="4"/>
  <c r="AC71" i="4"/>
  <c r="N71" i="4"/>
  <c r="AR70" i="4"/>
  <c r="AC70" i="4"/>
  <c r="N70" i="4"/>
  <c r="AR69" i="4"/>
  <c r="AC69" i="4"/>
  <c r="N69" i="4"/>
  <c r="AR68" i="4"/>
  <c r="AC68" i="4"/>
  <c r="N68" i="4"/>
  <c r="AQ64" i="4"/>
  <c r="W47" i="43" s="1"/>
  <c r="AP64" i="4"/>
  <c r="W46" i="43" s="1"/>
  <c r="AO64" i="4"/>
  <c r="W45" i="43" s="1"/>
  <c r="AN64" i="4"/>
  <c r="W44" i="43" s="1"/>
  <c r="AM64" i="4"/>
  <c r="W43" i="43" s="1"/>
  <c r="AL64" i="4"/>
  <c r="W42" i="43" s="1"/>
  <c r="AK64" i="4"/>
  <c r="W41" i="43" s="1"/>
  <c r="AJ64" i="4"/>
  <c r="W40" i="43" s="1"/>
  <c r="AI64" i="4"/>
  <c r="W39" i="43" s="1"/>
  <c r="AH64" i="4"/>
  <c r="W38" i="43" s="1"/>
  <c r="AG64" i="4"/>
  <c r="W37" i="43" s="1"/>
  <c r="AF64" i="4"/>
  <c r="AB64" i="4"/>
  <c r="N47" i="43" s="1"/>
  <c r="CN47" i="43" s="1"/>
  <c r="AA64" i="4"/>
  <c r="N46" i="43" s="1"/>
  <c r="Z64" i="4"/>
  <c r="N45" i="43" s="1"/>
  <c r="Y64" i="4"/>
  <c r="N44" i="43" s="1"/>
  <c r="X64" i="4"/>
  <c r="N43" i="43" s="1"/>
  <c r="CN43" i="43" s="1"/>
  <c r="W64" i="4"/>
  <c r="N42" i="43" s="1"/>
  <c r="CN42" i="43" s="1"/>
  <c r="V64" i="4"/>
  <c r="N41" i="43" s="1"/>
  <c r="CN41" i="43" s="1"/>
  <c r="U64" i="4"/>
  <c r="N40" i="43" s="1"/>
  <c r="T64" i="4"/>
  <c r="N39" i="43" s="1"/>
  <c r="S64" i="4"/>
  <c r="N38" i="43" s="1"/>
  <c r="R64" i="4"/>
  <c r="N37" i="43" s="1"/>
  <c r="Q64" i="4"/>
  <c r="M64" i="4"/>
  <c r="E47" i="43" s="1"/>
  <c r="CH47" i="43" s="1"/>
  <c r="L64" i="4"/>
  <c r="E46" i="43" s="1"/>
  <c r="CH46" i="43" s="1"/>
  <c r="K64" i="4"/>
  <c r="E45" i="43" s="1"/>
  <c r="CH45" i="43" s="1"/>
  <c r="J64" i="4"/>
  <c r="E44" i="43" s="1"/>
  <c r="CH44" i="43" s="1"/>
  <c r="I64" i="4"/>
  <c r="E43" i="43" s="1"/>
  <c r="CH43" i="43" s="1"/>
  <c r="H64" i="4"/>
  <c r="E42" i="43" s="1"/>
  <c r="CH42" i="43" s="1"/>
  <c r="G64" i="4"/>
  <c r="E41" i="43" s="1"/>
  <c r="CH41" i="43" s="1"/>
  <c r="F64" i="4"/>
  <c r="E40" i="43" s="1"/>
  <c r="CH40" i="43" s="1"/>
  <c r="E64" i="4"/>
  <c r="E39" i="43" s="1"/>
  <c r="CH39" i="43" s="1"/>
  <c r="D64" i="4"/>
  <c r="E38" i="43" s="1"/>
  <c r="CH38" i="43" s="1"/>
  <c r="C64" i="4"/>
  <c r="E37" i="43" s="1"/>
  <c r="CH37" i="43" s="1"/>
  <c r="B64" i="4"/>
  <c r="AR63" i="4"/>
  <c r="AC63" i="4"/>
  <c r="N63" i="4"/>
  <c r="AR62" i="4"/>
  <c r="AC62" i="4"/>
  <c r="N62" i="4"/>
  <c r="AR61" i="4"/>
  <c r="AC61" i="4"/>
  <c r="N61" i="4"/>
  <c r="AR60" i="4"/>
  <c r="AC60" i="4"/>
  <c r="N60" i="4"/>
  <c r="AR59" i="4"/>
  <c r="AC59" i="4"/>
  <c r="N59" i="4"/>
  <c r="AR58" i="4"/>
  <c r="AC58" i="4"/>
  <c r="N58" i="4"/>
  <c r="AR57" i="4"/>
  <c r="AC57" i="4"/>
  <c r="N57" i="4"/>
  <c r="AR56" i="4"/>
  <c r="AC56" i="4"/>
  <c r="N56" i="4"/>
  <c r="AR55" i="4"/>
  <c r="AC55" i="4"/>
  <c r="N55" i="4"/>
  <c r="AR54" i="4"/>
  <c r="AC54" i="4"/>
  <c r="N54" i="4"/>
  <c r="AR53" i="4"/>
  <c r="AC53" i="4"/>
  <c r="N53" i="4"/>
  <c r="AR52" i="4"/>
  <c r="AC52" i="4"/>
  <c r="N52" i="4"/>
  <c r="AQ48" i="4"/>
  <c r="V47" i="43" s="1"/>
  <c r="AP48" i="4"/>
  <c r="V46" i="43" s="1"/>
  <c r="AO48" i="4"/>
  <c r="AN48" i="4"/>
  <c r="V44" i="43" s="1"/>
  <c r="AM48" i="4"/>
  <c r="V43" i="43" s="1"/>
  <c r="AL48" i="4"/>
  <c r="V42" i="43" s="1"/>
  <c r="AK48" i="4"/>
  <c r="AJ48" i="4"/>
  <c r="V40" i="43" s="1"/>
  <c r="AI48" i="4"/>
  <c r="V39" i="43" s="1"/>
  <c r="AH48" i="4"/>
  <c r="V38" i="43" s="1"/>
  <c r="AG48" i="4"/>
  <c r="AF48" i="4"/>
  <c r="AB48" i="4"/>
  <c r="M47" i="43" s="1"/>
  <c r="AA48" i="4"/>
  <c r="Z48" i="4"/>
  <c r="M45" i="43" s="1"/>
  <c r="CL45" i="43" s="1"/>
  <c r="Y48" i="4"/>
  <c r="M44" i="43" s="1"/>
  <c r="X48" i="4"/>
  <c r="M43" i="43" s="1"/>
  <c r="CL43" i="43" s="1"/>
  <c r="W48" i="4"/>
  <c r="V48" i="4"/>
  <c r="M41" i="43" s="1"/>
  <c r="CL41" i="43" s="1"/>
  <c r="U48" i="4"/>
  <c r="M40" i="43" s="1"/>
  <c r="CL40" i="43" s="1"/>
  <c r="T48" i="4"/>
  <c r="M39" i="43" s="1"/>
  <c r="S48" i="4"/>
  <c r="R48" i="4"/>
  <c r="M37" i="43" s="1"/>
  <c r="Q48" i="4"/>
  <c r="M48" i="4"/>
  <c r="L48" i="4"/>
  <c r="D46" i="43" s="1"/>
  <c r="CF46" i="43" s="1"/>
  <c r="K48" i="4"/>
  <c r="D45" i="43" s="1"/>
  <c r="CF45" i="43" s="1"/>
  <c r="J48" i="4"/>
  <c r="D44" i="43" s="1"/>
  <c r="CF44" i="43" s="1"/>
  <c r="I48" i="4"/>
  <c r="H48" i="4"/>
  <c r="D42" i="43" s="1"/>
  <c r="CF42" i="43" s="1"/>
  <c r="G48" i="4"/>
  <c r="D41" i="43" s="1"/>
  <c r="CF41" i="43" s="1"/>
  <c r="F48" i="4"/>
  <c r="D40" i="43" s="1"/>
  <c r="CF40" i="43" s="1"/>
  <c r="E48" i="4"/>
  <c r="D48" i="4"/>
  <c r="D38" i="43" s="1"/>
  <c r="CF38" i="43" s="1"/>
  <c r="C48" i="4"/>
  <c r="D37" i="43" s="1"/>
  <c r="CF37" i="43" s="1"/>
  <c r="B48" i="4"/>
  <c r="AR47" i="4"/>
  <c r="AC47" i="4"/>
  <c r="N47" i="4"/>
  <c r="AR46" i="4"/>
  <c r="AC46" i="4"/>
  <c r="N46" i="4"/>
  <c r="AR45" i="4"/>
  <c r="AC45" i="4"/>
  <c r="N45" i="4"/>
  <c r="AR44" i="4"/>
  <c r="AC44" i="4"/>
  <c r="N44" i="4"/>
  <c r="AR43" i="4"/>
  <c r="AC43" i="4"/>
  <c r="N43" i="4"/>
  <c r="AR42" i="4"/>
  <c r="AC42" i="4"/>
  <c r="N42" i="4"/>
  <c r="AR41" i="4"/>
  <c r="AC41" i="4"/>
  <c r="N41" i="4"/>
  <c r="AR40" i="4"/>
  <c r="AC40" i="4"/>
  <c r="N40" i="4"/>
  <c r="AR39" i="4"/>
  <c r="AC39" i="4"/>
  <c r="N39" i="4"/>
  <c r="AR38" i="4"/>
  <c r="AC38" i="4"/>
  <c r="N38" i="4"/>
  <c r="AR37" i="4"/>
  <c r="AC37" i="4"/>
  <c r="N37" i="4"/>
  <c r="AR36" i="4"/>
  <c r="AC36" i="4"/>
  <c r="N36" i="4"/>
  <c r="AQ32" i="4"/>
  <c r="AP32" i="4"/>
  <c r="U46" i="43" s="1"/>
  <c r="AO32" i="4"/>
  <c r="U45" i="43" s="1"/>
  <c r="AN32" i="4"/>
  <c r="AM32" i="4"/>
  <c r="AL32" i="4"/>
  <c r="AK32" i="4"/>
  <c r="U41" i="43" s="1"/>
  <c r="AJ32" i="4"/>
  <c r="AI32" i="4"/>
  <c r="AH32" i="4"/>
  <c r="AG32" i="4"/>
  <c r="U37" i="43" s="1"/>
  <c r="AF32" i="4"/>
  <c r="AB32" i="4"/>
  <c r="L47" i="43" s="1"/>
  <c r="CM47" i="43" s="1"/>
  <c r="AA32" i="4"/>
  <c r="L46" i="43" s="1"/>
  <c r="CM46" i="43" s="1"/>
  <c r="Z32" i="4"/>
  <c r="Y32" i="4"/>
  <c r="X32" i="4"/>
  <c r="L43" i="43" s="1"/>
  <c r="CM43" i="43" s="1"/>
  <c r="W32" i="4"/>
  <c r="L42" i="43" s="1"/>
  <c r="CM42" i="43" s="1"/>
  <c r="V32" i="4"/>
  <c r="U32" i="4"/>
  <c r="T32" i="4"/>
  <c r="L39" i="43" s="1"/>
  <c r="S32" i="4"/>
  <c r="L38" i="43" s="1"/>
  <c r="R32" i="4"/>
  <c r="Q32" i="4"/>
  <c r="M32" i="4"/>
  <c r="C47" i="43" s="1"/>
  <c r="CG47" i="43" s="1"/>
  <c r="L32" i="4"/>
  <c r="K32" i="4"/>
  <c r="J32" i="4"/>
  <c r="I32" i="4"/>
  <c r="C43" i="43" s="1"/>
  <c r="CG43" i="43" s="1"/>
  <c r="H32" i="4"/>
  <c r="G32" i="4"/>
  <c r="F32" i="4"/>
  <c r="C40" i="43" s="1"/>
  <c r="CG40" i="43" s="1"/>
  <c r="E32" i="4"/>
  <c r="C39" i="43" s="1"/>
  <c r="CG39" i="43" s="1"/>
  <c r="D32" i="4"/>
  <c r="C32" i="4"/>
  <c r="B32" i="4"/>
  <c r="B16" i="4" s="1"/>
  <c r="AR31" i="4"/>
  <c r="AC31" i="4"/>
  <c r="AC15" i="4" s="1"/>
  <c r="N31" i="4"/>
  <c r="N15" i="4" s="1"/>
  <c r="AR30" i="4"/>
  <c r="AR14" i="4" s="1"/>
  <c r="AC30" i="4"/>
  <c r="N30" i="4"/>
  <c r="N14" i="4" s="1"/>
  <c r="AR29" i="4"/>
  <c r="AR13" i="4" s="1"/>
  <c r="AC29" i="4"/>
  <c r="AC13" i="4" s="1"/>
  <c r="N29" i="4"/>
  <c r="AR28" i="4"/>
  <c r="AR12" i="4" s="1"/>
  <c r="AC28" i="4"/>
  <c r="AC12" i="4" s="1"/>
  <c r="N28" i="4"/>
  <c r="N12" i="4" s="1"/>
  <c r="AR27" i="4"/>
  <c r="AC27" i="4"/>
  <c r="N27" i="4"/>
  <c r="N11" i="4" s="1"/>
  <c r="AR26" i="4"/>
  <c r="AR10" i="4" s="1"/>
  <c r="AC26" i="4"/>
  <c r="N26" i="4"/>
  <c r="AR25" i="4"/>
  <c r="AR9" i="4" s="1"/>
  <c r="AC25" i="4"/>
  <c r="N25" i="4"/>
  <c r="AR24" i="4"/>
  <c r="AR8" i="4" s="1"/>
  <c r="AC24" i="4"/>
  <c r="AC8" i="4" s="1"/>
  <c r="N24" i="4"/>
  <c r="N8" i="4" s="1"/>
  <c r="AR23" i="4"/>
  <c r="AC23" i="4"/>
  <c r="AC7" i="4" s="1"/>
  <c r="N23" i="4"/>
  <c r="N7" i="4" s="1"/>
  <c r="AR22" i="4"/>
  <c r="AR6" i="4" s="1"/>
  <c r="AC22" i="4"/>
  <c r="N22" i="4"/>
  <c r="N6" i="4" s="1"/>
  <c r="AR21" i="4"/>
  <c r="AR5" i="4" s="1"/>
  <c r="AC21" i="4"/>
  <c r="AC5" i="4" s="1"/>
  <c r="N21" i="4"/>
  <c r="AR20" i="4"/>
  <c r="AR4" i="4" s="1"/>
  <c r="AC20" i="4"/>
  <c r="AC4" i="4" s="1"/>
  <c r="N20" i="4"/>
  <c r="N4" i="4" s="1"/>
  <c r="AB16" i="4"/>
  <c r="AB17" i="4" s="1"/>
  <c r="AQ15" i="4"/>
  <c r="AP15" i="4"/>
  <c r="AO15" i="4"/>
  <c r="AN15" i="4"/>
  <c r="AM15" i="4"/>
  <c r="AL15" i="4"/>
  <c r="AK15" i="4"/>
  <c r="AJ15" i="4"/>
  <c r="AI15" i="4"/>
  <c r="AH15" i="4"/>
  <c r="AG15" i="4"/>
  <c r="AF15" i="4"/>
  <c r="AB15" i="4"/>
  <c r="AA15" i="4"/>
  <c r="Z15" i="4"/>
  <c r="Y15" i="4"/>
  <c r="X15" i="4"/>
  <c r="W15" i="4"/>
  <c r="V15" i="4"/>
  <c r="U15" i="4"/>
  <c r="T15" i="4"/>
  <c r="S15" i="4"/>
  <c r="R15" i="4"/>
  <c r="Q15" i="4"/>
  <c r="M15" i="4"/>
  <c r="L15" i="4"/>
  <c r="K15" i="4"/>
  <c r="J15" i="4"/>
  <c r="I15" i="4"/>
  <c r="H15" i="4"/>
  <c r="G15" i="4"/>
  <c r="F15" i="4"/>
  <c r="E15" i="4"/>
  <c r="D15" i="4"/>
  <c r="C15" i="4"/>
  <c r="B15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B14" i="4"/>
  <c r="AA14" i="4"/>
  <c r="Z14" i="4"/>
  <c r="Y14" i="4"/>
  <c r="X14" i="4"/>
  <c r="W14" i="4"/>
  <c r="V14" i="4"/>
  <c r="U14" i="4"/>
  <c r="T14" i="4"/>
  <c r="S14" i="4"/>
  <c r="R14" i="4"/>
  <c r="Q14" i="4"/>
  <c r="M14" i="4"/>
  <c r="L14" i="4"/>
  <c r="K14" i="4"/>
  <c r="J14" i="4"/>
  <c r="I14" i="4"/>
  <c r="H14" i="4"/>
  <c r="G14" i="4"/>
  <c r="F14" i="4"/>
  <c r="E14" i="4"/>
  <c r="D14" i="4"/>
  <c r="C14" i="4"/>
  <c r="B14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B13" i="4"/>
  <c r="AA13" i="4"/>
  <c r="Z13" i="4"/>
  <c r="Y13" i="4"/>
  <c r="X13" i="4"/>
  <c r="W13" i="4"/>
  <c r="V13" i="4"/>
  <c r="U13" i="4"/>
  <c r="T13" i="4"/>
  <c r="S13" i="4"/>
  <c r="R13" i="4"/>
  <c r="Q13" i="4"/>
  <c r="M13" i="4"/>
  <c r="L13" i="4"/>
  <c r="K13" i="4"/>
  <c r="J13" i="4"/>
  <c r="I13" i="4"/>
  <c r="H13" i="4"/>
  <c r="G13" i="4"/>
  <c r="F13" i="4"/>
  <c r="E13" i="4"/>
  <c r="D13" i="4"/>
  <c r="C13" i="4"/>
  <c r="B13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B12" i="4"/>
  <c r="AA12" i="4"/>
  <c r="Z12" i="4"/>
  <c r="Y12" i="4"/>
  <c r="X12" i="4"/>
  <c r="W12" i="4"/>
  <c r="V12" i="4"/>
  <c r="U12" i="4"/>
  <c r="T12" i="4"/>
  <c r="S12" i="4"/>
  <c r="R12" i="4"/>
  <c r="Q12" i="4"/>
  <c r="M12" i="4"/>
  <c r="L12" i="4"/>
  <c r="K12" i="4"/>
  <c r="J12" i="4"/>
  <c r="I12" i="4"/>
  <c r="H12" i="4"/>
  <c r="G12" i="4"/>
  <c r="F12" i="4"/>
  <c r="E12" i="4"/>
  <c r="D12" i="4"/>
  <c r="C12" i="4"/>
  <c r="B12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B11" i="4"/>
  <c r="AA11" i="4"/>
  <c r="Z11" i="4"/>
  <c r="Y11" i="4"/>
  <c r="X11" i="4"/>
  <c r="W11" i="4"/>
  <c r="V11" i="4"/>
  <c r="U11" i="4"/>
  <c r="T11" i="4"/>
  <c r="S11" i="4"/>
  <c r="R11" i="4"/>
  <c r="Q11" i="4"/>
  <c r="M11" i="4"/>
  <c r="L11" i="4"/>
  <c r="K11" i="4"/>
  <c r="J11" i="4"/>
  <c r="I11" i="4"/>
  <c r="H11" i="4"/>
  <c r="G11" i="4"/>
  <c r="F11" i="4"/>
  <c r="E11" i="4"/>
  <c r="D11" i="4"/>
  <c r="C11" i="4"/>
  <c r="B11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B10" i="4"/>
  <c r="AA10" i="4"/>
  <c r="Z10" i="4"/>
  <c r="Y10" i="4"/>
  <c r="X10" i="4"/>
  <c r="W10" i="4"/>
  <c r="V10" i="4"/>
  <c r="U10" i="4"/>
  <c r="T10" i="4"/>
  <c r="S10" i="4"/>
  <c r="R10" i="4"/>
  <c r="Q10" i="4"/>
  <c r="M10" i="4"/>
  <c r="L10" i="4"/>
  <c r="K10" i="4"/>
  <c r="J10" i="4"/>
  <c r="I10" i="4"/>
  <c r="H10" i="4"/>
  <c r="G10" i="4"/>
  <c r="F10" i="4"/>
  <c r="E10" i="4"/>
  <c r="D10" i="4"/>
  <c r="C10" i="4"/>
  <c r="B10" i="4"/>
  <c r="AQ9" i="4"/>
  <c r="AP9" i="4"/>
  <c r="AO9" i="4"/>
  <c r="AN9" i="4"/>
  <c r="AM9" i="4"/>
  <c r="AL9" i="4"/>
  <c r="AK9" i="4"/>
  <c r="AJ9" i="4"/>
  <c r="AI9" i="4"/>
  <c r="AH9" i="4"/>
  <c r="AG9" i="4"/>
  <c r="AF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M9" i="4"/>
  <c r="L9" i="4"/>
  <c r="K9" i="4"/>
  <c r="J9" i="4"/>
  <c r="I9" i="4"/>
  <c r="H9" i="4"/>
  <c r="G9" i="4"/>
  <c r="F9" i="4"/>
  <c r="E9" i="4"/>
  <c r="D9" i="4"/>
  <c r="C9" i="4"/>
  <c r="B9" i="4"/>
  <c r="AQ8" i="4"/>
  <c r="AP8" i="4"/>
  <c r="AO8" i="4"/>
  <c r="AN8" i="4"/>
  <c r="AM8" i="4"/>
  <c r="AL8" i="4"/>
  <c r="AK8" i="4"/>
  <c r="AJ8" i="4"/>
  <c r="AI8" i="4"/>
  <c r="AH8" i="4"/>
  <c r="AG8" i="4"/>
  <c r="AF8" i="4"/>
  <c r="AB8" i="4"/>
  <c r="AA8" i="4"/>
  <c r="Z8" i="4"/>
  <c r="Y8" i="4"/>
  <c r="X8" i="4"/>
  <c r="W8" i="4"/>
  <c r="V8" i="4"/>
  <c r="U8" i="4"/>
  <c r="T8" i="4"/>
  <c r="S8" i="4"/>
  <c r="R8" i="4"/>
  <c r="Q8" i="4"/>
  <c r="M8" i="4"/>
  <c r="L8" i="4"/>
  <c r="K8" i="4"/>
  <c r="J8" i="4"/>
  <c r="I8" i="4"/>
  <c r="H8" i="4"/>
  <c r="G8" i="4"/>
  <c r="F8" i="4"/>
  <c r="E8" i="4"/>
  <c r="D8" i="4"/>
  <c r="C8" i="4"/>
  <c r="B8" i="4"/>
  <c r="AQ7" i="4"/>
  <c r="AP7" i="4"/>
  <c r="AO7" i="4"/>
  <c r="AN7" i="4"/>
  <c r="AM7" i="4"/>
  <c r="AL7" i="4"/>
  <c r="AK7" i="4"/>
  <c r="AJ7" i="4"/>
  <c r="AI7" i="4"/>
  <c r="AH7" i="4"/>
  <c r="AG7" i="4"/>
  <c r="AF7" i="4"/>
  <c r="AB7" i="4"/>
  <c r="AA7" i="4"/>
  <c r="Z7" i="4"/>
  <c r="Y7" i="4"/>
  <c r="X7" i="4"/>
  <c r="W7" i="4"/>
  <c r="V7" i="4"/>
  <c r="U7" i="4"/>
  <c r="T7" i="4"/>
  <c r="S7" i="4"/>
  <c r="R7" i="4"/>
  <c r="Q7" i="4"/>
  <c r="M7" i="4"/>
  <c r="L7" i="4"/>
  <c r="K7" i="4"/>
  <c r="J7" i="4"/>
  <c r="I7" i="4"/>
  <c r="H7" i="4"/>
  <c r="G7" i="4"/>
  <c r="F7" i="4"/>
  <c r="E7" i="4"/>
  <c r="D7" i="4"/>
  <c r="C7" i="4"/>
  <c r="B7" i="4"/>
  <c r="AQ6" i="4"/>
  <c r="AP6" i="4"/>
  <c r="AO6" i="4"/>
  <c r="AN6" i="4"/>
  <c r="AM6" i="4"/>
  <c r="AL6" i="4"/>
  <c r="AK6" i="4"/>
  <c r="AJ6" i="4"/>
  <c r="AI6" i="4"/>
  <c r="AH6" i="4"/>
  <c r="AG6" i="4"/>
  <c r="AF6" i="4"/>
  <c r="AB6" i="4"/>
  <c r="AA6" i="4"/>
  <c r="Z6" i="4"/>
  <c r="Y6" i="4"/>
  <c r="X6" i="4"/>
  <c r="W6" i="4"/>
  <c r="V6" i="4"/>
  <c r="U6" i="4"/>
  <c r="T6" i="4"/>
  <c r="S6" i="4"/>
  <c r="R6" i="4"/>
  <c r="Q6" i="4"/>
  <c r="M6" i="4"/>
  <c r="L6" i="4"/>
  <c r="K6" i="4"/>
  <c r="J6" i="4"/>
  <c r="I6" i="4"/>
  <c r="H6" i="4"/>
  <c r="G6" i="4"/>
  <c r="F6" i="4"/>
  <c r="E6" i="4"/>
  <c r="D6" i="4"/>
  <c r="C6" i="4"/>
  <c r="B6" i="4"/>
  <c r="AQ5" i="4"/>
  <c r="AP5" i="4"/>
  <c r="AO5" i="4"/>
  <c r="AN5" i="4"/>
  <c r="AM5" i="4"/>
  <c r="AL5" i="4"/>
  <c r="AK5" i="4"/>
  <c r="AJ5" i="4"/>
  <c r="AI5" i="4"/>
  <c r="AH5" i="4"/>
  <c r="AG5" i="4"/>
  <c r="AF5" i="4"/>
  <c r="AB5" i="4"/>
  <c r="AA5" i="4"/>
  <c r="Z5" i="4"/>
  <c r="Y5" i="4"/>
  <c r="X5" i="4"/>
  <c r="W5" i="4"/>
  <c r="V5" i="4"/>
  <c r="U5" i="4"/>
  <c r="T5" i="4"/>
  <c r="S5" i="4"/>
  <c r="R5" i="4"/>
  <c r="Q5" i="4"/>
  <c r="M5" i="4"/>
  <c r="L5" i="4"/>
  <c r="K5" i="4"/>
  <c r="J5" i="4"/>
  <c r="I5" i="4"/>
  <c r="H5" i="4"/>
  <c r="G5" i="4"/>
  <c r="F5" i="4"/>
  <c r="E5" i="4"/>
  <c r="D5" i="4"/>
  <c r="C5" i="4"/>
  <c r="B5" i="4"/>
  <c r="AQ4" i="4"/>
  <c r="AP4" i="4"/>
  <c r="AO4" i="4"/>
  <c r="AN4" i="4"/>
  <c r="AM4" i="4"/>
  <c r="AL4" i="4"/>
  <c r="AK4" i="4"/>
  <c r="AJ4" i="4"/>
  <c r="AI4" i="4"/>
  <c r="AH4" i="4"/>
  <c r="AG4" i="4"/>
  <c r="AF4" i="4"/>
  <c r="AB4" i="4"/>
  <c r="AA4" i="4"/>
  <c r="Z4" i="4"/>
  <c r="Y4" i="4"/>
  <c r="X4" i="4"/>
  <c r="W4" i="4"/>
  <c r="V4" i="4"/>
  <c r="U4" i="4"/>
  <c r="T4" i="4"/>
  <c r="S4" i="4"/>
  <c r="R4" i="4"/>
  <c r="Q4" i="4"/>
  <c r="M4" i="4"/>
  <c r="L4" i="4"/>
  <c r="K4" i="4"/>
  <c r="J4" i="4"/>
  <c r="I4" i="4"/>
  <c r="H4" i="4"/>
  <c r="G4" i="4"/>
  <c r="F4" i="4"/>
  <c r="E4" i="4"/>
  <c r="D4" i="4"/>
  <c r="C4" i="4"/>
  <c r="B4" i="4"/>
  <c r="AW79" i="4"/>
  <c r="AV79" i="4"/>
  <c r="AU79" i="4"/>
  <c r="AW78" i="4"/>
  <c r="AV78" i="4"/>
  <c r="AU78" i="4"/>
  <c r="AW77" i="4"/>
  <c r="AV77" i="4"/>
  <c r="AU77" i="4"/>
  <c r="AW76" i="4"/>
  <c r="AV76" i="4"/>
  <c r="AU76" i="4"/>
  <c r="AW75" i="4"/>
  <c r="AV75" i="4"/>
  <c r="AU75" i="4"/>
  <c r="AW74" i="4"/>
  <c r="AV74" i="4"/>
  <c r="AU74" i="4"/>
  <c r="AW73" i="4"/>
  <c r="AV73" i="4"/>
  <c r="AU73" i="4"/>
  <c r="AW72" i="4"/>
  <c r="AV72" i="4"/>
  <c r="AU72" i="4"/>
  <c r="AW71" i="4"/>
  <c r="AV71" i="4"/>
  <c r="AU71" i="4"/>
  <c r="AW70" i="4"/>
  <c r="AV70" i="4"/>
  <c r="AU70" i="4"/>
  <c r="AW69" i="4"/>
  <c r="AV69" i="4"/>
  <c r="AU69" i="4"/>
  <c r="AW68" i="4"/>
  <c r="AV68" i="4"/>
  <c r="AU68" i="4"/>
  <c r="F125" i="16" l="1"/>
  <c r="AL16" i="16"/>
  <c r="L40" i="75"/>
  <c r="H61" i="76"/>
  <c r="H62" i="76" s="1"/>
  <c r="I33" i="76"/>
  <c r="H95" i="76"/>
  <c r="I58" i="76"/>
  <c r="G59" i="76"/>
  <c r="G127" i="76"/>
  <c r="G128" i="76" s="1"/>
  <c r="F97" i="76"/>
  <c r="F98" i="76" s="1"/>
  <c r="G95" i="76"/>
  <c r="G61" i="76"/>
  <c r="G62" i="76" s="1"/>
  <c r="G23" i="76"/>
  <c r="F121" i="16"/>
  <c r="F122" i="16"/>
  <c r="F123" i="16"/>
  <c r="F124" i="16"/>
  <c r="BW38" i="43"/>
  <c r="CM38" i="43"/>
  <c r="CR46" i="43"/>
  <c r="H54" i="75" s="1"/>
  <c r="G54" i="75"/>
  <c r="CT38" i="43"/>
  <c r="H8" i="75" s="1"/>
  <c r="G8" i="75"/>
  <c r="CT42" i="43"/>
  <c r="H32" i="75" s="1"/>
  <c r="G32" i="75"/>
  <c r="BY38" i="43"/>
  <c r="CN38" i="43"/>
  <c r="BY46" i="43"/>
  <c r="CN46" i="43"/>
  <c r="G9" i="75"/>
  <c r="G57" i="75"/>
  <c r="BZ42" i="43"/>
  <c r="CO42" i="43"/>
  <c r="CS39" i="43"/>
  <c r="H13" i="75" s="1"/>
  <c r="G13" i="75"/>
  <c r="CS47" i="43"/>
  <c r="H61" i="75" s="1"/>
  <c r="G61" i="75"/>
  <c r="BX39" i="43"/>
  <c r="CL39" i="43"/>
  <c r="BX47" i="43"/>
  <c r="CL47" i="43"/>
  <c r="CP47" i="43" s="1"/>
  <c r="G38" i="75"/>
  <c r="CT43" i="43"/>
  <c r="H38" i="75" s="1"/>
  <c r="BY39" i="43"/>
  <c r="CN39" i="43"/>
  <c r="G63" i="75"/>
  <c r="CU47" i="43"/>
  <c r="H63" i="75" s="1"/>
  <c r="G19" i="75"/>
  <c r="CJ40" i="43"/>
  <c r="CR40" i="43"/>
  <c r="H18" i="75" s="1"/>
  <c r="G18" i="75"/>
  <c r="CR44" i="43"/>
  <c r="H42" i="75" s="1"/>
  <c r="G42" i="75"/>
  <c r="BX44" i="43"/>
  <c r="CL44" i="43"/>
  <c r="CT40" i="43"/>
  <c r="H20" i="75" s="1"/>
  <c r="G20" i="75"/>
  <c r="G44" i="75"/>
  <c r="CT44" i="43"/>
  <c r="H44" i="75" s="1"/>
  <c r="BY40" i="43"/>
  <c r="CN40" i="43"/>
  <c r="BY44" i="43"/>
  <c r="CN44" i="43"/>
  <c r="G21" i="75"/>
  <c r="CU40" i="43"/>
  <c r="H21" i="75" s="1"/>
  <c r="G45" i="75"/>
  <c r="BZ40" i="43"/>
  <c r="CO40" i="43"/>
  <c r="BZ44" i="43"/>
  <c r="CO44" i="43"/>
  <c r="CU44" i="43" s="1"/>
  <c r="H45" i="75" s="1"/>
  <c r="G6" i="75"/>
  <c r="G30" i="75"/>
  <c r="CR42" i="43"/>
  <c r="H30" i="75" s="1"/>
  <c r="CT46" i="43"/>
  <c r="H56" i="75" s="1"/>
  <c r="G56" i="75"/>
  <c r="G33" i="75"/>
  <c r="CU42" i="43"/>
  <c r="H33" i="75" s="1"/>
  <c r="BZ38" i="43"/>
  <c r="CO38" i="43"/>
  <c r="CU38" i="43" s="1"/>
  <c r="H9" i="75" s="1"/>
  <c r="BZ46" i="43"/>
  <c r="CO46" i="43"/>
  <c r="CU46" i="43" s="1"/>
  <c r="H57" i="75" s="1"/>
  <c r="CS43" i="43"/>
  <c r="H37" i="75" s="1"/>
  <c r="G37" i="75"/>
  <c r="BW39" i="43"/>
  <c r="CM39" i="43"/>
  <c r="G14" i="75"/>
  <c r="CT39" i="43"/>
  <c r="H14" i="75" s="1"/>
  <c r="G62" i="75"/>
  <c r="CT47" i="43"/>
  <c r="H62" i="75" s="1"/>
  <c r="CU39" i="43"/>
  <c r="H15" i="75" s="1"/>
  <c r="G15" i="75"/>
  <c r="CU43" i="43"/>
  <c r="H39" i="75" s="1"/>
  <c r="G39" i="75"/>
  <c r="BZ39" i="43"/>
  <c r="CO39" i="43"/>
  <c r="BZ43" i="43"/>
  <c r="CO43" i="43"/>
  <c r="CP43" i="43" s="1"/>
  <c r="CJ37" i="43"/>
  <c r="G66" i="75"/>
  <c r="CR37" i="43"/>
  <c r="H66" i="75" s="1"/>
  <c r="G24" i="75"/>
  <c r="CR41" i="43"/>
  <c r="H24" i="75" s="1"/>
  <c r="CR45" i="43"/>
  <c r="H48" i="75" s="1"/>
  <c r="G48" i="75"/>
  <c r="BX37" i="43"/>
  <c r="CL37" i="43"/>
  <c r="CT37" i="43"/>
  <c r="H68" i="75" s="1"/>
  <c r="G68" i="75"/>
  <c r="G26" i="75"/>
  <c r="CT41" i="43"/>
  <c r="H26" i="75" s="1"/>
  <c r="G50" i="75"/>
  <c r="CT45" i="43"/>
  <c r="H50" i="75" s="1"/>
  <c r="BY37" i="43"/>
  <c r="CN37" i="43"/>
  <c r="BY45" i="43"/>
  <c r="CN45" i="43"/>
  <c r="CU37" i="43"/>
  <c r="H69" i="75" s="1"/>
  <c r="G69" i="75"/>
  <c r="G27" i="75"/>
  <c r="CU45" i="43"/>
  <c r="H51" i="75" s="1"/>
  <c r="G51" i="75"/>
  <c r="BZ37" i="43"/>
  <c r="CO37" i="43"/>
  <c r="BZ41" i="43"/>
  <c r="CO41" i="43"/>
  <c r="CU41" i="43" s="1"/>
  <c r="H27" i="75" s="1"/>
  <c r="BZ45" i="43"/>
  <c r="CO45" i="43"/>
  <c r="CS55" i="43"/>
  <c r="L13" i="75" s="1"/>
  <c r="BX55" i="43"/>
  <c r="CL55" i="43"/>
  <c r="BX59" i="43"/>
  <c r="CL59" i="43"/>
  <c r="CT55" i="43"/>
  <c r="CT59" i="43"/>
  <c r="CT63" i="43"/>
  <c r="BY55" i="43"/>
  <c r="CN55" i="43"/>
  <c r="BY63" i="43"/>
  <c r="CN63" i="43"/>
  <c r="CU55" i="43"/>
  <c r="CU59" i="43"/>
  <c r="CU63" i="43"/>
  <c r="L63" i="75" s="1"/>
  <c r="L64" i="75" s="1"/>
  <c r="BZ55" i="43"/>
  <c r="CO55" i="43"/>
  <c r="BZ59" i="43"/>
  <c r="CO59" i="43"/>
  <c r="CS52" i="43"/>
  <c r="CS56" i="43"/>
  <c r="L19" i="75" s="1"/>
  <c r="L22" i="75" s="1"/>
  <c r="CR52" i="43"/>
  <c r="CJ56" i="43"/>
  <c r="CR56" i="43"/>
  <c r="CR60" i="43"/>
  <c r="BX60" i="43"/>
  <c r="CL60" i="43"/>
  <c r="CH64" i="43"/>
  <c r="CT52" i="43"/>
  <c r="CT56" i="43"/>
  <c r="CT60" i="43"/>
  <c r="BY52" i="43"/>
  <c r="CN52" i="43"/>
  <c r="BY56" i="43"/>
  <c r="CN56" i="43"/>
  <c r="BY60" i="43"/>
  <c r="CN60" i="43"/>
  <c r="CU60" i="43"/>
  <c r="BZ56" i="43"/>
  <c r="CO56" i="43"/>
  <c r="CU56" i="43" s="1"/>
  <c r="BZ60" i="43"/>
  <c r="CO60" i="43"/>
  <c r="CR53" i="43"/>
  <c r="CR57" i="43"/>
  <c r="L24" i="75" s="1"/>
  <c r="BX53" i="43"/>
  <c r="CL53" i="43"/>
  <c r="BX61" i="43"/>
  <c r="CL61" i="43"/>
  <c r="CR61" i="43" s="1"/>
  <c r="L48" i="75" s="1"/>
  <c r="CT53" i="43"/>
  <c r="CT57" i="43"/>
  <c r="L26" i="75" s="1"/>
  <c r="CT61" i="43"/>
  <c r="BY53" i="43"/>
  <c r="CN53" i="43"/>
  <c r="BY61" i="43"/>
  <c r="CN61" i="43"/>
  <c r="CU53" i="43"/>
  <c r="CU61" i="43"/>
  <c r="BZ53" i="43"/>
  <c r="CO53" i="43"/>
  <c r="BZ57" i="43"/>
  <c r="CO57" i="43"/>
  <c r="CU57" i="43" s="1"/>
  <c r="BZ61" i="43"/>
  <c r="CO61" i="43"/>
  <c r="BW54" i="43"/>
  <c r="CM54" i="43"/>
  <c r="CR54" i="43"/>
  <c r="CR58" i="43"/>
  <c r="CT54" i="43"/>
  <c r="CT58" i="43"/>
  <c r="L32" i="75" s="1"/>
  <c r="CT62" i="43"/>
  <c r="BY54" i="43"/>
  <c r="CN54" i="43"/>
  <c r="BY62" i="43"/>
  <c r="CN62" i="43"/>
  <c r="CU58" i="43"/>
  <c r="BZ54" i="43"/>
  <c r="CO54" i="43"/>
  <c r="CU54" i="43" s="1"/>
  <c r="L9" i="75" s="1"/>
  <c r="L10" i="75" s="1"/>
  <c r="BZ58" i="43"/>
  <c r="CO58" i="43"/>
  <c r="BZ62" i="43"/>
  <c r="CO62" i="43"/>
  <c r="CU62" i="43" s="1"/>
  <c r="L57" i="75" s="1"/>
  <c r="L58" i="75" s="1"/>
  <c r="AV139" i="5"/>
  <c r="AV140" i="5"/>
  <c r="F118" i="5"/>
  <c r="F120" i="5"/>
  <c r="F121" i="5"/>
  <c r="F122" i="5"/>
  <c r="F123" i="5"/>
  <c r="F124" i="5"/>
  <c r="F125" i="5"/>
  <c r="F126" i="5"/>
  <c r="F127" i="5"/>
  <c r="F128" i="5"/>
  <c r="F129" i="5"/>
  <c r="AW137" i="5"/>
  <c r="AW139" i="5"/>
  <c r="AW140" i="5"/>
  <c r="F119" i="5"/>
  <c r="BX63" i="43"/>
  <c r="BY59" i="43"/>
  <c r="BZ63" i="43"/>
  <c r="AC140" i="16"/>
  <c r="BX56" i="43"/>
  <c r="AC13" i="16"/>
  <c r="CB56" i="43"/>
  <c r="BX57" i="43"/>
  <c r="BY57" i="43"/>
  <c r="BY58" i="43"/>
  <c r="CA62" i="43"/>
  <c r="CB54" i="43"/>
  <c r="CB62" i="43"/>
  <c r="BW42" i="43"/>
  <c r="BY42" i="43"/>
  <c r="CA46" i="43"/>
  <c r="CB38" i="43"/>
  <c r="CB46" i="43"/>
  <c r="BX40" i="43"/>
  <c r="CB44" i="43"/>
  <c r="BX41" i="43"/>
  <c r="BX45" i="43"/>
  <c r="BY41" i="43"/>
  <c r="AC137" i="4"/>
  <c r="CA41" i="43"/>
  <c r="CB41" i="43"/>
  <c r="CB45" i="43"/>
  <c r="BW43" i="43"/>
  <c r="BW47" i="43"/>
  <c r="BY43" i="43"/>
  <c r="BY47" i="43"/>
  <c r="BZ47" i="43"/>
  <c r="AA46" i="43"/>
  <c r="AR139" i="16"/>
  <c r="N8" i="16"/>
  <c r="N4" i="16"/>
  <c r="AR137" i="16"/>
  <c r="AC137" i="16"/>
  <c r="AC9" i="16"/>
  <c r="N140" i="16"/>
  <c r="AR140" i="16"/>
  <c r="AR14" i="16"/>
  <c r="AC5" i="16"/>
  <c r="AC136" i="16"/>
  <c r="N136" i="16"/>
  <c r="AC139" i="16"/>
  <c r="N139" i="16"/>
  <c r="AR10" i="16"/>
  <c r="F118" i="16"/>
  <c r="F119" i="16"/>
  <c r="F120" i="16"/>
  <c r="F16" i="16"/>
  <c r="AW137" i="16"/>
  <c r="L55" i="43"/>
  <c r="CM55" i="43" s="1"/>
  <c r="T16" i="16"/>
  <c r="L59" i="43"/>
  <c r="CM59" i="43" s="1"/>
  <c r="CS59" i="43" s="1"/>
  <c r="L37" i="75" s="1"/>
  <c r="X16" i="16"/>
  <c r="L63" i="43"/>
  <c r="CM63" i="43" s="1"/>
  <c r="CP63" i="43" s="1"/>
  <c r="AB16" i="16"/>
  <c r="N5" i="16"/>
  <c r="AC6" i="16"/>
  <c r="AR11" i="16"/>
  <c r="N13" i="16"/>
  <c r="AR15" i="16"/>
  <c r="AR5" i="16"/>
  <c r="N7" i="16"/>
  <c r="AC8" i="16"/>
  <c r="N11" i="16"/>
  <c r="AC12" i="16"/>
  <c r="N15" i="16"/>
  <c r="N137" i="16"/>
  <c r="AF16" i="16"/>
  <c r="U52" i="43"/>
  <c r="F135" i="16"/>
  <c r="J135" i="16"/>
  <c r="T135" i="16"/>
  <c r="X135" i="16"/>
  <c r="AB135" i="16"/>
  <c r="AI135" i="16"/>
  <c r="AM135" i="16"/>
  <c r="AQ135" i="16"/>
  <c r="E135" i="16"/>
  <c r="I135" i="16"/>
  <c r="M135" i="16"/>
  <c r="S135" i="16"/>
  <c r="W135" i="16"/>
  <c r="AA135" i="16"/>
  <c r="E138" i="16"/>
  <c r="I138" i="16"/>
  <c r="M138" i="16"/>
  <c r="T138" i="16"/>
  <c r="X138" i="16"/>
  <c r="AB138" i="16"/>
  <c r="AI138" i="16"/>
  <c r="AM138" i="16"/>
  <c r="AQ138" i="16"/>
  <c r="D138" i="16"/>
  <c r="H138" i="16"/>
  <c r="L138" i="16"/>
  <c r="AH138" i="16"/>
  <c r="AL138" i="16"/>
  <c r="AP138" i="16"/>
  <c r="AR4" i="16"/>
  <c r="N6" i="16"/>
  <c r="AC7" i="16"/>
  <c r="AR8" i="16"/>
  <c r="N10" i="16"/>
  <c r="AC11" i="16"/>
  <c r="AR12" i="16"/>
  <c r="N14" i="16"/>
  <c r="AC15" i="16"/>
  <c r="AR136" i="16"/>
  <c r="AR7" i="16"/>
  <c r="N9" i="16"/>
  <c r="AC10" i="16"/>
  <c r="AC14" i="16"/>
  <c r="AC4" i="16"/>
  <c r="AR9" i="16"/>
  <c r="AR13" i="16"/>
  <c r="Q16" i="16"/>
  <c r="L52" i="43"/>
  <c r="B130" i="16"/>
  <c r="B16" i="16"/>
  <c r="N80" i="16"/>
  <c r="F52" i="43"/>
  <c r="AC80" i="16"/>
  <c r="O52" i="43"/>
  <c r="AR80" i="16"/>
  <c r="X52" i="43"/>
  <c r="N96" i="16"/>
  <c r="G52" i="43"/>
  <c r="G64" i="43" s="1"/>
  <c r="G71" i="43" s="1"/>
  <c r="AC96" i="16"/>
  <c r="M52" i="43"/>
  <c r="P52" i="43"/>
  <c r="AR96" i="16"/>
  <c r="Y52" i="43"/>
  <c r="N112" i="16"/>
  <c r="H52" i="43"/>
  <c r="H64" i="43" s="1"/>
  <c r="H71" i="43" s="1"/>
  <c r="AC112" i="16"/>
  <c r="Q52" i="43"/>
  <c r="AR112" i="16"/>
  <c r="Z52" i="43"/>
  <c r="AA58" i="43"/>
  <c r="W64" i="43"/>
  <c r="D135" i="16"/>
  <c r="D141" i="16" s="1"/>
  <c r="H135" i="16"/>
  <c r="H141" i="16" s="1"/>
  <c r="L135" i="16"/>
  <c r="L141" i="16" s="1"/>
  <c r="R135" i="16"/>
  <c r="V135" i="16"/>
  <c r="Z135" i="16"/>
  <c r="AG135" i="16"/>
  <c r="AK135" i="16"/>
  <c r="AO135" i="16"/>
  <c r="C135" i="16"/>
  <c r="G135" i="16"/>
  <c r="K135" i="16"/>
  <c r="AF135" i="16"/>
  <c r="Q135" i="16"/>
  <c r="U135" i="16"/>
  <c r="Y135" i="16"/>
  <c r="C138" i="16"/>
  <c r="G138" i="16"/>
  <c r="K138" i="16"/>
  <c r="R138" i="16"/>
  <c r="V138" i="16"/>
  <c r="Z138" i="16"/>
  <c r="AG138" i="16"/>
  <c r="AK138" i="16"/>
  <c r="AO138" i="16"/>
  <c r="B138" i="16"/>
  <c r="F138" i="16"/>
  <c r="J138" i="16"/>
  <c r="AF138" i="16"/>
  <c r="AJ138" i="16"/>
  <c r="AN138" i="16"/>
  <c r="AH135" i="16"/>
  <c r="AL135" i="16"/>
  <c r="AL141" i="16" s="1"/>
  <c r="AP135" i="16"/>
  <c r="AP141" i="16" s="1"/>
  <c r="S138" i="16"/>
  <c r="W138" i="16"/>
  <c r="AA138" i="16"/>
  <c r="N32" i="16"/>
  <c r="C60" i="43"/>
  <c r="J16" i="16"/>
  <c r="U16" i="16"/>
  <c r="L56" i="43"/>
  <c r="CM56" i="43" s="1"/>
  <c r="CP56" i="43" s="1"/>
  <c r="Y16" i="16"/>
  <c r="L60" i="43"/>
  <c r="CM60" i="43" s="1"/>
  <c r="AJ16" i="16"/>
  <c r="U56" i="43"/>
  <c r="AN16" i="16"/>
  <c r="U60" i="43"/>
  <c r="N48" i="16"/>
  <c r="AC48" i="16"/>
  <c r="AR48" i="16"/>
  <c r="N64" i="16"/>
  <c r="I56" i="43"/>
  <c r="AC64" i="16"/>
  <c r="AJ135" i="16"/>
  <c r="AN135" i="16"/>
  <c r="B135" i="16"/>
  <c r="Q138" i="16"/>
  <c r="U138" i="16"/>
  <c r="Y138" i="16"/>
  <c r="D16" i="16"/>
  <c r="C54" i="43"/>
  <c r="H16" i="16"/>
  <c r="C58" i="43"/>
  <c r="L16" i="16"/>
  <c r="C62" i="43"/>
  <c r="U54" i="43"/>
  <c r="AH16" i="16"/>
  <c r="U62" i="43"/>
  <c r="AP16" i="16"/>
  <c r="S16" i="16"/>
  <c r="M54" i="43"/>
  <c r="CL54" i="43" s="1"/>
  <c r="W16" i="16"/>
  <c r="M58" i="43"/>
  <c r="AA16" i="16"/>
  <c r="M62" i="43"/>
  <c r="CL62" i="43" s="1"/>
  <c r="CR62" i="43" s="1"/>
  <c r="AI16" i="16"/>
  <c r="U55" i="43"/>
  <c r="AM16" i="16"/>
  <c r="U59" i="43"/>
  <c r="AQ16" i="16"/>
  <c r="U63" i="43"/>
  <c r="E16" i="16"/>
  <c r="D55" i="43"/>
  <c r="I16" i="16"/>
  <c r="D59" i="43"/>
  <c r="M16" i="16"/>
  <c r="D63" i="43"/>
  <c r="AU139" i="16"/>
  <c r="AR64" i="16"/>
  <c r="X64" i="43"/>
  <c r="Y64" i="43"/>
  <c r="Z64" i="43"/>
  <c r="AV136" i="16"/>
  <c r="AV139" i="16"/>
  <c r="AW140" i="16"/>
  <c r="AU140" i="16"/>
  <c r="C16" i="16"/>
  <c r="C53" i="43"/>
  <c r="CG53" i="43" s="1"/>
  <c r="G16" i="16"/>
  <c r="C57" i="43"/>
  <c r="K16" i="16"/>
  <c r="C61" i="43"/>
  <c r="R16" i="16"/>
  <c r="L53" i="43"/>
  <c r="V16" i="16"/>
  <c r="L57" i="43"/>
  <c r="CM57" i="43" s="1"/>
  <c r="Z16" i="16"/>
  <c r="L61" i="43"/>
  <c r="CM61" i="43" s="1"/>
  <c r="AG16" i="16"/>
  <c r="V53" i="43"/>
  <c r="AK16" i="16"/>
  <c r="V57" i="43"/>
  <c r="AO16" i="16"/>
  <c r="V61" i="43"/>
  <c r="E64" i="43"/>
  <c r="E71" i="43" s="1"/>
  <c r="N64" i="43"/>
  <c r="N71" i="43" s="1"/>
  <c r="D130" i="16"/>
  <c r="F130" i="16" s="1"/>
  <c r="AU136" i="16"/>
  <c r="AW136" i="16"/>
  <c r="AV137" i="16"/>
  <c r="AV140" i="16"/>
  <c r="AR137" i="4"/>
  <c r="N140" i="4"/>
  <c r="AR136" i="4"/>
  <c r="AC140" i="4"/>
  <c r="N136" i="4"/>
  <c r="N137" i="4"/>
  <c r="S135" i="4"/>
  <c r="W135" i="4"/>
  <c r="AA135" i="4"/>
  <c r="U138" i="4"/>
  <c r="Y135" i="4"/>
  <c r="S138" i="4"/>
  <c r="W138" i="4"/>
  <c r="AA138" i="4"/>
  <c r="C138" i="4"/>
  <c r="G138" i="4"/>
  <c r="Z48" i="43"/>
  <c r="T135" i="4"/>
  <c r="X135" i="4"/>
  <c r="AB135" i="4"/>
  <c r="E135" i="4"/>
  <c r="I135" i="4"/>
  <c r="I141" i="4" s="1"/>
  <c r="M135" i="4"/>
  <c r="G135" i="4"/>
  <c r="G141" i="4" s="1"/>
  <c r="E138" i="4"/>
  <c r="M138" i="4"/>
  <c r="X138" i="4"/>
  <c r="X141" i="4" s="1"/>
  <c r="AI138" i="4"/>
  <c r="AM138" i="4"/>
  <c r="I138" i="4"/>
  <c r="T138" i="4"/>
  <c r="AB138" i="4"/>
  <c r="AQ138" i="4"/>
  <c r="N10" i="4"/>
  <c r="N139" i="4"/>
  <c r="AC11" i="4"/>
  <c r="AC139" i="4"/>
  <c r="U42" i="43"/>
  <c r="AL16" i="4"/>
  <c r="F135" i="4"/>
  <c r="J135" i="4"/>
  <c r="AI135" i="4"/>
  <c r="AM135" i="4"/>
  <c r="AQ135" i="4"/>
  <c r="AR139" i="4"/>
  <c r="AR140" i="4"/>
  <c r="C135" i="4"/>
  <c r="K135" i="4"/>
  <c r="U135" i="4"/>
  <c r="Q135" i="4"/>
  <c r="Q138" i="4"/>
  <c r="Y138" i="4"/>
  <c r="N5" i="4"/>
  <c r="N135" i="4" s="1"/>
  <c r="AC6" i="4"/>
  <c r="AC135" i="4" s="1"/>
  <c r="AR7" i="4"/>
  <c r="AR135" i="4" s="1"/>
  <c r="N9" i="4"/>
  <c r="AC10" i="4"/>
  <c r="AR11" i="4"/>
  <c r="N13" i="4"/>
  <c r="AC14" i="4"/>
  <c r="AR15" i="4"/>
  <c r="K138" i="4"/>
  <c r="T16" i="4"/>
  <c r="T17" i="4" s="1"/>
  <c r="N32" i="4"/>
  <c r="C36" i="43"/>
  <c r="CG36" i="43" s="1"/>
  <c r="AC32" i="4"/>
  <c r="L36" i="43"/>
  <c r="CM36" i="43" s="1"/>
  <c r="AF16" i="4"/>
  <c r="U36" i="43"/>
  <c r="N48" i="4"/>
  <c r="D36" i="43"/>
  <c r="CF36" i="43" s="1"/>
  <c r="AC48" i="4"/>
  <c r="AR48" i="4"/>
  <c r="V36" i="43"/>
  <c r="N64" i="4"/>
  <c r="E36" i="43"/>
  <c r="AC64" i="4"/>
  <c r="N36" i="43"/>
  <c r="CN36" i="43" s="1"/>
  <c r="AR64" i="4"/>
  <c r="W36" i="43"/>
  <c r="N80" i="4"/>
  <c r="F36" i="43"/>
  <c r="AC80" i="4"/>
  <c r="O36" i="43"/>
  <c r="CO36" i="43" s="1"/>
  <c r="M36" i="43"/>
  <c r="AR80" i="4"/>
  <c r="X36" i="43"/>
  <c r="N96" i="4"/>
  <c r="G36" i="43"/>
  <c r="G48" i="43" s="1"/>
  <c r="G70" i="43" s="1"/>
  <c r="AC96" i="4"/>
  <c r="P36" i="43"/>
  <c r="AR96" i="4"/>
  <c r="Y36" i="43"/>
  <c r="N112" i="4"/>
  <c r="H36" i="43"/>
  <c r="H48" i="43" s="1"/>
  <c r="H70" i="43" s="1"/>
  <c r="AC112" i="4"/>
  <c r="Q36" i="43"/>
  <c r="X16" i="4"/>
  <c r="X17" i="4" s="1"/>
  <c r="F118" i="4"/>
  <c r="F119" i="4"/>
  <c r="F120" i="4"/>
  <c r="F121" i="4"/>
  <c r="F122" i="4"/>
  <c r="F123" i="4"/>
  <c r="F124" i="4"/>
  <c r="F125" i="4"/>
  <c r="F126" i="4"/>
  <c r="F127" i="4"/>
  <c r="F128" i="4"/>
  <c r="F129" i="4"/>
  <c r="D130" i="4"/>
  <c r="AC136" i="4"/>
  <c r="AU137" i="4"/>
  <c r="AV139" i="4"/>
  <c r="C44" i="43"/>
  <c r="J16" i="4"/>
  <c r="U16" i="4"/>
  <c r="U17" i="4" s="1"/>
  <c r="L40" i="43"/>
  <c r="CM40" i="43" s="1"/>
  <c r="CS40" i="43" s="1"/>
  <c r="H19" i="75" s="1"/>
  <c r="Y16" i="4"/>
  <c r="Y17" i="4" s="1"/>
  <c r="L44" i="43"/>
  <c r="CM44" i="43" s="1"/>
  <c r="AJ16" i="4"/>
  <c r="U40" i="43"/>
  <c r="AN16" i="4"/>
  <c r="U44" i="43"/>
  <c r="I40" i="43"/>
  <c r="AJ135" i="4"/>
  <c r="AN135" i="4"/>
  <c r="B135" i="4"/>
  <c r="B138" i="4"/>
  <c r="F138" i="4"/>
  <c r="J138" i="4"/>
  <c r="AF138" i="4"/>
  <c r="AJ138" i="4"/>
  <c r="AN138" i="4"/>
  <c r="D135" i="4"/>
  <c r="H135" i="4"/>
  <c r="L135" i="4"/>
  <c r="R135" i="4"/>
  <c r="V135" i="4"/>
  <c r="Z135" i="4"/>
  <c r="AG135" i="4"/>
  <c r="AK135" i="4"/>
  <c r="AO135" i="4"/>
  <c r="AF135" i="4"/>
  <c r="R138" i="4"/>
  <c r="V138" i="4"/>
  <c r="Z138" i="4"/>
  <c r="AG138" i="4"/>
  <c r="AK138" i="4"/>
  <c r="AO138" i="4"/>
  <c r="F16" i="4"/>
  <c r="D16" i="4"/>
  <c r="C38" i="43"/>
  <c r="H16" i="4"/>
  <c r="C42" i="43"/>
  <c r="L16" i="4"/>
  <c r="C46" i="43"/>
  <c r="U38" i="43"/>
  <c r="AH16" i="4"/>
  <c r="S16" i="4"/>
  <c r="S17" i="4" s="1"/>
  <c r="M38" i="43"/>
  <c r="CL38" i="43" s="1"/>
  <c r="CR38" i="43" s="1"/>
  <c r="H6" i="75" s="1"/>
  <c r="W16" i="4"/>
  <c r="W17" i="4" s="1"/>
  <c r="M42" i="43"/>
  <c r="CL42" i="43" s="1"/>
  <c r="CP42" i="43" s="1"/>
  <c r="AA16" i="4"/>
  <c r="AA17" i="4" s="1"/>
  <c r="M46" i="43"/>
  <c r="CL46" i="43" s="1"/>
  <c r="CP46" i="43" s="1"/>
  <c r="W48" i="43"/>
  <c r="X48" i="43"/>
  <c r="Y48" i="43"/>
  <c r="AH135" i="4"/>
  <c r="AL135" i="4"/>
  <c r="AP135" i="4"/>
  <c r="D138" i="4"/>
  <c r="H138" i="4"/>
  <c r="L138" i="4"/>
  <c r="AH138" i="4"/>
  <c r="AL138" i="4"/>
  <c r="AP138" i="4"/>
  <c r="AP16" i="4"/>
  <c r="AI16" i="4"/>
  <c r="U39" i="43"/>
  <c r="AM16" i="4"/>
  <c r="U43" i="43"/>
  <c r="AQ16" i="4"/>
  <c r="U47" i="43"/>
  <c r="E16" i="4"/>
  <c r="D39" i="43"/>
  <c r="I16" i="4"/>
  <c r="D43" i="43"/>
  <c r="M16" i="4"/>
  <c r="D47" i="43"/>
  <c r="R39" i="43"/>
  <c r="CC39" i="43" s="1"/>
  <c r="R43" i="43"/>
  <c r="R47" i="43"/>
  <c r="AW139" i="4"/>
  <c r="AV140" i="4"/>
  <c r="AR112" i="4"/>
  <c r="AU136" i="4"/>
  <c r="AW136" i="4"/>
  <c r="AU140" i="4"/>
  <c r="AW140" i="4"/>
  <c r="C16" i="4"/>
  <c r="C37" i="43"/>
  <c r="CG37" i="43" s="1"/>
  <c r="G16" i="4"/>
  <c r="C41" i="43"/>
  <c r="K16" i="4"/>
  <c r="C45" i="43"/>
  <c r="R16" i="4"/>
  <c r="R17" i="4" s="1"/>
  <c r="L37" i="43"/>
  <c r="CM37" i="43" s="1"/>
  <c r="V16" i="4"/>
  <c r="V17" i="4" s="1"/>
  <c r="L41" i="43"/>
  <c r="CM41" i="43" s="1"/>
  <c r="Z16" i="4"/>
  <c r="Z17" i="4" s="1"/>
  <c r="L45" i="43"/>
  <c r="CM45" i="43" s="1"/>
  <c r="CP45" i="43" s="1"/>
  <c r="AG16" i="4"/>
  <c r="V37" i="43"/>
  <c r="AK16" i="4"/>
  <c r="V41" i="43"/>
  <c r="AO16" i="4"/>
  <c r="V45" i="43"/>
  <c r="B130" i="4"/>
  <c r="AW137" i="4"/>
  <c r="G126" i="5"/>
  <c r="AU136" i="5"/>
  <c r="AW136" i="5"/>
  <c r="AM141" i="4"/>
  <c r="AR32" i="16"/>
  <c r="AC32" i="16"/>
  <c r="Q16" i="4"/>
  <c r="Q17" i="4" s="1"/>
  <c r="AR32" i="4"/>
  <c r="BY71" i="43" l="1"/>
  <c r="O12" i="16"/>
  <c r="F46" i="76" s="1"/>
  <c r="F47" i="76" s="1"/>
  <c r="G97" i="76"/>
  <c r="G98" i="76" s="1"/>
  <c r="G99" i="76" s="1"/>
  <c r="I23" i="76"/>
  <c r="I61" i="76"/>
  <c r="I62" i="76" s="1"/>
  <c r="I59" i="76"/>
  <c r="I127" i="76"/>
  <c r="I128" i="76" s="1"/>
  <c r="F99" i="76"/>
  <c r="F114" i="76" s="1"/>
  <c r="H98" i="76"/>
  <c r="H99" i="76" s="1"/>
  <c r="H114" i="76" s="1"/>
  <c r="H115" i="76" s="1"/>
  <c r="X141" i="16"/>
  <c r="O6" i="16"/>
  <c r="F42" i="76" s="1"/>
  <c r="F43" i="76" s="1"/>
  <c r="O9" i="16"/>
  <c r="F44" i="76" s="1"/>
  <c r="F45" i="76" s="1"/>
  <c r="CS63" i="43"/>
  <c r="CP41" i="43"/>
  <c r="I45" i="43"/>
  <c r="CG45" i="43"/>
  <c r="CS37" i="43"/>
  <c r="H67" i="75" s="1"/>
  <c r="G67" i="75"/>
  <c r="G70" i="75" s="1"/>
  <c r="I47" i="43"/>
  <c r="CC47" i="43" s="1"/>
  <c r="CF47" i="43"/>
  <c r="I39" i="43"/>
  <c r="CF39" i="43"/>
  <c r="F48" i="43"/>
  <c r="F70" i="43" s="1"/>
  <c r="CI36" i="43"/>
  <c r="CP37" i="43"/>
  <c r="CP40" i="43"/>
  <c r="CV40" i="43" s="1"/>
  <c r="G22" i="75"/>
  <c r="H22" i="75" s="1"/>
  <c r="I41" i="43"/>
  <c r="CG41" i="43"/>
  <c r="I43" i="43"/>
  <c r="CC43" i="43" s="1"/>
  <c r="CF43" i="43"/>
  <c r="E48" i="43"/>
  <c r="E70" i="43" s="1"/>
  <c r="CH36" i="43"/>
  <c r="CV37" i="43"/>
  <c r="CP44" i="43"/>
  <c r="I42" i="43"/>
  <c r="CG42" i="43"/>
  <c r="I44" i="43"/>
  <c r="CG44" i="43"/>
  <c r="CF48" i="43"/>
  <c r="CR36" i="43"/>
  <c r="CP59" i="43"/>
  <c r="CP38" i="43"/>
  <c r="I46" i="43"/>
  <c r="CG46" i="43"/>
  <c r="I38" i="43"/>
  <c r="CG38" i="43"/>
  <c r="CG48" i="43" s="1"/>
  <c r="F77" i="43"/>
  <c r="BX36" i="43"/>
  <c r="CL36" i="43"/>
  <c r="CP36" i="43" s="1"/>
  <c r="CS36" i="43"/>
  <c r="CP57" i="43"/>
  <c r="F78" i="43"/>
  <c r="CO52" i="43"/>
  <c r="CP55" i="43"/>
  <c r="CP39" i="43"/>
  <c r="I61" i="43"/>
  <c r="CG61" i="43"/>
  <c r="K49" i="75" s="1"/>
  <c r="K52" i="75" s="1"/>
  <c r="CS53" i="43"/>
  <c r="I60" i="43"/>
  <c r="CG60" i="43"/>
  <c r="CJ53" i="43"/>
  <c r="CV53" i="43" s="1"/>
  <c r="I59" i="43"/>
  <c r="CF59" i="43"/>
  <c r="BX58" i="43"/>
  <c r="CL58" i="43"/>
  <c r="CP58" i="43" s="1"/>
  <c r="I62" i="43"/>
  <c r="CG62" i="43"/>
  <c r="I54" i="43"/>
  <c r="CG54" i="43"/>
  <c r="CP60" i="43"/>
  <c r="CV56" i="43"/>
  <c r="BY64" i="43"/>
  <c r="CN64" i="43"/>
  <c r="CT64" i="43" s="1"/>
  <c r="BW53" i="43"/>
  <c r="CM53" i="43"/>
  <c r="CP53" i="43" s="1"/>
  <c r="I57" i="43"/>
  <c r="CG57" i="43"/>
  <c r="K25" i="75" s="1"/>
  <c r="K28" i="75" s="1"/>
  <c r="BX52" i="43"/>
  <c r="CL52" i="43"/>
  <c r="F64" i="43"/>
  <c r="F71" i="43" s="1"/>
  <c r="CI52" i="43"/>
  <c r="BW52" i="43"/>
  <c r="CM52" i="43"/>
  <c r="I63" i="43"/>
  <c r="CF63" i="43"/>
  <c r="I55" i="43"/>
  <c r="CF55" i="43"/>
  <c r="CP62" i="43"/>
  <c r="CP54" i="43"/>
  <c r="I58" i="43"/>
  <c r="CG58" i="43"/>
  <c r="K31" i="75" s="1"/>
  <c r="K34" i="75" s="1"/>
  <c r="CP61" i="43"/>
  <c r="R57" i="43"/>
  <c r="BU57" i="43" s="1"/>
  <c r="BW57" i="43"/>
  <c r="R56" i="43"/>
  <c r="BW56" i="43"/>
  <c r="P64" i="43"/>
  <c r="CA52" i="43"/>
  <c r="R55" i="43"/>
  <c r="CC55" i="43" s="1"/>
  <c r="BW55" i="43"/>
  <c r="AA141" i="16"/>
  <c r="AV141" i="16"/>
  <c r="AV138" i="16"/>
  <c r="AW138" i="16"/>
  <c r="BW62" i="43"/>
  <c r="O64" i="43"/>
  <c r="O71" i="43" s="1"/>
  <c r="BZ52" i="43"/>
  <c r="R63" i="43"/>
  <c r="BU63" i="43" s="1"/>
  <c r="BW63" i="43"/>
  <c r="R61" i="43"/>
  <c r="BW61" i="43"/>
  <c r="R62" i="43"/>
  <c r="BU62" i="43" s="1"/>
  <c r="BX62" i="43"/>
  <c r="R54" i="43"/>
  <c r="BU54" i="43" s="1"/>
  <c r="BX54" i="43"/>
  <c r="R60" i="43"/>
  <c r="BW60" i="43"/>
  <c r="Q64" i="43"/>
  <c r="CB52" i="43"/>
  <c r="R59" i="43"/>
  <c r="BU59" i="43" s="1"/>
  <c r="BW59" i="43"/>
  <c r="BW58" i="43"/>
  <c r="R46" i="43"/>
  <c r="CC46" i="43" s="1"/>
  <c r="BX46" i="43"/>
  <c r="R38" i="43"/>
  <c r="BX38" i="43"/>
  <c r="Q48" i="43"/>
  <c r="CB36" i="43"/>
  <c r="R45" i="43"/>
  <c r="BW45" i="43"/>
  <c r="R37" i="43"/>
  <c r="CC37" i="43" s="1"/>
  <c r="BW37" i="43"/>
  <c r="R44" i="43"/>
  <c r="CC44" i="43" s="1"/>
  <c r="BW44" i="43"/>
  <c r="O48" i="43"/>
  <c r="BZ36" i="43"/>
  <c r="AA141" i="4"/>
  <c r="R42" i="43"/>
  <c r="BX42" i="43"/>
  <c r="P48" i="43"/>
  <c r="CA36" i="43"/>
  <c r="AQ141" i="4"/>
  <c r="AB141" i="4"/>
  <c r="R41" i="43"/>
  <c r="CC41" i="43" s="1"/>
  <c r="BW41" i="43"/>
  <c r="R40" i="43"/>
  <c r="CC40" i="43" s="1"/>
  <c r="BW40" i="43"/>
  <c r="N48" i="43"/>
  <c r="BY36" i="43"/>
  <c r="AR138" i="4"/>
  <c r="BX43" i="43"/>
  <c r="BW46" i="43"/>
  <c r="BW36" i="43"/>
  <c r="AA37" i="43"/>
  <c r="AA63" i="43"/>
  <c r="AA55" i="43"/>
  <c r="AA56" i="43"/>
  <c r="AA45" i="43"/>
  <c r="AA43" i="43"/>
  <c r="AA40" i="43"/>
  <c r="AA57" i="43"/>
  <c r="AA62" i="43"/>
  <c r="AA42" i="43"/>
  <c r="AA59" i="43"/>
  <c r="AA60" i="43"/>
  <c r="AA47" i="43"/>
  <c r="AA39" i="43"/>
  <c r="AA44" i="43"/>
  <c r="AA61" i="43"/>
  <c r="AA53" i="43"/>
  <c r="S141" i="16"/>
  <c r="N16" i="16"/>
  <c r="AB141" i="16"/>
  <c r="AR138" i="16"/>
  <c r="AC135" i="16"/>
  <c r="AN141" i="16"/>
  <c r="W141" i="16"/>
  <c r="J141" i="16"/>
  <c r="M141" i="16"/>
  <c r="AW135" i="16"/>
  <c r="T141" i="16"/>
  <c r="N135" i="16"/>
  <c r="AC16" i="16"/>
  <c r="AV135" i="16"/>
  <c r="AJ141" i="16"/>
  <c r="F141" i="16"/>
  <c r="I52" i="43"/>
  <c r="N138" i="16"/>
  <c r="AR135" i="16"/>
  <c r="I141" i="16"/>
  <c r="AI141" i="16"/>
  <c r="U141" i="16"/>
  <c r="AU135" i="16"/>
  <c r="AC138" i="16"/>
  <c r="M64" i="43"/>
  <c r="M71" i="43" s="1"/>
  <c r="E141" i="16"/>
  <c r="AM141" i="16"/>
  <c r="AH141" i="16"/>
  <c r="R52" i="43"/>
  <c r="CC52" i="43" s="1"/>
  <c r="AQ141" i="16"/>
  <c r="AA52" i="43"/>
  <c r="R58" i="43"/>
  <c r="D64" i="43"/>
  <c r="D71" i="43" s="1"/>
  <c r="U64" i="43"/>
  <c r="AA54" i="43"/>
  <c r="AG141" i="16"/>
  <c r="AR16" i="16"/>
  <c r="L64" i="43"/>
  <c r="L71" i="43" s="1"/>
  <c r="R53" i="43"/>
  <c r="CC53" i="43" s="1"/>
  <c r="B141" i="16"/>
  <c r="AU138" i="16"/>
  <c r="Q141" i="16"/>
  <c r="C141" i="16"/>
  <c r="Z141" i="16"/>
  <c r="V64" i="43"/>
  <c r="AF141" i="16"/>
  <c r="AO141" i="16"/>
  <c r="V141" i="16"/>
  <c r="G141" i="16"/>
  <c r="I53" i="43"/>
  <c r="C64" i="43"/>
  <c r="C71" i="43" s="1"/>
  <c r="Y141" i="16"/>
  <c r="K141" i="16"/>
  <c r="AK141" i="16"/>
  <c r="R141" i="16"/>
  <c r="H141" i="4"/>
  <c r="AI141" i="4"/>
  <c r="AP141" i="4"/>
  <c r="N138" i="4"/>
  <c r="N141" i="4" s="1"/>
  <c r="M141" i="4"/>
  <c r="T141" i="4"/>
  <c r="C141" i="4"/>
  <c r="W141" i="4"/>
  <c r="U141" i="4"/>
  <c r="E141" i="4"/>
  <c r="AV138" i="4"/>
  <c r="Y141" i="4"/>
  <c r="K141" i="4"/>
  <c r="AW135" i="4"/>
  <c r="S141" i="4"/>
  <c r="AF141" i="4"/>
  <c r="Z141" i="4"/>
  <c r="Q141" i="4"/>
  <c r="F130" i="4"/>
  <c r="J141" i="4"/>
  <c r="AR16" i="4"/>
  <c r="AU138" i="4"/>
  <c r="AG141" i="4"/>
  <c r="L141" i="4"/>
  <c r="F141" i="4"/>
  <c r="AJ141" i="4"/>
  <c r="R36" i="43"/>
  <c r="AW141" i="4"/>
  <c r="AC16" i="4"/>
  <c r="AC17" i="4" s="1"/>
  <c r="AA36" i="43"/>
  <c r="I36" i="43"/>
  <c r="CC36" i="43" s="1"/>
  <c r="AC138" i="4"/>
  <c r="AC141" i="4" s="1"/>
  <c r="R141" i="4"/>
  <c r="AN141" i="4"/>
  <c r="N16" i="4"/>
  <c r="AW138" i="4"/>
  <c r="V48" i="43"/>
  <c r="M48" i="43"/>
  <c r="D48" i="43"/>
  <c r="D70" i="43" s="1"/>
  <c r="AK141" i="4"/>
  <c r="AU141" i="4" s="1"/>
  <c r="AU135" i="4"/>
  <c r="L48" i="43"/>
  <c r="AL141" i="4"/>
  <c r="AR141" i="4"/>
  <c r="AV135" i="4"/>
  <c r="AA41" i="43"/>
  <c r="I37" i="43"/>
  <c r="C48" i="43"/>
  <c r="AH141" i="4"/>
  <c r="U48" i="43"/>
  <c r="AA38" i="43"/>
  <c r="AO141" i="4"/>
  <c r="V141" i="4"/>
  <c r="D141" i="4"/>
  <c r="B141" i="4"/>
  <c r="AQ140" i="14"/>
  <c r="AP140" i="14"/>
  <c r="AO140" i="14"/>
  <c r="AN140" i="14"/>
  <c r="AM140" i="14"/>
  <c r="AL140" i="14"/>
  <c r="AK140" i="14"/>
  <c r="AJ140" i="14"/>
  <c r="AI140" i="14"/>
  <c r="AH140" i="14"/>
  <c r="AG140" i="14"/>
  <c r="AF140" i="14"/>
  <c r="AQ139" i="14"/>
  <c r="AP139" i="14"/>
  <c r="AO139" i="14"/>
  <c r="AN139" i="14"/>
  <c r="AM139" i="14"/>
  <c r="AL139" i="14"/>
  <c r="AK139" i="14"/>
  <c r="AJ139" i="14"/>
  <c r="AI139" i="14"/>
  <c r="AH139" i="14"/>
  <c r="AG139" i="14"/>
  <c r="AF139" i="14"/>
  <c r="AQ137" i="14"/>
  <c r="AP137" i="14"/>
  <c r="AO137" i="14"/>
  <c r="AN137" i="14"/>
  <c r="AM137" i="14"/>
  <c r="AL137" i="14"/>
  <c r="AK137" i="14"/>
  <c r="AJ137" i="14"/>
  <c r="AI137" i="14"/>
  <c r="AH137" i="14"/>
  <c r="AG137" i="14"/>
  <c r="AF137" i="14"/>
  <c r="AQ136" i="14"/>
  <c r="AP136" i="14"/>
  <c r="AO136" i="14"/>
  <c r="AN136" i="14"/>
  <c r="AM136" i="14"/>
  <c r="AL136" i="14"/>
  <c r="AK136" i="14"/>
  <c r="AJ136" i="14"/>
  <c r="AI136" i="14"/>
  <c r="AH136" i="14"/>
  <c r="AG136" i="14"/>
  <c r="AF136" i="14"/>
  <c r="AB140" i="14"/>
  <c r="AA140" i="14"/>
  <c r="Z140" i="14"/>
  <c r="Y140" i="14"/>
  <c r="X140" i="14"/>
  <c r="W140" i="14"/>
  <c r="V140" i="14"/>
  <c r="U140" i="14"/>
  <c r="T140" i="14"/>
  <c r="S140" i="14"/>
  <c r="R140" i="14"/>
  <c r="Q140" i="14"/>
  <c r="AB139" i="14"/>
  <c r="AA139" i="14"/>
  <c r="Z139" i="14"/>
  <c r="Y139" i="14"/>
  <c r="X139" i="14"/>
  <c r="W139" i="14"/>
  <c r="V139" i="14"/>
  <c r="U139" i="14"/>
  <c r="T139" i="14"/>
  <c r="S139" i="14"/>
  <c r="R139" i="14"/>
  <c r="Q139" i="14"/>
  <c r="AB137" i="14"/>
  <c r="AA137" i="14"/>
  <c r="Z137" i="14"/>
  <c r="Y137" i="14"/>
  <c r="X137" i="14"/>
  <c r="W137" i="14"/>
  <c r="V137" i="14"/>
  <c r="U137" i="14"/>
  <c r="T137" i="14"/>
  <c r="S137" i="14"/>
  <c r="R137" i="14"/>
  <c r="Q137" i="14"/>
  <c r="AB136" i="14"/>
  <c r="AA136" i="14"/>
  <c r="Z136" i="14"/>
  <c r="Y136" i="14"/>
  <c r="X136" i="14"/>
  <c r="W136" i="14"/>
  <c r="V136" i="14"/>
  <c r="U136" i="14"/>
  <c r="T136" i="14"/>
  <c r="S136" i="14"/>
  <c r="R136" i="14"/>
  <c r="Q136" i="14"/>
  <c r="K72" i="75" l="1"/>
  <c r="F144" i="76"/>
  <c r="F146" i="76" s="1"/>
  <c r="F115" i="76"/>
  <c r="G114" i="76"/>
  <c r="G100" i="76"/>
  <c r="F80" i="76"/>
  <c r="CC60" i="43"/>
  <c r="BU60" i="43"/>
  <c r="CC61" i="43"/>
  <c r="BU61" i="43"/>
  <c r="AC141" i="16"/>
  <c r="CC58" i="43"/>
  <c r="BU58" i="43"/>
  <c r="CC56" i="43"/>
  <c r="BU56" i="43"/>
  <c r="AW141" i="16"/>
  <c r="H70" i="75"/>
  <c r="L70" i="43"/>
  <c r="CM48" i="43"/>
  <c r="CS48" i="43" s="1"/>
  <c r="BY48" i="43"/>
  <c r="N70" i="43"/>
  <c r="BY70" i="43" s="1"/>
  <c r="CN48" i="43"/>
  <c r="CA48" i="43"/>
  <c r="P70" i="43"/>
  <c r="CB48" i="43"/>
  <c r="Q70" i="43"/>
  <c r="CB70" i="43" s="1"/>
  <c r="CT36" i="43"/>
  <c r="CH48" i="43"/>
  <c r="G12" i="75"/>
  <c r="G16" i="75" s="1"/>
  <c r="H16" i="75" s="1"/>
  <c r="CR39" i="43"/>
  <c r="H12" i="75" s="1"/>
  <c r="CJ39" i="43"/>
  <c r="CV39" i="43" s="1"/>
  <c r="BW48" i="43"/>
  <c r="C70" i="43"/>
  <c r="I71" i="43"/>
  <c r="C78" i="43"/>
  <c r="CC42" i="43"/>
  <c r="CC54" i="43"/>
  <c r="D78" i="43"/>
  <c r="F78" i="76" s="1"/>
  <c r="BW71" i="43"/>
  <c r="CC45" i="43"/>
  <c r="CC38" i="43"/>
  <c r="CA64" i="43"/>
  <c r="P71" i="43"/>
  <c r="CJ36" i="43"/>
  <c r="G36" i="75"/>
  <c r="G40" i="75" s="1"/>
  <c r="CR43" i="43"/>
  <c r="H36" i="75" s="1"/>
  <c r="CJ43" i="43"/>
  <c r="CV43" i="43" s="1"/>
  <c r="CI48" i="43"/>
  <c r="CU48" i="43" s="1"/>
  <c r="CU36" i="43"/>
  <c r="CR47" i="43"/>
  <c r="H60" i="75" s="1"/>
  <c r="G60" i="75"/>
  <c r="G64" i="75" s="1"/>
  <c r="CJ47" i="43"/>
  <c r="CV47" i="43" s="1"/>
  <c r="G49" i="75"/>
  <c r="G52" i="75" s="1"/>
  <c r="CS45" i="43"/>
  <c r="H49" i="75" s="1"/>
  <c r="CJ45" i="43"/>
  <c r="CV45" i="43" s="1"/>
  <c r="M70" i="43"/>
  <c r="BX70" i="43" s="1"/>
  <c r="CL48" i="43"/>
  <c r="CP48" i="43" s="1"/>
  <c r="BX71" i="43"/>
  <c r="CS38" i="43"/>
  <c r="H7" i="75" s="1"/>
  <c r="G7" i="75"/>
  <c r="G10" i="75" s="1"/>
  <c r="CJ38" i="43"/>
  <c r="CV38" i="43" s="1"/>
  <c r="CS42" i="43"/>
  <c r="H31" i="75" s="1"/>
  <c r="G31" i="75"/>
  <c r="G34" i="75" s="1"/>
  <c r="CJ42" i="43"/>
  <c r="CV42" i="43" s="1"/>
  <c r="BZ48" i="43"/>
  <c r="O70" i="43"/>
  <c r="BZ70" i="43" s="1"/>
  <c r="CO48" i="43"/>
  <c r="CB64" i="43"/>
  <c r="Q71" i="43"/>
  <c r="CB71" i="43" s="1"/>
  <c r="BZ71" i="43"/>
  <c r="G55" i="75"/>
  <c r="G58" i="75" s="1"/>
  <c r="CS46" i="43"/>
  <c r="H55" i="75" s="1"/>
  <c r="CJ46" i="43"/>
  <c r="CV46" i="43" s="1"/>
  <c r="G43" i="75"/>
  <c r="G46" i="75" s="1"/>
  <c r="CS44" i="43"/>
  <c r="H43" i="75" s="1"/>
  <c r="CJ44" i="43"/>
  <c r="CV44" i="43" s="1"/>
  <c r="G25" i="75"/>
  <c r="G28" i="75" s="1"/>
  <c r="CS41" i="43"/>
  <c r="H25" i="75" s="1"/>
  <c r="CJ41" i="43"/>
  <c r="CV41" i="43" s="1"/>
  <c r="CJ59" i="43"/>
  <c r="CV59" i="43" s="1"/>
  <c r="CR59" i="43"/>
  <c r="BZ64" i="43"/>
  <c r="CO64" i="43"/>
  <c r="CJ63" i="43"/>
  <c r="CV63" i="43" s="1"/>
  <c r="CR63" i="43"/>
  <c r="CP52" i="43"/>
  <c r="BW64" i="43"/>
  <c r="CM64" i="43"/>
  <c r="CC57" i="43"/>
  <c r="CS54" i="43"/>
  <c r="CJ54" i="43"/>
  <c r="CV54" i="43" s="1"/>
  <c r="CS60" i="43"/>
  <c r="L43" i="75" s="1"/>
  <c r="L46" i="75" s="1"/>
  <c r="CJ60" i="43"/>
  <c r="CV60" i="43" s="1"/>
  <c r="CS61" i="43"/>
  <c r="L49" i="75" s="1"/>
  <c r="L52" i="75" s="1"/>
  <c r="CJ61" i="43"/>
  <c r="CV61" i="43" s="1"/>
  <c r="CS62" i="43"/>
  <c r="CJ62" i="43"/>
  <c r="CV62" i="43" s="1"/>
  <c r="BX64" i="43"/>
  <c r="CL64" i="43"/>
  <c r="CC59" i="43"/>
  <c r="CC62" i="43"/>
  <c r="CC63" i="43"/>
  <c r="CG64" i="43"/>
  <c r="CS58" i="43"/>
  <c r="L31" i="75" s="1"/>
  <c r="L34" i="75" s="1"/>
  <c r="CJ58" i="43"/>
  <c r="CV58" i="43" s="1"/>
  <c r="CR55" i="43"/>
  <c r="CJ55" i="43"/>
  <c r="CV55" i="43" s="1"/>
  <c r="CF64" i="43"/>
  <c r="CI64" i="43"/>
  <c r="CU52" i="43"/>
  <c r="CJ52" i="43"/>
  <c r="CS57" i="43"/>
  <c r="L25" i="75" s="1"/>
  <c r="L28" i="75" s="1"/>
  <c r="CJ57" i="43"/>
  <c r="CV57" i="43" s="1"/>
  <c r="R48" i="43"/>
  <c r="BX48" i="43"/>
  <c r="AR141" i="16"/>
  <c r="N141" i="16"/>
  <c r="I64" i="43"/>
  <c r="R64" i="43"/>
  <c r="AA64" i="43"/>
  <c r="AU141" i="16"/>
  <c r="AV141" i="4"/>
  <c r="I48" i="43"/>
  <c r="AA48" i="43"/>
  <c r="AQ112" i="5"/>
  <c r="AP112" i="5"/>
  <c r="Z30" i="43" s="1"/>
  <c r="AO112" i="5"/>
  <c r="Z29" i="43" s="1"/>
  <c r="AN112" i="5"/>
  <c r="Z28" i="43" s="1"/>
  <c r="AM112" i="5"/>
  <c r="Z27" i="43" s="1"/>
  <c r="AL112" i="5"/>
  <c r="Z26" i="43" s="1"/>
  <c r="AK112" i="5"/>
  <c r="Z25" i="43" s="1"/>
  <c r="AJ112" i="5"/>
  <c r="Z24" i="43" s="1"/>
  <c r="AI112" i="5"/>
  <c r="Z23" i="43" s="1"/>
  <c r="AH112" i="5"/>
  <c r="Z22" i="43" s="1"/>
  <c r="AG112" i="5"/>
  <c r="Z21" i="43" s="1"/>
  <c r="AF112" i="5"/>
  <c r="AB112" i="5"/>
  <c r="Q31" i="43" s="1"/>
  <c r="AA112" i="5"/>
  <c r="Q30" i="43" s="1"/>
  <c r="CB30" i="43" s="1"/>
  <c r="Z112" i="5"/>
  <c r="Q29" i="43" s="1"/>
  <c r="CB29" i="43" s="1"/>
  <c r="Y112" i="5"/>
  <c r="Q28" i="43" s="1"/>
  <c r="CB28" i="43" s="1"/>
  <c r="X112" i="5"/>
  <c r="Q27" i="43" s="1"/>
  <c r="CB27" i="43" s="1"/>
  <c r="W112" i="5"/>
  <c r="Q26" i="43" s="1"/>
  <c r="CB26" i="43" s="1"/>
  <c r="V112" i="5"/>
  <c r="Q25" i="43" s="1"/>
  <c r="U112" i="5"/>
  <c r="Q24" i="43" s="1"/>
  <c r="CB24" i="43" s="1"/>
  <c r="T112" i="5"/>
  <c r="Q23" i="43" s="1"/>
  <c r="S112" i="5"/>
  <c r="Q22" i="43" s="1"/>
  <c r="R112" i="5"/>
  <c r="Q21" i="43" s="1"/>
  <c r="CB21" i="43" s="1"/>
  <c r="Q112" i="5"/>
  <c r="M112" i="5"/>
  <c r="H31" i="43" s="1"/>
  <c r="L112" i="5"/>
  <c r="H30" i="43" s="1"/>
  <c r="K112" i="5"/>
  <c r="H29" i="43" s="1"/>
  <c r="J112" i="5"/>
  <c r="H28" i="43" s="1"/>
  <c r="I112" i="5"/>
  <c r="H27" i="43" s="1"/>
  <c r="H112" i="5"/>
  <c r="H26" i="43" s="1"/>
  <c r="G112" i="5"/>
  <c r="H25" i="43" s="1"/>
  <c r="F112" i="5"/>
  <c r="H24" i="43" s="1"/>
  <c r="E112" i="5"/>
  <c r="H23" i="43" s="1"/>
  <c r="D112" i="5"/>
  <c r="H22" i="43" s="1"/>
  <c r="C112" i="5"/>
  <c r="H21" i="43" s="1"/>
  <c r="B112" i="5"/>
  <c r="AR111" i="5"/>
  <c r="AC111" i="5"/>
  <c r="N111" i="5"/>
  <c r="AR110" i="5"/>
  <c r="AC110" i="5"/>
  <c r="N110" i="5"/>
  <c r="AR109" i="5"/>
  <c r="AC109" i="5"/>
  <c r="N109" i="5"/>
  <c r="AR108" i="5"/>
  <c r="AC108" i="5"/>
  <c r="N108" i="5"/>
  <c r="AR107" i="5"/>
  <c r="AC107" i="5"/>
  <c r="N107" i="5"/>
  <c r="AR106" i="5"/>
  <c r="AC106" i="5"/>
  <c r="N106" i="5"/>
  <c r="AR105" i="5"/>
  <c r="AC105" i="5"/>
  <c r="N105" i="5"/>
  <c r="AR104" i="5"/>
  <c r="AC104" i="5"/>
  <c r="N104" i="5"/>
  <c r="AR103" i="5"/>
  <c r="AC103" i="5"/>
  <c r="N103" i="5"/>
  <c r="AR102" i="5"/>
  <c r="AC102" i="5"/>
  <c r="N102" i="5"/>
  <c r="AR101" i="5"/>
  <c r="AC101" i="5"/>
  <c r="N101" i="5"/>
  <c r="AR100" i="5"/>
  <c r="AC100" i="5"/>
  <c r="N100" i="5"/>
  <c r="AQ96" i="5"/>
  <c r="Y31" i="43" s="1"/>
  <c r="AP96" i="5"/>
  <c r="Y30" i="43" s="1"/>
  <c r="AO96" i="5"/>
  <c r="Y29" i="43" s="1"/>
  <c r="AN96" i="5"/>
  <c r="Y28" i="43" s="1"/>
  <c r="AM96" i="5"/>
  <c r="Y27" i="43" s="1"/>
  <c r="AL96" i="5"/>
  <c r="Y26" i="43" s="1"/>
  <c r="AK96" i="5"/>
  <c r="Y25" i="43" s="1"/>
  <c r="AJ96" i="5"/>
  <c r="Y24" i="43" s="1"/>
  <c r="AI96" i="5"/>
  <c r="Y23" i="43" s="1"/>
  <c r="AH96" i="5"/>
  <c r="Y22" i="43" s="1"/>
  <c r="AG96" i="5"/>
  <c r="Y21" i="43" s="1"/>
  <c r="AF96" i="5"/>
  <c r="AB96" i="5"/>
  <c r="P31" i="43" s="1"/>
  <c r="CA31" i="43" s="1"/>
  <c r="AA96" i="5"/>
  <c r="P30" i="43" s="1"/>
  <c r="CA30" i="43" s="1"/>
  <c r="Z96" i="5"/>
  <c r="P29" i="43" s="1"/>
  <c r="CA29" i="43" s="1"/>
  <c r="Y96" i="5"/>
  <c r="P28" i="43" s="1"/>
  <c r="CA28" i="43" s="1"/>
  <c r="X96" i="5"/>
  <c r="P27" i="43" s="1"/>
  <c r="CA27" i="43" s="1"/>
  <c r="W96" i="5"/>
  <c r="P26" i="43" s="1"/>
  <c r="CA26" i="43" s="1"/>
  <c r="V96" i="5"/>
  <c r="P25" i="43" s="1"/>
  <c r="CA25" i="43" s="1"/>
  <c r="U96" i="5"/>
  <c r="P24" i="43" s="1"/>
  <c r="CA24" i="43" s="1"/>
  <c r="T96" i="5"/>
  <c r="P23" i="43" s="1"/>
  <c r="CA23" i="43" s="1"/>
  <c r="S96" i="5"/>
  <c r="P22" i="43" s="1"/>
  <c r="CA22" i="43" s="1"/>
  <c r="R96" i="5"/>
  <c r="P21" i="43" s="1"/>
  <c r="CA21" i="43" s="1"/>
  <c r="Q96" i="5"/>
  <c r="M96" i="5"/>
  <c r="G31" i="43" s="1"/>
  <c r="L96" i="5"/>
  <c r="G30" i="43" s="1"/>
  <c r="K96" i="5"/>
  <c r="G29" i="43" s="1"/>
  <c r="J96" i="5"/>
  <c r="G28" i="43" s="1"/>
  <c r="I96" i="5"/>
  <c r="G27" i="43" s="1"/>
  <c r="H96" i="5"/>
  <c r="G26" i="43" s="1"/>
  <c r="G96" i="5"/>
  <c r="G25" i="43" s="1"/>
  <c r="F96" i="5"/>
  <c r="G24" i="43" s="1"/>
  <c r="E96" i="5"/>
  <c r="G23" i="43" s="1"/>
  <c r="D96" i="5"/>
  <c r="G22" i="43" s="1"/>
  <c r="C96" i="5"/>
  <c r="G21" i="43" s="1"/>
  <c r="B96" i="5"/>
  <c r="AR95" i="5"/>
  <c r="AC95" i="5"/>
  <c r="N95" i="5"/>
  <c r="AR94" i="5"/>
  <c r="AC94" i="5"/>
  <c r="N94" i="5"/>
  <c r="AR93" i="5"/>
  <c r="AC93" i="5"/>
  <c r="N93" i="5"/>
  <c r="AR92" i="5"/>
  <c r="AC92" i="5"/>
  <c r="N92" i="5"/>
  <c r="AR91" i="5"/>
  <c r="AC91" i="5"/>
  <c r="N91" i="5"/>
  <c r="AR90" i="5"/>
  <c r="AC90" i="5"/>
  <c r="N90" i="5"/>
  <c r="AR89" i="5"/>
  <c r="AC89" i="5"/>
  <c r="N89" i="5"/>
  <c r="AR88" i="5"/>
  <c r="AC88" i="5"/>
  <c r="N88" i="5"/>
  <c r="AR87" i="5"/>
  <c r="AC87" i="5"/>
  <c r="N87" i="5"/>
  <c r="AR86" i="5"/>
  <c r="AC86" i="5"/>
  <c r="N86" i="5"/>
  <c r="AR85" i="5"/>
  <c r="AC85" i="5"/>
  <c r="N85" i="5"/>
  <c r="AR84" i="5"/>
  <c r="AC84" i="5"/>
  <c r="N84" i="5"/>
  <c r="AQ80" i="5"/>
  <c r="X31" i="43" s="1"/>
  <c r="AP80" i="5"/>
  <c r="X30" i="43" s="1"/>
  <c r="AO80" i="5"/>
  <c r="X29" i="43" s="1"/>
  <c r="AN80" i="5"/>
  <c r="X28" i="43" s="1"/>
  <c r="AM80" i="5"/>
  <c r="X27" i="43" s="1"/>
  <c r="AL80" i="5"/>
  <c r="X26" i="43" s="1"/>
  <c r="AK80" i="5"/>
  <c r="X25" i="43" s="1"/>
  <c r="AJ80" i="5"/>
  <c r="X24" i="43" s="1"/>
  <c r="AI80" i="5"/>
  <c r="X23" i="43" s="1"/>
  <c r="AH80" i="5"/>
  <c r="X22" i="43" s="1"/>
  <c r="AG80" i="5"/>
  <c r="X21" i="43" s="1"/>
  <c r="AF80" i="5"/>
  <c r="AB80" i="5"/>
  <c r="O31" i="43" s="1"/>
  <c r="AA80" i="5"/>
  <c r="O30" i="43" s="1"/>
  <c r="Z80" i="5"/>
  <c r="O29" i="43" s="1"/>
  <c r="Y80" i="5"/>
  <c r="O28" i="43" s="1"/>
  <c r="X80" i="5"/>
  <c r="O27" i="43" s="1"/>
  <c r="W80" i="5"/>
  <c r="O26" i="43" s="1"/>
  <c r="V80" i="5"/>
  <c r="O25" i="43" s="1"/>
  <c r="U80" i="5"/>
  <c r="O24" i="43" s="1"/>
  <c r="T80" i="5"/>
  <c r="O23" i="43" s="1"/>
  <c r="S80" i="5"/>
  <c r="O22" i="43" s="1"/>
  <c r="R80" i="5"/>
  <c r="O21" i="43" s="1"/>
  <c r="Q80" i="5"/>
  <c r="M80" i="5"/>
  <c r="F31" i="43" s="1"/>
  <c r="CI31" i="43" s="1"/>
  <c r="L80" i="5"/>
  <c r="F30" i="43" s="1"/>
  <c r="CI30" i="43" s="1"/>
  <c r="K80" i="5"/>
  <c r="F29" i="43" s="1"/>
  <c r="CI29" i="43" s="1"/>
  <c r="J80" i="5"/>
  <c r="F28" i="43" s="1"/>
  <c r="CI28" i="43" s="1"/>
  <c r="I80" i="5"/>
  <c r="F27" i="43" s="1"/>
  <c r="CI27" i="43" s="1"/>
  <c r="H80" i="5"/>
  <c r="F26" i="43" s="1"/>
  <c r="CI26" i="43" s="1"/>
  <c r="G80" i="5"/>
  <c r="F25" i="43" s="1"/>
  <c r="CI25" i="43" s="1"/>
  <c r="F80" i="5"/>
  <c r="F24" i="43" s="1"/>
  <c r="CI24" i="43" s="1"/>
  <c r="E80" i="5"/>
  <c r="F23" i="43" s="1"/>
  <c r="CI23" i="43" s="1"/>
  <c r="D80" i="5"/>
  <c r="F22" i="43" s="1"/>
  <c r="CI22" i="43" s="1"/>
  <c r="C80" i="5"/>
  <c r="F21" i="43" s="1"/>
  <c r="CI21" i="43" s="1"/>
  <c r="B80" i="5"/>
  <c r="AR79" i="5"/>
  <c r="AC79" i="5"/>
  <c r="N79" i="5"/>
  <c r="AR78" i="5"/>
  <c r="AC78" i="5"/>
  <c r="N78" i="5"/>
  <c r="AR77" i="5"/>
  <c r="AC77" i="5"/>
  <c r="N77" i="5"/>
  <c r="AR76" i="5"/>
  <c r="AC76" i="5"/>
  <c r="N76" i="5"/>
  <c r="AR75" i="5"/>
  <c r="AC75" i="5"/>
  <c r="N75" i="5"/>
  <c r="AR74" i="5"/>
  <c r="AC74" i="5"/>
  <c r="N74" i="5"/>
  <c r="AR73" i="5"/>
  <c r="AC73" i="5"/>
  <c r="N73" i="5"/>
  <c r="AR72" i="5"/>
  <c r="AC72" i="5"/>
  <c r="N72" i="5"/>
  <c r="AR71" i="5"/>
  <c r="AC71" i="5"/>
  <c r="N71" i="5"/>
  <c r="AR70" i="5"/>
  <c r="AC70" i="5"/>
  <c r="N70" i="5"/>
  <c r="AR69" i="5"/>
  <c r="AC69" i="5"/>
  <c r="N69" i="5"/>
  <c r="AR68" i="5"/>
  <c r="AC68" i="5"/>
  <c r="N68" i="5"/>
  <c r="AQ64" i="5"/>
  <c r="W31" i="43" s="1"/>
  <c r="AP64" i="5"/>
  <c r="W30" i="43" s="1"/>
  <c r="AO64" i="5"/>
  <c r="W29" i="43" s="1"/>
  <c r="AN64" i="5"/>
  <c r="W28" i="43" s="1"/>
  <c r="AM64" i="5"/>
  <c r="W27" i="43" s="1"/>
  <c r="AL64" i="5"/>
  <c r="W26" i="43" s="1"/>
  <c r="AK64" i="5"/>
  <c r="W25" i="43" s="1"/>
  <c r="AJ64" i="5"/>
  <c r="W24" i="43" s="1"/>
  <c r="AI64" i="5"/>
  <c r="W23" i="43" s="1"/>
  <c r="AH64" i="5"/>
  <c r="W22" i="43" s="1"/>
  <c r="AG64" i="5"/>
  <c r="W21" i="43" s="1"/>
  <c r="AF64" i="5"/>
  <c r="AB64" i="5"/>
  <c r="N31" i="43" s="1"/>
  <c r="AA64" i="5"/>
  <c r="N30" i="43" s="1"/>
  <c r="CN30" i="43" s="1"/>
  <c r="Z64" i="5"/>
  <c r="N29" i="43" s="1"/>
  <c r="Y64" i="5"/>
  <c r="N28" i="43" s="1"/>
  <c r="X64" i="5"/>
  <c r="N27" i="43" s="1"/>
  <c r="CN27" i="43" s="1"/>
  <c r="W64" i="5"/>
  <c r="N26" i="43" s="1"/>
  <c r="CN26" i="43" s="1"/>
  <c r="V64" i="5"/>
  <c r="N25" i="43" s="1"/>
  <c r="CN25" i="43" s="1"/>
  <c r="U64" i="5"/>
  <c r="N24" i="43" s="1"/>
  <c r="CN24" i="43" s="1"/>
  <c r="T64" i="5"/>
  <c r="N23" i="43" s="1"/>
  <c r="S64" i="5"/>
  <c r="N22" i="43" s="1"/>
  <c r="CN22" i="43" s="1"/>
  <c r="R64" i="5"/>
  <c r="N21" i="43" s="1"/>
  <c r="Q64" i="5"/>
  <c r="M64" i="5"/>
  <c r="E31" i="43" s="1"/>
  <c r="CH31" i="43" s="1"/>
  <c r="L64" i="5"/>
  <c r="E30" i="43" s="1"/>
  <c r="CH30" i="43" s="1"/>
  <c r="K64" i="5"/>
  <c r="E29" i="43" s="1"/>
  <c r="CH29" i="43" s="1"/>
  <c r="J64" i="5"/>
  <c r="E28" i="43" s="1"/>
  <c r="CH28" i="43" s="1"/>
  <c r="I64" i="5"/>
  <c r="E27" i="43" s="1"/>
  <c r="CH27" i="43" s="1"/>
  <c r="H64" i="5"/>
  <c r="E26" i="43" s="1"/>
  <c r="CH26" i="43" s="1"/>
  <c r="G64" i="5"/>
  <c r="E25" i="43" s="1"/>
  <c r="CH25" i="43" s="1"/>
  <c r="F64" i="5"/>
  <c r="E24" i="43" s="1"/>
  <c r="CH24" i="43" s="1"/>
  <c r="E64" i="5"/>
  <c r="E23" i="43" s="1"/>
  <c r="CH23" i="43" s="1"/>
  <c r="D64" i="5"/>
  <c r="E22" i="43" s="1"/>
  <c r="CH22" i="43" s="1"/>
  <c r="C64" i="5"/>
  <c r="E21" i="43" s="1"/>
  <c r="CH21" i="43" s="1"/>
  <c r="B64" i="5"/>
  <c r="AR63" i="5"/>
  <c r="AC63" i="5"/>
  <c r="N63" i="5"/>
  <c r="AR62" i="5"/>
  <c r="AC62" i="5"/>
  <c r="N62" i="5"/>
  <c r="AR61" i="5"/>
  <c r="AC61" i="5"/>
  <c r="N61" i="5"/>
  <c r="AR60" i="5"/>
  <c r="AC60" i="5"/>
  <c r="N60" i="5"/>
  <c r="AR59" i="5"/>
  <c r="AC59" i="5"/>
  <c r="N59" i="5"/>
  <c r="AR58" i="5"/>
  <c r="AC58" i="5"/>
  <c r="N58" i="5"/>
  <c r="AR57" i="5"/>
  <c r="AC57" i="5"/>
  <c r="N57" i="5"/>
  <c r="AR56" i="5"/>
  <c r="AC56" i="5"/>
  <c r="N56" i="5"/>
  <c r="AR55" i="5"/>
  <c r="AC55" i="5"/>
  <c r="N55" i="5"/>
  <c r="AR54" i="5"/>
  <c r="AC54" i="5"/>
  <c r="N54" i="5"/>
  <c r="AR53" i="5"/>
  <c r="AC53" i="5"/>
  <c r="N53" i="5"/>
  <c r="AR52" i="5"/>
  <c r="AC52" i="5"/>
  <c r="N52" i="5"/>
  <c r="AQ48" i="5"/>
  <c r="V31" i="43" s="1"/>
  <c r="AP48" i="5"/>
  <c r="V30" i="43" s="1"/>
  <c r="AO48" i="5"/>
  <c r="V29" i="43" s="1"/>
  <c r="AN48" i="5"/>
  <c r="V28" i="43" s="1"/>
  <c r="AM48" i="5"/>
  <c r="V27" i="43" s="1"/>
  <c r="AL48" i="5"/>
  <c r="V26" i="43" s="1"/>
  <c r="AK48" i="5"/>
  <c r="V25" i="43" s="1"/>
  <c r="AJ48" i="5"/>
  <c r="V24" i="43" s="1"/>
  <c r="AI48" i="5"/>
  <c r="V23" i="43" s="1"/>
  <c r="AH48" i="5"/>
  <c r="V22" i="43" s="1"/>
  <c r="AG48" i="5"/>
  <c r="V21" i="43" s="1"/>
  <c r="AF48" i="5"/>
  <c r="AB48" i="5"/>
  <c r="M31" i="43" s="1"/>
  <c r="CL31" i="43" s="1"/>
  <c r="AA48" i="5"/>
  <c r="M30" i="43" s="1"/>
  <c r="CL30" i="43" s="1"/>
  <c r="Z48" i="5"/>
  <c r="M29" i="43" s="1"/>
  <c r="CL29" i="43" s="1"/>
  <c r="Y48" i="5"/>
  <c r="M28" i="43" s="1"/>
  <c r="CL28" i="43" s="1"/>
  <c r="X48" i="5"/>
  <c r="M27" i="43" s="1"/>
  <c r="W48" i="5"/>
  <c r="M26" i="43" s="1"/>
  <c r="V48" i="5"/>
  <c r="M25" i="43" s="1"/>
  <c r="CL25" i="43" s="1"/>
  <c r="U48" i="5"/>
  <c r="M24" i="43" s="1"/>
  <c r="CL24" i="43" s="1"/>
  <c r="T48" i="5"/>
  <c r="M23" i="43" s="1"/>
  <c r="S48" i="5"/>
  <c r="M22" i="43" s="1"/>
  <c r="R48" i="5"/>
  <c r="M21" i="43" s="1"/>
  <c r="Q48" i="5"/>
  <c r="M48" i="5"/>
  <c r="D31" i="43" s="1"/>
  <c r="CF31" i="43" s="1"/>
  <c r="L48" i="5"/>
  <c r="D30" i="43" s="1"/>
  <c r="CF30" i="43" s="1"/>
  <c r="K48" i="5"/>
  <c r="D29" i="43" s="1"/>
  <c r="CF29" i="43" s="1"/>
  <c r="J48" i="5"/>
  <c r="D28" i="43" s="1"/>
  <c r="CF28" i="43" s="1"/>
  <c r="I48" i="5"/>
  <c r="D27" i="43" s="1"/>
  <c r="CF27" i="43" s="1"/>
  <c r="H48" i="5"/>
  <c r="D26" i="43" s="1"/>
  <c r="CF26" i="43" s="1"/>
  <c r="G48" i="5"/>
  <c r="D25" i="43" s="1"/>
  <c r="CF25" i="43" s="1"/>
  <c r="F48" i="5"/>
  <c r="D24" i="43" s="1"/>
  <c r="CF24" i="43" s="1"/>
  <c r="E48" i="5"/>
  <c r="D23" i="43" s="1"/>
  <c r="CF23" i="43" s="1"/>
  <c r="D48" i="5"/>
  <c r="D22" i="43" s="1"/>
  <c r="CF22" i="43" s="1"/>
  <c r="C48" i="5"/>
  <c r="D21" i="43" s="1"/>
  <c r="CF21" i="43" s="1"/>
  <c r="B48" i="5"/>
  <c r="AR47" i="5"/>
  <c r="AC47" i="5"/>
  <c r="N47" i="5"/>
  <c r="AR46" i="5"/>
  <c r="AC46" i="5"/>
  <c r="N46" i="5"/>
  <c r="AR45" i="5"/>
  <c r="AC45" i="5"/>
  <c r="N45" i="5"/>
  <c r="AR44" i="5"/>
  <c r="AC44" i="5"/>
  <c r="N44" i="5"/>
  <c r="AR43" i="5"/>
  <c r="AC43" i="5"/>
  <c r="N43" i="5"/>
  <c r="AR42" i="5"/>
  <c r="AC42" i="5"/>
  <c r="N42" i="5"/>
  <c r="AR41" i="5"/>
  <c r="AC41" i="5"/>
  <c r="N41" i="5"/>
  <c r="AR40" i="5"/>
  <c r="AC40" i="5"/>
  <c r="N40" i="5"/>
  <c r="AR39" i="5"/>
  <c r="AC39" i="5"/>
  <c r="N39" i="5"/>
  <c r="AR38" i="5"/>
  <c r="AC38" i="5"/>
  <c r="N38" i="5"/>
  <c r="AR37" i="5"/>
  <c r="AC37" i="5"/>
  <c r="N37" i="5"/>
  <c r="AR36" i="5"/>
  <c r="AC36" i="5"/>
  <c r="N36" i="5"/>
  <c r="AQ32" i="5"/>
  <c r="AP32" i="5"/>
  <c r="U30" i="43" s="1"/>
  <c r="AO32" i="5"/>
  <c r="AN32" i="5"/>
  <c r="AM32" i="5"/>
  <c r="AL32" i="5"/>
  <c r="U26" i="43" s="1"/>
  <c r="AK32" i="5"/>
  <c r="AJ32" i="5"/>
  <c r="AI32" i="5"/>
  <c r="AH32" i="5"/>
  <c r="U22" i="43" s="1"/>
  <c r="AG32" i="5"/>
  <c r="AF32" i="5"/>
  <c r="AB32" i="5"/>
  <c r="L31" i="43" s="1"/>
  <c r="CM31" i="43" s="1"/>
  <c r="AA32" i="5"/>
  <c r="Z32" i="5"/>
  <c r="Y32" i="5"/>
  <c r="X32" i="5"/>
  <c r="L27" i="43" s="1"/>
  <c r="CM27" i="43" s="1"/>
  <c r="W32" i="5"/>
  <c r="V32" i="5"/>
  <c r="U32" i="5"/>
  <c r="T32" i="5"/>
  <c r="L23" i="43" s="1"/>
  <c r="CM23" i="43" s="1"/>
  <c r="S32" i="5"/>
  <c r="R32" i="5"/>
  <c r="Q32" i="5"/>
  <c r="M32" i="5"/>
  <c r="L32" i="5"/>
  <c r="K32" i="5"/>
  <c r="J32" i="5"/>
  <c r="C28" i="43" s="1"/>
  <c r="CG28" i="43" s="1"/>
  <c r="I32" i="5"/>
  <c r="H32" i="5"/>
  <c r="G32" i="5"/>
  <c r="F32" i="5"/>
  <c r="C24" i="43" s="1"/>
  <c r="CG24" i="43" s="1"/>
  <c r="E32" i="5"/>
  <c r="D32" i="5"/>
  <c r="C32" i="5"/>
  <c r="B32" i="5"/>
  <c r="AR31" i="5"/>
  <c r="AR15" i="5" s="1"/>
  <c r="AC31" i="5"/>
  <c r="AC15" i="5" s="1"/>
  <c r="N31" i="5"/>
  <c r="N15" i="5" s="1"/>
  <c r="AR30" i="5"/>
  <c r="AC30" i="5"/>
  <c r="AC14" i="5" s="1"/>
  <c r="N30" i="5"/>
  <c r="N14" i="5" s="1"/>
  <c r="AR29" i="5"/>
  <c r="AR13" i="5" s="1"/>
  <c r="AC29" i="5"/>
  <c r="AC13" i="5" s="1"/>
  <c r="N29" i="5"/>
  <c r="AR28" i="5"/>
  <c r="AR12" i="5" s="1"/>
  <c r="AC28" i="5"/>
  <c r="AC12" i="5" s="1"/>
  <c r="N28" i="5"/>
  <c r="N12" i="5" s="1"/>
  <c r="AR27" i="5"/>
  <c r="AC27" i="5"/>
  <c r="AC11" i="5" s="1"/>
  <c r="N27" i="5"/>
  <c r="N11" i="5" s="1"/>
  <c r="AR26" i="5"/>
  <c r="AC26" i="5"/>
  <c r="N26" i="5"/>
  <c r="AR25" i="5"/>
  <c r="AR9" i="5" s="1"/>
  <c r="AC25" i="5"/>
  <c r="N25" i="5"/>
  <c r="AR24" i="5"/>
  <c r="AR8" i="5" s="1"/>
  <c r="AC24" i="5"/>
  <c r="AC8" i="5" s="1"/>
  <c r="N24" i="5"/>
  <c r="N8" i="5" s="1"/>
  <c r="AR23" i="5"/>
  <c r="AC23" i="5"/>
  <c r="AC7" i="5" s="1"/>
  <c r="N23" i="5"/>
  <c r="N7" i="5" s="1"/>
  <c r="AR22" i="5"/>
  <c r="AR6" i="5" s="1"/>
  <c r="AC22" i="5"/>
  <c r="N22" i="5"/>
  <c r="N6" i="5" s="1"/>
  <c r="AR21" i="5"/>
  <c r="AR5" i="5" s="1"/>
  <c r="AC21" i="5"/>
  <c r="AC5" i="5" s="1"/>
  <c r="N21" i="5"/>
  <c r="AR20" i="5"/>
  <c r="AC20" i="5"/>
  <c r="N20" i="5"/>
  <c r="AH16" i="5"/>
  <c r="T16" i="5"/>
  <c r="T17" i="5" s="1"/>
  <c r="AQ15" i="5"/>
  <c r="AP15" i="5"/>
  <c r="AO15" i="5"/>
  <c r="AN15" i="5"/>
  <c r="AM15" i="5"/>
  <c r="AL15" i="5"/>
  <c r="AK15" i="5"/>
  <c r="AJ15" i="5"/>
  <c r="AI15" i="5"/>
  <c r="AH15" i="5"/>
  <c r="AG15" i="5"/>
  <c r="AF15" i="5"/>
  <c r="AB15" i="5"/>
  <c r="AA15" i="5"/>
  <c r="Z15" i="5"/>
  <c r="Y15" i="5"/>
  <c r="X15" i="5"/>
  <c r="W15" i="5"/>
  <c r="V15" i="5"/>
  <c r="U15" i="5"/>
  <c r="T15" i="5"/>
  <c r="S15" i="5"/>
  <c r="R15" i="5"/>
  <c r="Q15" i="5"/>
  <c r="M15" i="5"/>
  <c r="L15" i="5"/>
  <c r="K15" i="5"/>
  <c r="J15" i="5"/>
  <c r="I15" i="5"/>
  <c r="H15" i="5"/>
  <c r="G15" i="5"/>
  <c r="F15" i="5"/>
  <c r="E15" i="5"/>
  <c r="D15" i="5"/>
  <c r="C15" i="5"/>
  <c r="B15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B14" i="5"/>
  <c r="AA14" i="5"/>
  <c r="Z14" i="5"/>
  <c r="Y14" i="5"/>
  <c r="X14" i="5"/>
  <c r="W14" i="5"/>
  <c r="V14" i="5"/>
  <c r="U14" i="5"/>
  <c r="T14" i="5"/>
  <c r="S14" i="5"/>
  <c r="R14" i="5"/>
  <c r="Q14" i="5"/>
  <c r="M14" i="5"/>
  <c r="L14" i="5"/>
  <c r="K14" i="5"/>
  <c r="J14" i="5"/>
  <c r="I14" i="5"/>
  <c r="H14" i="5"/>
  <c r="G14" i="5"/>
  <c r="F14" i="5"/>
  <c r="E14" i="5"/>
  <c r="D14" i="5"/>
  <c r="C14" i="5"/>
  <c r="B14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B13" i="5"/>
  <c r="AA13" i="5"/>
  <c r="Z13" i="5"/>
  <c r="Y13" i="5"/>
  <c r="X13" i="5"/>
  <c r="W13" i="5"/>
  <c r="V13" i="5"/>
  <c r="U13" i="5"/>
  <c r="T13" i="5"/>
  <c r="S13" i="5"/>
  <c r="R13" i="5"/>
  <c r="Q13" i="5"/>
  <c r="M13" i="5"/>
  <c r="L13" i="5"/>
  <c r="K13" i="5"/>
  <c r="J13" i="5"/>
  <c r="I13" i="5"/>
  <c r="H13" i="5"/>
  <c r="G13" i="5"/>
  <c r="F13" i="5"/>
  <c r="E13" i="5"/>
  <c r="D13" i="5"/>
  <c r="C13" i="5"/>
  <c r="B13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B12" i="5"/>
  <c r="AA12" i="5"/>
  <c r="Z12" i="5"/>
  <c r="Y12" i="5"/>
  <c r="X12" i="5"/>
  <c r="W12" i="5"/>
  <c r="V12" i="5"/>
  <c r="U12" i="5"/>
  <c r="T12" i="5"/>
  <c r="S12" i="5"/>
  <c r="R12" i="5"/>
  <c r="Q12" i="5"/>
  <c r="M12" i="5"/>
  <c r="L12" i="5"/>
  <c r="K12" i="5"/>
  <c r="J12" i="5"/>
  <c r="I12" i="5"/>
  <c r="H12" i="5"/>
  <c r="G12" i="5"/>
  <c r="F12" i="5"/>
  <c r="E12" i="5"/>
  <c r="D12" i="5"/>
  <c r="C12" i="5"/>
  <c r="B12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B11" i="5"/>
  <c r="AA11" i="5"/>
  <c r="Z11" i="5"/>
  <c r="Y11" i="5"/>
  <c r="X11" i="5"/>
  <c r="W11" i="5"/>
  <c r="V11" i="5"/>
  <c r="U11" i="5"/>
  <c r="T11" i="5"/>
  <c r="S11" i="5"/>
  <c r="R11" i="5"/>
  <c r="Q11" i="5"/>
  <c r="M11" i="5"/>
  <c r="L11" i="5"/>
  <c r="K11" i="5"/>
  <c r="J11" i="5"/>
  <c r="I11" i="5"/>
  <c r="H11" i="5"/>
  <c r="G11" i="5"/>
  <c r="F11" i="5"/>
  <c r="E11" i="5"/>
  <c r="D11" i="5"/>
  <c r="C11" i="5"/>
  <c r="B11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B10" i="5"/>
  <c r="AA10" i="5"/>
  <c r="Z10" i="5"/>
  <c r="Y10" i="5"/>
  <c r="X10" i="5"/>
  <c r="W10" i="5"/>
  <c r="V10" i="5"/>
  <c r="U10" i="5"/>
  <c r="T10" i="5"/>
  <c r="S10" i="5"/>
  <c r="R10" i="5"/>
  <c r="Q10" i="5"/>
  <c r="M10" i="5"/>
  <c r="L10" i="5"/>
  <c r="K10" i="5"/>
  <c r="J10" i="5"/>
  <c r="I10" i="5"/>
  <c r="H10" i="5"/>
  <c r="G10" i="5"/>
  <c r="F10" i="5"/>
  <c r="E10" i="5"/>
  <c r="D10" i="5"/>
  <c r="C10" i="5"/>
  <c r="B10" i="5"/>
  <c r="AQ9" i="5"/>
  <c r="AP9" i="5"/>
  <c r="AO9" i="5"/>
  <c r="AN9" i="5"/>
  <c r="AM9" i="5"/>
  <c r="AL9" i="5"/>
  <c r="AK9" i="5"/>
  <c r="AJ9" i="5"/>
  <c r="AI9" i="5"/>
  <c r="AH9" i="5"/>
  <c r="AG9" i="5"/>
  <c r="AF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M9" i="5"/>
  <c r="L9" i="5"/>
  <c r="K9" i="5"/>
  <c r="J9" i="5"/>
  <c r="I9" i="5"/>
  <c r="H9" i="5"/>
  <c r="G9" i="5"/>
  <c r="F9" i="5"/>
  <c r="E9" i="5"/>
  <c r="D9" i="5"/>
  <c r="C9" i="5"/>
  <c r="B9" i="5"/>
  <c r="AQ8" i="5"/>
  <c r="AP8" i="5"/>
  <c r="AO8" i="5"/>
  <c r="AN8" i="5"/>
  <c r="AM8" i="5"/>
  <c r="AL8" i="5"/>
  <c r="AK8" i="5"/>
  <c r="AJ8" i="5"/>
  <c r="AI8" i="5"/>
  <c r="AH8" i="5"/>
  <c r="AG8" i="5"/>
  <c r="AF8" i="5"/>
  <c r="AB8" i="5"/>
  <c r="AA8" i="5"/>
  <c r="Z8" i="5"/>
  <c r="Y8" i="5"/>
  <c r="X8" i="5"/>
  <c r="W8" i="5"/>
  <c r="V8" i="5"/>
  <c r="U8" i="5"/>
  <c r="T8" i="5"/>
  <c r="S8" i="5"/>
  <c r="R8" i="5"/>
  <c r="Q8" i="5"/>
  <c r="M8" i="5"/>
  <c r="L8" i="5"/>
  <c r="K8" i="5"/>
  <c r="J8" i="5"/>
  <c r="I8" i="5"/>
  <c r="H8" i="5"/>
  <c r="G8" i="5"/>
  <c r="F8" i="5"/>
  <c r="E8" i="5"/>
  <c r="D8" i="5"/>
  <c r="C8" i="5"/>
  <c r="B8" i="5"/>
  <c r="AQ7" i="5"/>
  <c r="AP7" i="5"/>
  <c r="AO7" i="5"/>
  <c r="AN7" i="5"/>
  <c r="AM7" i="5"/>
  <c r="AL7" i="5"/>
  <c r="AK7" i="5"/>
  <c r="AJ7" i="5"/>
  <c r="AI7" i="5"/>
  <c r="AH7" i="5"/>
  <c r="AG7" i="5"/>
  <c r="AF7" i="5"/>
  <c r="AB7" i="5"/>
  <c r="AA7" i="5"/>
  <c r="Z7" i="5"/>
  <c r="Y7" i="5"/>
  <c r="X7" i="5"/>
  <c r="W7" i="5"/>
  <c r="V7" i="5"/>
  <c r="U7" i="5"/>
  <c r="T7" i="5"/>
  <c r="S7" i="5"/>
  <c r="R7" i="5"/>
  <c r="Q7" i="5"/>
  <c r="M7" i="5"/>
  <c r="L7" i="5"/>
  <c r="K7" i="5"/>
  <c r="J7" i="5"/>
  <c r="I7" i="5"/>
  <c r="H7" i="5"/>
  <c r="G7" i="5"/>
  <c r="F7" i="5"/>
  <c r="E7" i="5"/>
  <c r="D7" i="5"/>
  <c r="C7" i="5"/>
  <c r="B7" i="5"/>
  <c r="AQ6" i="5"/>
  <c r="AP6" i="5"/>
  <c r="AO6" i="5"/>
  <c r="AN6" i="5"/>
  <c r="AM6" i="5"/>
  <c r="AL6" i="5"/>
  <c r="AK6" i="5"/>
  <c r="AJ6" i="5"/>
  <c r="AI6" i="5"/>
  <c r="AH6" i="5"/>
  <c r="AG6" i="5"/>
  <c r="AF6" i="5"/>
  <c r="AB6" i="5"/>
  <c r="AA6" i="5"/>
  <c r="Z6" i="5"/>
  <c r="Y6" i="5"/>
  <c r="X6" i="5"/>
  <c r="W6" i="5"/>
  <c r="V6" i="5"/>
  <c r="U6" i="5"/>
  <c r="T6" i="5"/>
  <c r="S6" i="5"/>
  <c r="R6" i="5"/>
  <c r="Q6" i="5"/>
  <c r="M6" i="5"/>
  <c r="L6" i="5"/>
  <c r="K6" i="5"/>
  <c r="J6" i="5"/>
  <c r="I6" i="5"/>
  <c r="H6" i="5"/>
  <c r="G6" i="5"/>
  <c r="F6" i="5"/>
  <c r="E6" i="5"/>
  <c r="D6" i="5"/>
  <c r="C6" i="5"/>
  <c r="B6" i="5"/>
  <c r="AQ5" i="5"/>
  <c r="AP5" i="5"/>
  <c r="AO5" i="5"/>
  <c r="AN5" i="5"/>
  <c r="AM5" i="5"/>
  <c r="AL5" i="5"/>
  <c r="AK5" i="5"/>
  <c r="AJ5" i="5"/>
  <c r="AI5" i="5"/>
  <c r="AH5" i="5"/>
  <c r="AG5" i="5"/>
  <c r="AF5" i="5"/>
  <c r="AB5" i="5"/>
  <c r="AA5" i="5"/>
  <c r="Z5" i="5"/>
  <c r="Y5" i="5"/>
  <c r="X5" i="5"/>
  <c r="W5" i="5"/>
  <c r="V5" i="5"/>
  <c r="U5" i="5"/>
  <c r="T5" i="5"/>
  <c r="S5" i="5"/>
  <c r="R5" i="5"/>
  <c r="Q5" i="5"/>
  <c r="M5" i="5"/>
  <c r="L5" i="5"/>
  <c r="K5" i="5"/>
  <c r="J5" i="5"/>
  <c r="I5" i="5"/>
  <c r="H5" i="5"/>
  <c r="G5" i="5"/>
  <c r="F5" i="5"/>
  <c r="E5" i="5"/>
  <c r="D5" i="5"/>
  <c r="C5" i="5"/>
  <c r="B5" i="5"/>
  <c r="AQ4" i="5"/>
  <c r="AP4" i="5"/>
  <c r="AO4" i="5"/>
  <c r="AN4" i="5"/>
  <c r="AM4" i="5"/>
  <c r="AL4" i="5"/>
  <c r="AK4" i="5"/>
  <c r="AJ4" i="5"/>
  <c r="AI4" i="5"/>
  <c r="AH4" i="5"/>
  <c r="AG4" i="5"/>
  <c r="AF4" i="5"/>
  <c r="AB4" i="5"/>
  <c r="AA4" i="5"/>
  <c r="Z4" i="5"/>
  <c r="Y4" i="5"/>
  <c r="X4" i="5"/>
  <c r="W4" i="5"/>
  <c r="V4" i="5"/>
  <c r="U4" i="5"/>
  <c r="T4" i="5"/>
  <c r="S4" i="5"/>
  <c r="R4" i="5"/>
  <c r="Q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W79" i="5"/>
  <c r="AV79" i="5"/>
  <c r="AU79" i="5"/>
  <c r="AW78" i="5"/>
  <c r="AV78" i="5"/>
  <c r="AU78" i="5"/>
  <c r="AW77" i="5"/>
  <c r="AV77" i="5"/>
  <c r="AU77" i="5"/>
  <c r="AW76" i="5"/>
  <c r="AV76" i="5"/>
  <c r="AU76" i="5"/>
  <c r="AW75" i="5"/>
  <c r="AV75" i="5"/>
  <c r="AU75" i="5"/>
  <c r="AW74" i="5"/>
  <c r="AV74" i="5"/>
  <c r="AU74" i="5"/>
  <c r="AW73" i="5"/>
  <c r="AV73" i="5"/>
  <c r="AU73" i="5"/>
  <c r="AW72" i="5"/>
  <c r="AV72" i="5"/>
  <c r="AU72" i="5"/>
  <c r="AW71" i="5"/>
  <c r="AV71" i="5"/>
  <c r="AU71" i="5"/>
  <c r="AW70" i="5"/>
  <c r="AV70" i="5"/>
  <c r="AU70" i="5"/>
  <c r="AW69" i="5"/>
  <c r="AV69" i="5"/>
  <c r="AU69" i="5"/>
  <c r="AW68" i="5"/>
  <c r="AV68" i="5"/>
  <c r="AU68" i="5"/>
  <c r="G80" i="76" l="1"/>
  <c r="H80" i="76"/>
  <c r="I80" i="76" s="1"/>
  <c r="L72" i="75"/>
  <c r="F3" i="76"/>
  <c r="H34" i="75"/>
  <c r="H64" i="75"/>
  <c r="F147" i="76"/>
  <c r="F148" i="76"/>
  <c r="CU64" i="43"/>
  <c r="F38" i="76"/>
  <c r="BU64" i="43"/>
  <c r="G78" i="76"/>
  <c r="H78" i="76"/>
  <c r="I78" i="76" s="1"/>
  <c r="F77" i="76"/>
  <c r="E78" i="43"/>
  <c r="H28" i="75"/>
  <c r="H52" i="75"/>
  <c r="H40" i="75"/>
  <c r="E19" i="75"/>
  <c r="CJ24" i="43"/>
  <c r="CR24" i="43"/>
  <c r="F18" i="75" s="1"/>
  <c r="E18" i="75"/>
  <c r="E20" i="75"/>
  <c r="CT24" i="43"/>
  <c r="F20" i="75" s="1"/>
  <c r="E45" i="75"/>
  <c r="CU28" i="43"/>
  <c r="F45" i="75" s="1"/>
  <c r="BZ24" i="43"/>
  <c r="CO24" i="43"/>
  <c r="CR48" i="43"/>
  <c r="CR25" i="43"/>
  <c r="F24" i="75" s="1"/>
  <c r="E24" i="75"/>
  <c r="BX21" i="43"/>
  <c r="CL21" i="43"/>
  <c r="E68" i="75"/>
  <c r="CT21" i="43"/>
  <c r="F68" i="75" s="1"/>
  <c r="E50" i="75"/>
  <c r="CT29" i="43"/>
  <c r="F50" i="75" s="1"/>
  <c r="BY21" i="43"/>
  <c r="CN21" i="43"/>
  <c r="BY29" i="43"/>
  <c r="CN29" i="43"/>
  <c r="E27" i="75"/>
  <c r="BZ21" i="43"/>
  <c r="CO21" i="43"/>
  <c r="BZ29" i="43"/>
  <c r="CO29" i="43"/>
  <c r="C77" i="43"/>
  <c r="I70" i="43"/>
  <c r="R70" i="43"/>
  <c r="D77" i="43"/>
  <c r="BW70" i="43"/>
  <c r="E12" i="75"/>
  <c r="CR23" i="43"/>
  <c r="F12" i="75" s="1"/>
  <c r="CR27" i="43"/>
  <c r="F36" i="75" s="1"/>
  <c r="E36" i="75"/>
  <c r="E60" i="75"/>
  <c r="CR31" i="43"/>
  <c r="F60" i="75" s="1"/>
  <c r="BX23" i="43"/>
  <c r="CL23" i="43"/>
  <c r="BX27" i="43"/>
  <c r="CL27" i="43"/>
  <c r="CP27" i="43" s="1"/>
  <c r="CT23" i="43"/>
  <c r="F14" i="75" s="1"/>
  <c r="E14" i="75"/>
  <c r="CT27" i="43"/>
  <c r="F38" i="75" s="1"/>
  <c r="E38" i="75"/>
  <c r="CT31" i="43"/>
  <c r="F62" i="75" s="1"/>
  <c r="E62" i="75"/>
  <c r="BY23" i="43"/>
  <c r="CN23" i="43"/>
  <c r="BY31" i="43"/>
  <c r="CN31" i="43"/>
  <c r="CP31" i="43" s="1"/>
  <c r="E15" i="75"/>
  <c r="E39" i="75"/>
  <c r="CU27" i="43"/>
  <c r="F39" i="75" s="1"/>
  <c r="E63" i="75"/>
  <c r="BZ23" i="43"/>
  <c r="CO23" i="43"/>
  <c r="CU23" i="43" s="1"/>
  <c r="F15" i="75" s="1"/>
  <c r="BZ27" i="43"/>
  <c r="CO27" i="43"/>
  <c r="BZ31" i="43"/>
  <c r="CO31" i="43"/>
  <c r="CU31" i="43" s="1"/>
  <c r="F63" i="75" s="1"/>
  <c r="H46" i="75"/>
  <c r="CA70" i="43"/>
  <c r="G77" i="43"/>
  <c r="CS28" i="43"/>
  <c r="F43" i="75" s="1"/>
  <c r="E43" i="75"/>
  <c r="CJ28" i="43"/>
  <c r="CR28" i="43"/>
  <c r="F42" i="75" s="1"/>
  <c r="E42" i="75"/>
  <c r="E44" i="75"/>
  <c r="CT28" i="43"/>
  <c r="F44" i="75" s="1"/>
  <c r="BY28" i="43"/>
  <c r="CN28" i="43"/>
  <c r="CP28" i="43" s="1"/>
  <c r="CU24" i="43"/>
  <c r="F21" i="75" s="1"/>
  <c r="E21" i="75"/>
  <c r="BZ28" i="43"/>
  <c r="CO28" i="43"/>
  <c r="R71" i="43"/>
  <c r="CC71" i="43" s="1"/>
  <c r="CR21" i="43"/>
  <c r="F66" i="75" s="1"/>
  <c r="E66" i="75"/>
  <c r="CR29" i="43"/>
  <c r="F48" i="75" s="1"/>
  <c r="E48" i="75"/>
  <c r="E26" i="75"/>
  <c r="CT25" i="43"/>
  <c r="F26" i="75" s="1"/>
  <c r="CU21" i="43"/>
  <c r="F69" i="75" s="1"/>
  <c r="E69" i="75"/>
  <c r="E51" i="75"/>
  <c r="CU29" i="43"/>
  <c r="F51" i="75" s="1"/>
  <c r="BZ25" i="43"/>
  <c r="CO25" i="43"/>
  <c r="CU25" i="43" s="1"/>
  <c r="F27" i="75" s="1"/>
  <c r="CR64" i="43"/>
  <c r="H10" i="75"/>
  <c r="G72" i="75"/>
  <c r="E3" i="76" s="1"/>
  <c r="CV36" i="43"/>
  <c r="CJ48" i="43"/>
  <c r="CV48" i="43" s="1"/>
  <c r="CR22" i="43"/>
  <c r="F6" i="75" s="1"/>
  <c r="E6" i="75"/>
  <c r="CR26" i="43"/>
  <c r="F30" i="75" s="1"/>
  <c r="E30" i="75"/>
  <c r="CR30" i="43"/>
  <c r="F54" i="75" s="1"/>
  <c r="E54" i="75"/>
  <c r="BX22" i="43"/>
  <c r="CL22" i="43"/>
  <c r="BX26" i="43"/>
  <c r="CL26" i="43"/>
  <c r="CP30" i="43"/>
  <c r="E8" i="75"/>
  <c r="CT22" i="43"/>
  <c r="F8" i="75" s="1"/>
  <c r="E32" i="75"/>
  <c r="CT26" i="43"/>
  <c r="F32" i="75" s="1"/>
  <c r="E56" i="75"/>
  <c r="CT30" i="43"/>
  <c r="F56" i="75" s="1"/>
  <c r="CU22" i="43"/>
  <c r="F9" i="75" s="1"/>
  <c r="E9" i="75"/>
  <c r="CU26" i="43"/>
  <c r="F33" i="75" s="1"/>
  <c r="E33" i="75"/>
  <c r="CU30" i="43"/>
  <c r="F57" i="75" s="1"/>
  <c r="E57" i="75"/>
  <c r="BZ22" i="43"/>
  <c r="CO22" i="43"/>
  <c r="BZ26" i="43"/>
  <c r="CO26" i="43"/>
  <c r="BZ30" i="43"/>
  <c r="CO30" i="43"/>
  <c r="R49" i="43"/>
  <c r="BU49" i="43" s="1"/>
  <c r="E38" i="76"/>
  <c r="H58" i="75"/>
  <c r="G78" i="43"/>
  <c r="CA71" i="43"/>
  <c r="CT48" i="43"/>
  <c r="CV52" i="43"/>
  <c r="CJ64" i="43"/>
  <c r="CS64" i="43"/>
  <c r="CP64" i="43"/>
  <c r="BX30" i="43"/>
  <c r="BY26" i="43"/>
  <c r="AL16" i="5"/>
  <c r="R23" i="43"/>
  <c r="BW23" i="43"/>
  <c r="R31" i="43"/>
  <c r="BX31" i="43"/>
  <c r="BY27" i="43"/>
  <c r="X16" i="5"/>
  <c r="X17" i="5" s="1"/>
  <c r="N136" i="5"/>
  <c r="AR139" i="5"/>
  <c r="AC48" i="5"/>
  <c r="BX24" i="43"/>
  <c r="BX28" i="43"/>
  <c r="BY24" i="43"/>
  <c r="N137" i="5"/>
  <c r="AR140" i="5"/>
  <c r="BY22" i="43"/>
  <c r="BY30" i="43"/>
  <c r="CB22" i="43"/>
  <c r="R27" i="43"/>
  <c r="CB23" i="43"/>
  <c r="CB31" i="43"/>
  <c r="AB16" i="5"/>
  <c r="AB17" i="5" s="1"/>
  <c r="BX25" i="43"/>
  <c r="BX29" i="43"/>
  <c r="BY25" i="43"/>
  <c r="CB25" i="43"/>
  <c r="CC64" i="43"/>
  <c r="BU50" i="43"/>
  <c r="CC48" i="43"/>
  <c r="AA30" i="43"/>
  <c r="AA26" i="43"/>
  <c r="N32" i="5"/>
  <c r="C20" i="43"/>
  <c r="CG20" i="43" s="1"/>
  <c r="AC64" i="5"/>
  <c r="M20" i="43"/>
  <c r="CL20" i="43" s="1"/>
  <c r="N20" i="43"/>
  <c r="CN20" i="43" s="1"/>
  <c r="AC80" i="5"/>
  <c r="O20" i="43"/>
  <c r="AC96" i="5"/>
  <c r="P20" i="43"/>
  <c r="AR10" i="5"/>
  <c r="B16" i="5"/>
  <c r="AC4" i="5"/>
  <c r="AC135" i="5" s="1"/>
  <c r="AC136" i="5"/>
  <c r="AC137" i="5"/>
  <c r="D135" i="5"/>
  <c r="H135" i="5"/>
  <c r="L135" i="5"/>
  <c r="R135" i="5"/>
  <c r="V135" i="5"/>
  <c r="V141" i="5" s="1"/>
  <c r="Z135" i="5"/>
  <c r="Z141" i="5" s="1"/>
  <c r="AG135" i="5"/>
  <c r="AK135" i="5"/>
  <c r="AO135" i="5"/>
  <c r="AO141" i="5" s="1"/>
  <c r="AF135" i="5"/>
  <c r="AF141" i="5" s="1"/>
  <c r="C138" i="5"/>
  <c r="G138" i="5"/>
  <c r="K138" i="5"/>
  <c r="R138" i="5"/>
  <c r="V138" i="5"/>
  <c r="Z138" i="5"/>
  <c r="AG138" i="5"/>
  <c r="AK138" i="5"/>
  <c r="AU138" i="5" s="1"/>
  <c r="AO138" i="5"/>
  <c r="F16" i="5"/>
  <c r="AR4" i="5"/>
  <c r="AR136" i="5"/>
  <c r="N10" i="5"/>
  <c r="N139" i="5"/>
  <c r="AR137" i="5"/>
  <c r="N140" i="5"/>
  <c r="Q16" i="5"/>
  <c r="Q17" i="5" s="1"/>
  <c r="L20" i="43"/>
  <c r="AF16" i="5"/>
  <c r="U20" i="43"/>
  <c r="N48" i="5"/>
  <c r="D20" i="43"/>
  <c r="AR48" i="5"/>
  <c r="V20" i="43"/>
  <c r="N64" i="5"/>
  <c r="E20" i="43"/>
  <c r="AR64" i="5"/>
  <c r="W20" i="43"/>
  <c r="N80" i="5"/>
  <c r="F20" i="43"/>
  <c r="AR80" i="5"/>
  <c r="X20" i="43"/>
  <c r="N96" i="5"/>
  <c r="G20" i="43"/>
  <c r="G32" i="43" s="1"/>
  <c r="G69" i="43" s="1"/>
  <c r="F76" i="43" s="1"/>
  <c r="AR96" i="5"/>
  <c r="Y20" i="43"/>
  <c r="N112" i="5"/>
  <c r="H20" i="43"/>
  <c r="H32" i="43" s="1"/>
  <c r="H69" i="43" s="1"/>
  <c r="AC112" i="5"/>
  <c r="Q20" i="43"/>
  <c r="AR112" i="5"/>
  <c r="Z20" i="43"/>
  <c r="AC139" i="5"/>
  <c r="N5" i="5"/>
  <c r="N135" i="5" s="1"/>
  <c r="AC6" i="5"/>
  <c r="AR7" i="5"/>
  <c r="N9" i="5"/>
  <c r="AC10" i="5"/>
  <c r="AC138" i="5" s="1"/>
  <c r="AC141" i="5" s="1"/>
  <c r="AR11" i="5"/>
  <c r="N13" i="5"/>
  <c r="N138" i="5" s="1"/>
  <c r="AC140" i="5"/>
  <c r="AV135" i="5"/>
  <c r="U16" i="5"/>
  <c r="U17" i="5" s="1"/>
  <c r="L24" i="43"/>
  <c r="CM24" i="43" s="1"/>
  <c r="CS24" i="43" s="1"/>
  <c r="F19" i="75" s="1"/>
  <c r="Y16" i="5"/>
  <c r="Y17" i="5" s="1"/>
  <c r="L28" i="43"/>
  <c r="CM28" i="43" s="1"/>
  <c r="AJ16" i="5"/>
  <c r="U24" i="43"/>
  <c r="AN16" i="5"/>
  <c r="U28" i="43"/>
  <c r="I24" i="43"/>
  <c r="I28" i="43"/>
  <c r="E135" i="5"/>
  <c r="I135" i="5"/>
  <c r="M135" i="5"/>
  <c r="S135" i="5"/>
  <c r="W135" i="5"/>
  <c r="AA135" i="5"/>
  <c r="AH135" i="5"/>
  <c r="AL135" i="5"/>
  <c r="AP135" i="5"/>
  <c r="D138" i="5"/>
  <c r="H138" i="5"/>
  <c r="L138" i="5"/>
  <c r="L141" i="5" s="1"/>
  <c r="S138" i="5"/>
  <c r="W138" i="5"/>
  <c r="AA138" i="5"/>
  <c r="AH138" i="5"/>
  <c r="AL138" i="5"/>
  <c r="AP138" i="5"/>
  <c r="J16" i="5"/>
  <c r="C16" i="5"/>
  <c r="C21" i="43"/>
  <c r="CG21" i="43" s="1"/>
  <c r="G16" i="5"/>
  <c r="C25" i="43"/>
  <c r="B130" i="5"/>
  <c r="K16" i="5"/>
  <c r="C29" i="43"/>
  <c r="R16" i="5"/>
  <c r="R17" i="5" s="1"/>
  <c r="L21" i="43"/>
  <c r="V16" i="5"/>
  <c r="V17" i="5" s="1"/>
  <c r="L25" i="43"/>
  <c r="CM25" i="43" s="1"/>
  <c r="Z16" i="5"/>
  <c r="Z17" i="5" s="1"/>
  <c r="L29" i="43"/>
  <c r="CM29" i="43" s="1"/>
  <c r="CP29" i="43" s="1"/>
  <c r="AG16" i="5"/>
  <c r="U21" i="43"/>
  <c r="AK16" i="5"/>
  <c r="U25" i="43"/>
  <c r="D130" i="5"/>
  <c r="AO16" i="5"/>
  <c r="U29" i="43"/>
  <c r="F135" i="5"/>
  <c r="J135" i="5"/>
  <c r="T135" i="5"/>
  <c r="X135" i="5"/>
  <c r="AB135" i="5"/>
  <c r="AI135" i="5"/>
  <c r="AM135" i="5"/>
  <c r="AQ135" i="5"/>
  <c r="E138" i="5"/>
  <c r="I138" i="5"/>
  <c r="M138" i="5"/>
  <c r="T138" i="5"/>
  <c r="X138" i="5"/>
  <c r="AB138" i="5"/>
  <c r="AI138" i="5"/>
  <c r="AM138" i="5"/>
  <c r="AQ138" i="5"/>
  <c r="AR135" i="5"/>
  <c r="D16" i="5"/>
  <c r="C22" i="43"/>
  <c r="H16" i="5"/>
  <c r="C26" i="43"/>
  <c r="L16" i="5"/>
  <c r="C30" i="43"/>
  <c r="S16" i="5"/>
  <c r="S17" i="5" s="1"/>
  <c r="L22" i="43"/>
  <c r="CM22" i="43" s="1"/>
  <c r="W16" i="5"/>
  <c r="W17" i="5" s="1"/>
  <c r="L26" i="43"/>
  <c r="CM26" i="43" s="1"/>
  <c r="AA16" i="5"/>
  <c r="AA17" i="5" s="1"/>
  <c r="L30" i="43"/>
  <c r="CM30" i="43" s="1"/>
  <c r="AA22" i="43"/>
  <c r="V32" i="43"/>
  <c r="W32" i="43"/>
  <c r="X32" i="43"/>
  <c r="Y32" i="43"/>
  <c r="Z32" i="43"/>
  <c r="C135" i="5"/>
  <c r="C141" i="5" s="1"/>
  <c r="G135" i="5"/>
  <c r="G141" i="5" s="1"/>
  <c r="K135" i="5"/>
  <c r="U135" i="5"/>
  <c r="Y135" i="5"/>
  <c r="AJ135" i="5"/>
  <c r="AN135" i="5"/>
  <c r="B135" i="5"/>
  <c r="Q135" i="5"/>
  <c r="B138" i="5"/>
  <c r="F138" i="5"/>
  <c r="J138" i="5"/>
  <c r="Q138" i="5"/>
  <c r="Q141" i="5" s="1"/>
  <c r="U138" i="5"/>
  <c r="Y138" i="5"/>
  <c r="AF138" i="5"/>
  <c r="AJ138" i="5"/>
  <c r="AN138" i="5"/>
  <c r="AR138" i="5"/>
  <c r="AP16" i="5"/>
  <c r="E16" i="5"/>
  <c r="C23" i="43"/>
  <c r="I16" i="5"/>
  <c r="C27" i="43"/>
  <c r="M16" i="5"/>
  <c r="C31" i="43"/>
  <c r="AI16" i="5"/>
  <c r="U23" i="43"/>
  <c r="AM16" i="5"/>
  <c r="U27" i="43"/>
  <c r="AQ16" i="5"/>
  <c r="U31" i="43"/>
  <c r="AC32" i="5"/>
  <c r="AC16" i="5" s="1"/>
  <c r="AC17" i="5" s="1"/>
  <c r="AR32" i="5"/>
  <c r="G72" i="76" l="1"/>
  <c r="H77" i="76"/>
  <c r="I77" i="76" s="1"/>
  <c r="G77" i="76"/>
  <c r="G89" i="76" s="1"/>
  <c r="H72" i="75"/>
  <c r="F81" i="76"/>
  <c r="H78" i="43"/>
  <c r="F72" i="76"/>
  <c r="F83" i="76"/>
  <c r="F89" i="76"/>
  <c r="F32" i="43"/>
  <c r="F69" i="43" s="1"/>
  <c r="CI20" i="43"/>
  <c r="D32" i="43"/>
  <c r="D69" i="43" s="1"/>
  <c r="CF20" i="43"/>
  <c r="BW20" i="43"/>
  <c r="CM20" i="43"/>
  <c r="CP20" i="43" s="1"/>
  <c r="CP25" i="43"/>
  <c r="I22" i="43"/>
  <c r="CG22" i="43"/>
  <c r="I25" i="43"/>
  <c r="CG25" i="43"/>
  <c r="CC23" i="43"/>
  <c r="CP26" i="43"/>
  <c r="E4" i="76"/>
  <c r="E15" i="76"/>
  <c r="E9" i="76"/>
  <c r="E36" i="76"/>
  <c r="I29" i="43"/>
  <c r="CG29" i="43"/>
  <c r="I31" i="43"/>
  <c r="CG31" i="43"/>
  <c r="I23" i="43"/>
  <c r="CG23" i="43"/>
  <c r="I26" i="43"/>
  <c r="CG26" i="43"/>
  <c r="E67" i="75"/>
  <c r="E70" i="75" s="1"/>
  <c r="F70" i="75" s="1"/>
  <c r="CS21" i="43"/>
  <c r="F67" i="75" s="1"/>
  <c r="CO20" i="43"/>
  <c r="CP22" i="43"/>
  <c r="CV28" i="43"/>
  <c r="CC70" i="43"/>
  <c r="BW21" i="43"/>
  <c r="CM21" i="43"/>
  <c r="CP21" i="43" s="1"/>
  <c r="E32" i="43"/>
  <c r="E69" i="43" s="1"/>
  <c r="CH20" i="43"/>
  <c r="CS20" i="43"/>
  <c r="CG32" i="43"/>
  <c r="E72" i="76"/>
  <c r="I27" i="43"/>
  <c r="CG27" i="43"/>
  <c r="I30" i="43"/>
  <c r="CG30" i="43"/>
  <c r="E46" i="75"/>
  <c r="F46" i="75" s="1"/>
  <c r="CP24" i="43"/>
  <c r="CV24" i="43" s="1"/>
  <c r="CJ21" i="43"/>
  <c r="CV21" i="43" s="1"/>
  <c r="CP23" i="43"/>
  <c r="E22" i="75"/>
  <c r="F22" i="75" s="1"/>
  <c r="CV64" i="43"/>
  <c r="M32" i="43"/>
  <c r="BX20" i="43"/>
  <c r="R29" i="43"/>
  <c r="CC29" i="43" s="1"/>
  <c r="BW29" i="43"/>
  <c r="K141" i="5"/>
  <c r="BW27" i="43"/>
  <c r="BW31" i="43"/>
  <c r="Q32" i="43"/>
  <c r="CB20" i="43"/>
  <c r="R26" i="43"/>
  <c r="CC26" i="43" s="1"/>
  <c r="BW26" i="43"/>
  <c r="R24" i="43"/>
  <c r="CC24" i="43" s="1"/>
  <c r="BW24" i="43"/>
  <c r="O32" i="43"/>
  <c r="BZ20" i="43"/>
  <c r="AR16" i="5"/>
  <c r="U141" i="5"/>
  <c r="AJ141" i="5"/>
  <c r="R30" i="43"/>
  <c r="BW30" i="43"/>
  <c r="R22" i="43"/>
  <c r="CC22" i="43" s="1"/>
  <c r="BW22" i="43"/>
  <c r="AI141" i="5"/>
  <c r="R25" i="43"/>
  <c r="BW25" i="43"/>
  <c r="R28" i="43"/>
  <c r="CC28" i="43" s="1"/>
  <c r="BW28" i="43"/>
  <c r="P32" i="43"/>
  <c r="CA20" i="43"/>
  <c r="N32" i="43"/>
  <c r="BY20" i="43"/>
  <c r="CC27" i="43"/>
  <c r="CC31" i="43"/>
  <c r="AA31" i="43"/>
  <c r="AA29" i="43"/>
  <c r="AA27" i="43"/>
  <c r="AA21" i="43"/>
  <c r="AA28" i="43"/>
  <c r="AA23" i="43"/>
  <c r="AA25" i="43"/>
  <c r="AA24" i="43"/>
  <c r="AQ141" i="5"/>
  <c r="AB141" i="5"/>
  <c r="J141" i="5"/>
  <c r="H141" i="5"/>
  <c r="AH141" i="5"/>
  <c r="M141" i="5"/>
  <c r="AK141" i="5"/>
  <c r="AU141" i="5" s="1"/>
  <c r="R20" i="43"/>
  <c r="CC20" i="43" s="1"/>
  <c r="R141" i="5"/>
  <c r="I20" i="43"/>
  <c r="AA20" i="43"/>
  <c r="Y141" i="5"/>
  <c r="AN141" i="5"/>
  <c r="AW138" i="5"/>
  <c r="D141" i="5"/>
  <c r="I141" i="5"/>
  <c r="AG141" i="5"/>
  <c r="N16" i="5"/>
  <c r="U32" i="43"/>
  <c r="X141" i="5"/>
  <c r="F141" i="5"/>
  <c r="AA141" i="5"/>
  <c r="AW135" i="5"/>
  <c r="AM141" i="5"/>
  <c r="AW141" i="5" s="1"/>
  <c r="T141" i="5"/>
  <c r="I21" i="43"/>
  <c r="C32" i="43"/>
  <c r="C69" i="43" s="1"/>
  <c r="AV138" i="5"/>
  <c r="AP141" i="5"/>
  <c r="W141" i="5"/>
  <c r="E141" i="5"/>
  <c r="AU135" i="5"/>
  <c r="B141" i="5"/>
  <c r="AR141" i="5"/>
  <c r="N141" i="5"/>
  <c r="R21" i="43"/>
  <c r="CC21" i="43" s="1"/>
  <c r="L32" i="43"/>
  <c r="F130" i="5"/>
  <c r="AL141" i="5"/>
  <c r="S141" i="5"/>
  <c r="M140" i="14"/>
  <c r="L140" i="14"/>
  <c r="K140" i="14"/>
  <c r="J140" i="14"/>
  <c r="I140" i="14"/>
  <c r="H140" i="14"/>
  <c r="G140" i="14"/>
  <c r="F140" i="14"/>
  <c r="E140" i="14"/>
  <c r="D140" i="14"/>
  <c r="C140" i="14"/>
  <c r="M139" i="14"/>
  <c r="L139" i="14"/>
  <c r="K139" i="14"/>
  <c r="J139" i="14"/>
  <c r="I139" i="14"/>
  <c r="H139" i="14"/>
  <c r="G139" i="14"/>
  <c r="F139" i="14"/>
  <c r="E139" i="14"/>
  <c r="D139" i="14"/>
  <c r="C139" i="14"/>
  <c r="M137" i="14"/>
  <c r="L137" i="14"/>
  <c r="K137" i="14"/>
  <c r="J137" i="14"/>
  <c r="I137" i="14"/>
  <c r="H137" i="14"/>
  <c r="G137" i="14"/>
  <c r="F137" i="14"/>
  <c r="E137" i="14"/>
  <c r="D137" i="14"/>
  <c r="C137" i="14"/>
  <c r="M136" i="14"/>
  <c r="L136" i="14"/>
  <c r="K136" i="14"/>
  <c r="J136" i="14"/>
  <c r="I136" i="14"/>
  <c r="H136" i="14"/>
  <c r="G136" i="14"/>
  <c r="F136" i="14"/>
  <c r="E136" i="14"/>
  <c r="D136" i="14"/>
  <c r="C136" i="14"/>
  <c r="B139" i="14"/>
  <c r="B136" i="14"/>
  <c r="B140" i="14"/>
  <c r="B137" i="14"/>
  <c r="AQ112" i="14"/>
  <c r="AP112" i="14"/>
  <c r="Z14" i="43" s="1"/>
  <c r="AO112" i="14"/>
  <c r="Z13" i="43" s="1"/>
  <c r="AN112" i="14"/>
  <c r="Z12" i="43" s="1"/>
  <c r="AM112" i="14"/>
  <c r="Z11" i="43" s="1"/>
  <c r="AL112" i="14"/>
  <c r="Z10" i="43" s="1"/>
  <c r="AK112" i="14"/>
  <c r="Z9" i="43" s="1"/>
  <c r="AJ112" i="14"/>
  <c r="Z8" i="43" s="1"/>
  <c r="AI112" i="14"/>
  <c r="Z7" i="43" s="1"/>
  <c r="AH112" i="14"/>
  <c r="Z6" i="43" s="1"/>
  <c r="AG112" i="14"/>
  <c r="Z5" i="43" s="1"/>
  <c r="AF112" i="14"/>
  <c r="AR111" i="14"/>
  <c r="AR110" i="14"/>
  <c r="AR109" i="14"/>
  <c r="AR108" i="14"/>
  <c r="AR107" i="14"/>
  <c r="AR106" i="14"/>
  <c r="AR105" i="14"/>
  <c r="AR104" i="14"/>
  <c r="AR103" i="14"/>
  <c r="AR102" i="14"/>
  <c r="AR101" i="14"/>
  <c r="AR100" i="14"/>
  <c r="AQ96" i="14"/>
  <c r="Y15" i="43" s="1"/>
  <c r="AP96" i="14"/>
  <c r="Y14" i="43" s="1"/>
  <c r="AO96" i="14"/>
  <c r="Y13" i="43" s="1"/>
  <c r="AN96" i="14"/>
  <c r="Y12" i="43" s="1"/>
  <c r="AM96" i="14"/>
  <c r="Y11" i="43" s="1"/>
  <c r="AL96" i="14"/>
  <c r="Y10" i="43" s="1"/>
  <c r="AK96" i="14"/>
  <c r="Y9" i="43" s="1"/>
  <c r="AJ96" i="14"/>
  <c r="Y8" i="43" s="1"/>
  <c r="AI96" i="14"/>
  <c r="Y7" i="43" s="1"/>
  <c r="AH96" i="14"/>
  <c r="Y6" i="43" s="1"/>
  <c r="AG96" i="14"/>
  <c r="Y5" i="43" s="1"/>
  <c r="AF96" i="14"/>
  <c r="AR95" i="14"/>
  <c r="AR94" i="14"/>
  <c r="AR93" i="14"/>
  <c r="AR92" i="14"/>
  <c r="AR91" i="14"/>
  <c r="AR90" i="14"/>
  <c r="AR89" i="14"/>
  <c r="AR88" i="14"/>
  <c r="AR87" i="14"/>
  <c r="AR86" i="14"/>
  <c r="AR85" i="14"/>
  <c r="AR84" i="14"/>
  <c r="AQ80" i="14"/>
  <c r="X15" i="43" s="1"/>
  <c r="AP80" i="14"/>
  <c r="X14" i="43" s="1"/>
  <c r="AO80" i="14"/>
  <c r="X13" i="43" s="1"/>
  <c r="AN80" i="14"/>
  <c r="X12" i="43" s="1"/>
  <c r="AM80" i="14"/>
  <c r="X11" i="43" s="1"/>
  <c r="AL80" i="14"/>
  <c r="X10" i="43" s="1"/>
  <c r="AK80" i="14"/>
  <c r="X9" i="43" s="1"/>
  <c r="AJ80" i="14"/>
  <c r="X8" i="43" s="1"/>
  <c r="AI80" i="14"/>
  <c r="X7" i="43" s="1"/>
  <c r="AH80" i="14"/>
  <c r="X6" i="43" s="1"/>
  <c r="AG80" i="14"/>
  <c r="X5" i="43" s="1"/>
  <c r="AF80" i="14"/>
  <c r="AR79" i="14"/>
  <c r="AR78" i="14"/>
  <c r="AR77" i="14"/>
  <c r="AR76" i="14"/>
  <c r="AR75" i="14"/>
  <c r="AR74" i="14"/>
  <c r="AR73" i="14"/>
  <c r="AR72" i="14"/>
  <c r="AR71" i="14"/>
  <c r="AR70" i="14"/>
  <c r="AR69" i="14"/>
  <c r="AR68" i="14"/>
  <c r="AQ64" i="14"/>
  <c r="AP64" i="14"/>
  <c r="W14" i="43" s="1"/>
  <c r="AO64" i="14"/>
  <c r="W13" i="43" s="1"/>
  <c r="AN64" i="14"/>
  <c r="W12" i="43" s="1"/>
  <c r="AM64" i="14"/>
  <c r="AL64" i="14"/>
  <c r="W10" i="43" s="1"/>
  <c r="AK64" i="14"/>
  <c r="W9" i="43" s="1"/>
  <c r="AJ64" i="14"/>
  <c r="W8" i="43" s="1"/>
  <c r="AI64" i="14"/>
  <c r="AH64" i="14"/>
  <c r="W6" i="43" s="1"/>
  <c r="AG64" i="14"/>
  <c r="W5" i="43" s="1"/>
  <c r="AF64" i="14"/>
  <c r="AR63" i="14"/>
  <c r="AR62" i="14"/>
  <c r="AR61" i="14"/>
  <c r="AR60" i="14"/>
  <c r="AR59" i="14"/>
  <c r="AR58" i="14"/>
  <c r="AR57" i="14"/>
  <c r="AR56" i="14"/>
  <c r="AR55" i="14"/>
  <c r="AR54" i="14"/>
  <c r="AR53" i="14"/>
  <c r="AR52" i="14"/>
  <c r="AQ48" i="14"/>
  <c r="V15" i="43" s="1"/>
  <c r="AP48" i="14"/>
  <c r="V14" i="43" s="1"/>
  <c r="AO48" i="14"/>
  <c r="V13" i="43" s="1"/>
  <c r="AN48" i="14"/>
  <c r="V12" i="43" s="1"/>
  <c r="AM48" i="14"/>
  <c r="V11" i="43" s="1"/>
  <c r="AL48" i="14"/>
  <c r="V10" i="43" s="1"/>
  <c r="AK48" i="14"/>
  <c r="V9" i="43" s="1"/>
  <c r="AJ48" i="14"/>
  <c r="V8" i="43" s="1"/>
  <c r="AI48" i="14"/>
  <c r="V7" i="43" s="1"/>
  <c r="AH48" i="14"/>
  <c r="V6" i="43" s="1"/>
  <c r="AG48" i="14"/>
  <c r="V5" i="43" s="1"/>
  <c r="AF48" i="14"/>
  <c r="AR47" i="14"/>
  <c r="AR46" i="14"/>
  <c r="AR45" i="14"/>
  <c r="AR44" i="14"/>
  <c r="AR43" i="14"/>
  <c r="AR42" i="14"/>
  <c r="AR41" i="14"/>
  <c r="AR40" i="14"/>
  <c r="AR39" i="14"/>
  <c r="AR38" i="14"/>
  <c r="AR37" i="14"/>
  <c r="AR36" i="14"/>
  <c r="AQ32" i="14"/>
  <c r="U15" i="43" s="1"/>
  <c r="AP32" i="14"/>
  <c r="U14" i="43" s="1"/>
  <c r="AO32" i="14"/>
  <c r="AN32" i="14"/>
  <c r="AM32" i="14"/>
  <c r="U11" i="43" s="1"/>
  <c r="AL32" i="14"/>
  <c r="U10" i="43" s="1"/>
  <c r="AK32" i="14"/>
  <c r="AJ32" i="14"/>
  <c r="AI32" i="14"/>
  <c r="U7" i="43" s="1"/>
  <c r="AH32" i="14"/>
  <c r="U6" i="43" s="1"/>
  <c r="AG32" i="14"/>
  <c r="AF32" i="14"/>
  <c r="AR31" i="14"/>
  <c r="AR30" i="14"/>
  <c r="AR29" i="14"/>
  <c r="AR13" i="14" s="1"/>
  <c r="AR28" i="14"/>
  <c r="AR12" i="14" s="1"/>
  <c r="AR27" i="14"/>
  <c r="AR26" i="14"/>
  <c r="AR25" i="14"/>
  <c r="AR9" i="14" s="1"/>
  <c r="AR24" i="14"/>
  <c r="AR8" i="14" s="1"/>
  <c r="AR23" i="14"/>
  <c r="AR22" i="14"/>
  <c r="AR6" i="14" s="1"/>
  <c r="AR21" i="14"/>
  <c r="AR5" i="14" s="1"/>
  <c r="AR20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B112" i="14"/>
  <c r="Q15" i="43" s="1"/>
  <c r="AA112" i="14"/>
  <c r="Q14" i="43" s="1"/>
  <c r="Z112" i="14"/>
  <c r="Q13" i="43" s="1"/>
  <c r="CB13" i="43" s="1"/>
  <c r="Y112" i="14"/>
  <c r="Q12" i="43" s="1"/>
  <c r="CB12" i="43" s="1"/>
  <c r="X112" i="14"/>
  <c r="Q11" i="43" s="1"/>
  <c r="CB11" i="43" s="1"/>
  <c r="W112" i="14"/>
  <c r="Q10" i="43" s="1"/>
  <c r="CB10" i="43" s="1"/>
  <c r="V112" i="14"/>
  <c r="Q9" i="43" s="1"/>
  <c r="CB9" i="43" s="1"/>
  <c r="U112" i="14"/>
  <c r="Q8" i="43" s="1"/>
  <c r="CB8" i="43" s="1"/>
  <c r="T112" i="14"/>
  <c r="Q7" i="43" s="1"/>
  <c r="S112" i="14"/>
  <c r="Q6" i="43" s="1"/>
  <c r="R112" i="14"/>
  <c r="Q5" i="43" s="1"/>
  <c r="CB5" i="43" s="1"/>
  <c r="Q112" i="14"/>
  <c r="Q4" i="43" s="1"/>
  <c r="CB4" i="43" s="1"/>
  <c r="AC111" i="14"/>
  <c r="AC110" i="14"/>
  <c r="AC109" i="14"/>
  <c r="AC108" i="14"/>
  <c r="AC107" i="14"/>
  <c r="AC106" i="14"/>
  <c r="AC105" i="14"/>
  <c r="AC104" i="14"/>
  <c r="AC103" i="14"/>
  <c r="AC102" i="14"/>
  <c r="AC101" i="14"/>
  <c r="AC100" i="14"/>
  <c r="AB96" i="14"/>
  <c r="P15" i="43" s="1"/>
  <c r="CA15" i="43" s="1"/>
  <c r="AA96" i="14"/>
  <c r="P14" i="43" s="1"/>
  <c r="CA14" i="43" s="1"/>
  <c r="Z96" i="14"/>
  <c r="P13" i="43" s="1"/>
  <c r="CA13" i="43" s="1"/>
  <c r="Y96" i="14"/>
  <c r="P12" i="43" s="1"/>
  <c r="CA12" i="43" s="1"/>
  <c r="X96" i="14"/>
  <c r="P11" i="43" s="1"/>
  <c r="CA11" i="43" s="1"/>
  <c r="W96" i="14"/>
  <c r="P10" i="43" s="1"/>
  <c r="CA10" i="43" s="1"/>
  <c r="V96" i="14"/>
  <c r="P9" i="43" s="1"/>
  <c r="CA9" i="43" s="1"/>
  <c r="U96" i="14"/>
  <c r="P8" i="43" s="1"/>
  <c r="CA8" i="43" s="1"/>
  <c r="T96" i="14"/>
  <c r="P7" i="43" s="1"/>
  <c r="CA7" i="43" s="1"/>
  <c r="S96" i="14"/>
  <c r="P6" i="43" s="1"/>
  <c r="CA6" i="43" s="1"/>
  <c r="R96" i="14"/>
  <c r="P5" i="43" s="1"/>
  <c r="CA5" i="43" s="1"/>
  <c r="Q96" i="14"/>
  <c r="P4" i="43" s="1"/>
  <c r="CA4" i="43" s="1"/>
  <c r="AC95" i="14"/>
  <c r="AC94" i="14"/>
  <c r="AC93" i="14"/>
  <c r="AC92" i="14"/>
  <c r="AC91" i="14"/>
  <c r="AC90" i="14"/>
  <c r="AC89" i="14"/>
  <c r="AC88" i="14"/>
  <c r="AC87" i="14"/>
  <c r="AC86" i="14"/>
  <c r="AC85" i="14"/>
  <c r="AC84" i="14"/>
  <c r="AB80" i="14"/>
  <c r="O15" i="43" s="1"/>
  <c r="AA80" i="14"/>
  <c r="O14" i="43" s="1"/>
  <c r="Z80" i="14"/>
  <c r="O13" i="43" s="1"/>
  <c r="Y80" i="14"/>
  <c r="O12" i="43" s="1"/>
  <c r="X80" i="14"/>
  <c r="O11" i="43" s="1"/>
  <c r="W80" i="14"/>
  <c r="O10" i="43" s="1"/>
  <c r="V80" i="14"/>
  <c r="O9" i="43" s="1"/>
  <c r="U80" i="14"/>
  <c r="O8" i="43" s="1"/>
  <c r="T80" i="14"/>
  <c r="O7" i="43" s="1"/>
  <c r="S80" i="14"/>
  <c r="O6" i="43" s="1"/>
  <c r="R80" i="14"/>
  <c r="O5" i="43" s="1"/>
  <c r="Q80" i="14"/>
  <c r="O4" i="43" s="1"/>
  <c r="AC79" i="14"/>
  <c r="AC78" i="14"/>
  <c r="AC77" i="14"/>
  <c r="AC76" i="14"/>
  <c r="AC75" i="14"/>
  <c r="AC74" i="14"/>
  <c r="AC73" i="14"/>
  <c r="AC72" i="14"/>
  <c r="AC71" i="14"/>
  <c r="AC70" i="14"/>
  <c r="AC69" i="14"/>
  <c r="AC68" i="14"/>
  <c r="AB64" i="14"/>
  <c r="AA64" i="14"/>
  <c r="N14" i="43" s="1"/>
  <c r="CN14" i="43" s="1"/>
  <c r="Z64" i="14"/>
  <c r="N13" i="43" s="1"/>
  <c r="Y64" i="14"/>
  <c r="N12" i="43" s="1"/>
  <c r="X64" i="14"/>
  <c r="W64" i="14"/>
  <c r="N10" i="43" s="1"/>
  <c r="CN10" i="43" s="1"/>
  <c r="V64" i="14"/>
  <c r="N9" i="43" s="1"/>
  <c r="U64" i="14"/>
  <c r="N8" i="43" s="1"/>
  <c r="T64" i="14"/>
  <c r="S64" i="14"/>
  <c r="N6" i="43" s="1"/>
  <c r="CN6" i="43" s="1"/>
  <c r="R64" i="14"/>
  <c r="N5" i="43" s="1"/>
  <c r="Q64" i="14"/>
  <c r="N4" i="43" s="1"/>
  <c r="AC63" i="14"/>
  <c r="AC62" i="14"/>
  <c r="AC61" i="14"/>
  <c r="AC60" i="14"/>
  <c r="AC59" i="14"/>
  <c r="AC58" i="14"/>
  <c r="AC57" i="14"/>
  <c r="AC56" i="14"/>
  <c r="AC55" i="14"/>
  <c r="AC54" i="14"/>
  <c r="AC53" i="14"/>
  <c r="AC52" i="14"/>
  <c r="AB48" i="14"/>
  <c r="M15" i="43" s="1"/>
  <c r="CL15" i="43" s="1"/>
  <c r="AA48" i="14"/>
  <c r="M14" i="43" s="1"/>
  <c r="Z48" i="14"/>
  <c r="M13" i="43" s="1"/>
  <c r="Y48" i="14"/>
  <c r="M12" i="43" s="1"/>
  <c r="X48" i="14"/>
  <c r="M11" i="43" s="1"/>
  <c r="CL11" i="43" s="1"/>
  <c r="W48" i="14"/>
  <c r="M10" i="43" s="1"/>
  <c r="V48" i="14"/>
  <c r="M9" i="43" s="1"/>
  <c r="U48" i="14"/>
  <c r="M8" i="43" s="1"/>
  <c r="CL8" i="43" s="1"/>
  <c r="T48" i="14"/>
  <c r="M7" i="43" s="1"/>
  <c r="S48" i="14"/>
  <c r="M6" i="43" s="1"/>
  <c r="CL6" i="43" s="1"/>
  <c r="R48" i="14"/>
  <c r="M5" i="43" s="1"/>
  <c r="Q48" i="14"/>
  <c r="M4" i="43" s="1"/>
  <c r="AC47" i="14"/>
  <c r="AC46" i="14"/>
  <c r="AC45" i="14"/>
  <c r="AC44" i="14"/>
  <c r="AC43" i="14"/>
  <c r="AC42" i="14"/>
  <c r="AC41" i="14"/>
  <c r="AC40" i="14"/>
  <c r="AC39" i="14"/>
  <c r="AC38" i="14"/>
  <c r="AC37" i="14"/>
  <c r="AC36" i="14"/>
  <c r="AB32" i="14"/>
  <c r="L15" i="43" s="1"/>
  <c r="CM15" i="43" s="1"/>
  <c r="AA32" i="14"/>
  <c r="L14" i="43" s="1"/>
  <c r="CM14" i="43" s="1"/>
  <c r="Z32" i="14"/>
  <c r="Y32" i="14"/>
  <c r="X32" i="14"/>
  <c r="L11" i="43" s="1"/>
  <c r="CM11" i="43" s="1"/>
  <c r="W32" i="14"/>
  <c r="L10" i="43" s="1"/>
  <c r="CM10" i="43" s="1"/>
  <c r="V32" i="14"/>
  <c r="U32" i="14"/>
  <c r="T32" i="14"/>
  <c r="L7" i="43" s="1"/>
  <c r="CM7" i="43" s="1"/>
  <c r="S32" i="14"/>
  <c r="L6" i="43" s="1"/>
  <c r="R32" i="14"/>
  <c r="Q32" i="14"/>
  <c r="L4" i="43" s="1"/>
  <c r="CM4" i="43" s="1"/>
  <c r="AC31" i="14"/>
  <c r="AC30" i="14"/>
  <c r="AC29" i="14"/>
  <c r="AC13" i="14" s="1"/>
  <c r="AC28" i="14"/>
  <c r="AC12" i="14" s="1"/>
  <c r="AC27" i="14"/>
  <c r="AC26" i="14"/>
  <c r="AC10" i="14" s="1"/>
  <c r="AC25" i="14"/>
  <c r="AC9" i="14" s="1"/>
  <c r="AC24" i="14"/>
  <c r="AC23" i="14"/>
  <c r="AC22" i="14"/>
  <c r="AC6" i="14" s="1"/>
  <c r="AC21" i="14"/>
  <c r="AC5" i="14" s="1"/>
  <c r="AC20" i="14"/>
  <c r="W16" i="14"/>
  <c r="W17" i="14" s="1"/>
  <c r="AB15" i="14"/>
  <c r="AA15" i="14"/>
  <c r="Z15" i="14"/>
  <c r="Y15" i="14"/>
  <c r="X15" i="14"/>
  <c r="W15" i="14"/>
  <c r="V15" i="14"/>
  <c r="U15" i="14"/>
  <c r="T15" i="14"/>
  <c r="S15" i="14"/>
  <c r="R15" i="14"/>
  <c r="Q15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AB9" i="14"/>
  <c r="AA9" i="14"/>
  <c r="Z9" i="14"/>
  <c r="Y9" i="14"/>
  <c r="X9" i="14"/>
  <c r="W9" i="14"/>
  <c r="V9" i="14"/>
  <c r="U9" i="14"/>
  <c r="T9" i="14"/>
  <c r="S9" i="14"/>
  <c r="R9" i="14"/>
  <c r="Q9" i="14"/>
  <c r="AB8" i="14"/>
  <c r="AA8" i="14"/>
  <c r="Z8" i="14"/>
  <c r="Y8" i="14"/>
  <c r="X8" i="14"/>
  <c r="W8" i="14"/>
  <c r="V8" i="14"/>
  <c r="U8" i="14"/>
  <c r="T8" i="14"/>
  <c r="S8" i="14"/>
  <c r="R8" i="14"/>
  <c r="Q8" i="14"/>
  <c r="AB7" i="14"/>
  <c r="AA7" i="14"/>
  <c r="Z7" i="14"/>
  <c r="Y7" i="14"/>
  <c r="X7" i="14"/>
  <c r="W7" i="14"/>
  <c r="V7" i="14"/>
  <c r="U7" i="14"/>
  <c r="T7" i="14"/>
  <c r="S7" i="14"/>
  <c r="R7" i="14"/>
  <c r="Q7" i="14"/>
  <c r="AB6" i="14"/>
  <c r="AA6" i="14"/>
  <c r="Z6" i="14"/>
  <c r="Y6" i="14"/>
  <c r="X6" i="14"/>
  <c r="W6" i="14"/>
  <c r="V6" i="14"/>
  <c r="U6" i="14"/>
  <c r="T6" i="14"/>
  <c r="S6" i="14"/>
  <c r="R6" i="14"/>
  <c r="Q6" i="14"/>
  <c r="AB5" i="14"/>
  <c r="AA5" i="14"/>
  <c r="Z5" i="14"/>
  <c r="Y5" i="14"/>
  <c r="X5" i="14"/>
  <c r="W5" i="14"/>
  <c r="V5" i="14"/>
  <c r="U5" i="14"/>
  <c r="T5" i="14"/>
  <c r="S5" i="14"/>
  <c r="R5" i="14"/>
  <c r="Q5" i="14"/>
  <c r="AB4" i="14"/>
  <c r="AA4" i="14"/>
  <c r="Z4" i="14"/>
  <c r="Y4" i="14"/>
  <c r="X4" i="14"/>
  <c r="W4" i="14"/>
  <c r="V4" i="14"/>
  <c r="U4" i="14"/>
  <c r="T4" i="14"/>
  <c r="S4" i="14"/>
  <c r="R4" i="14"/>
  <c r="Q4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M112" i="14"/>
  <c r="H15" i="43" s="1"/>
  <c r="L112" i="14"/>
  <c r="H14" i="43" s="1"/>
  <c r="K112" i="14"/>
  <c r="H13" i="43" s="1"/>
  <c r="J112" i="14"/>
  <c r="H12" i="43" s="1"/>
  <c r="I112" i="14"/>
  <c r="H11" i="43" s="1"/>
  <c r="H112" i="14"/>
  <c r="H10" i="43" s="1"/>
  <c r="G112" i="14"/>
  <c r="H9" i="43" s="1"/>
  <c r="F112" i="14"/>
  <c r="H8" i="43" s="1"/>
  <c r="E112" i="14"/>
  <c r="H7" i="43" s="1"/>
  <c r="D112" i="14"/>
  <c r="H6" i="43" s="1"/>
  <c r="C112" i="14"/>
  <c r="H5" i="43" s="1"/>
  <c r="B112" i="14"/>
  <c r="H4" i="43" s="1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M96" i="14"/>
  <c r="G15" i="43" s="1"/>
  <c r="L96" i="14"/>
  <c r="G14" i="43" s="1"/>
  <c r="K96" i="14"/>
  <c r="G13" i="43" s="1"/>
  <c r="J96" i="14"/>
  <c r="G12" i="43" s="1"/>
  <c r="I96" i="14"/>
  <c r="G11" i="43" s="1"/>
  <c r="H96" i="14"/>
  <c r="G10" i="43" s="1"/>
  <c r="G96" i="14"/>
  <c r="G9" i="43" s="1"/>
  <c r="F96" i="14"/>
  <c r="G8" i="43" s="1"/>
  <c r="E96" i="14"/>
  <c r="G7" i="43" s="1"/>
  <c r="D96" i="14"/>
  <c r="G6" i="43" s="1"/>
  <c r="C96" i="14"/>
  <c r="G5" i="43" s="1"/>
  <c r="B96" i="14"/>
  <c r="G4" i="43" s="1"/>
  <c r="N95" i="14"/>
  <c r="N94" i="14"/>
  <c r="N93" i="14"/>
  <c r="N92" i="14"/>
  <c r="N91" i="14"/>
  <c r="N90" i="14"/>
  <c r="N140" i="14" s="1"/>
  <c r="N89" i="14"/>
  <c r="N88" i="14"/>
  <c r="N87" i="14"/>
  <c r="N86" i="14"/>
  <c r="N85" i="14"/>
  <c r="N84" i="14"/>
  <c r="M80" i="14"/>
  <c r="F15" i="43" s="1"/>
  <c r="CI15" i="43" s="1"/>
  <c r="L80" i="14"/>
  <c r="F14" i="43" s="1"/>
  <c r="CI14" i="43" s="1"/>
  <c r="K80" i="14"/>
  <c r="F13" i="43" s="1"/>
  <c r="CI13" i="43" s="1"/>
  <c r="J80" i="14"/>
  <c r="F12" i="43" s="1"/>
  <c r="CI12" i="43" s="1"/>
  <c r="I80" i="14"/>
  <c r="F11" i="43" s="1"/>
  <c r="CI11" i="43" s="1"/>
  <c r="H80" i="14"/>
  <c r="F10" i="43" s="1"/>
  <c r="CI10" i="43" s="1"/>
  <c r="G80" i="14"/>
  <c r="F9" i="43" s="1"/>
  <c r="CI9" i="43" s="1"/>
  <c r="F80" i="14"/>
  <c r="F8" i="43" s="1"/>
  <c r="CI8" i="43" s="1"/>
  <c r="E80" i="14"/>
  <c r="F7" i="43" s="1"/>
  <c r="CI7" i="43" s="1"/>
  <c r="D80" i="14"/>
  <c r="C80" i="14"/>
  <c r="F5" i="43" s="1"/>
  <c r="CI5" i="43" s="1"/>
  <c r="B80" i="14"/>
  <c r="F4" i="43" s="1"/>
  <c r="CI4" i="43" s="1"/>
  <c r="N79" i="14"/>
  <c r="N78" i="14"/>
  <c r="N77" i="14"/>
  <c r="N76" i="14"/>
  <c r="N75" i="14"/>
  <c r="N74" i="14"/>
  <c r="N73" i="14"/>
  <c r="N72" i="14"/>
  <c r="N71" i="14"/>
  <c r="N70" i="14"/>
  <c r="N69" i="14"/>
  <c r="N68" i="14"/>
  <c r="M64" i="14"/>
  <c r="E15" i="43" s="1"/>
  <c r="CH15" i="43" s="1"/>
  <c r="L64" i="14"/>
  <c r="K64" i="14"/>
  <c r="E13" i="43" s="1"/>
  <c r="CH13" i="43" s="1"/>
  <c r="J64" i="14"/>
  <c r="E12" i="43" s="1"/>
  <c r="CH12" i="43" s="1"/>
  <c r="I64" i="14"/>
  <c r="E11" i="43" s="1"/>
  <c r="CH11" i="43" s="1"/>
  <c r="H64" i="14"/>
  <c r="G64" i="14"/>
  <c r="E9" i="43" s="1"/>
  <c r="CH9" i="43" s="1"/>
  <c r="F64" i="14"/>
  <c r="E8" i="43" s="1"/>
  <c r="CH8" i="43" s="1"/>
  <c r="E64" i="14"/>
  <c r="E7" i="43" s="1"/>
  <c r="CH7" i="43" s="1"/>
  <c r="D64" i="14"/>
  <c r="E6" i="43" s="1"/>
  <c r="CH6" i="43" s="1"/>
  <c r="C64" i="14"/>
  <c r="E5" i="43" s="1"/>
  <c r="CH5" i="43" s="1"/>
  <c r="B64" i="14"/>
  <c r="E4" i="43" s="1"/>
  <c r="CH4" i="43" s="1"/>
  <c r="N63" i="14"/>
  <c r="N62" i="14"/>
  <c r="N61" i="14"/>
  <c r="N60" i="14"/>
  <c r="N59" i="14"/>
  <c r="N58" i="14"/>
  <c r="N57" i="14"/>
  <c r="N56" i="14"/>
  <c r="N55" i="14"/>
  <c r="N54" i="14"/>
  <c r="N53" i="14"/>
  <c r="N52" i="14"/>
  <c r="M48" i="14"/>
  <c r="L48" i="14"/>
  <c r="D14" i="43" s="1"/>
  <c r="CF14" i="43" s="1"/>
  <c r="K48" i="14"/>
  <c r="D13" i="43" s="1"/>
  <c r="CF13" i="43" s="1"/>
  <c r="J48" i="14"/>
  <c r="D12" i="43" s="1"/>
  <c r="CF12" i="43" s="1"/>
  <c r="I48" i="14"/>
  <c r="H48" i="14"/>
  <c r="D10" i="43" s="1"/>
  <c r="CF10" i="43" s="1"/>
  <c r="G48" i="14"/>
  <c r="D9" i="43" s="1"/>
  <c r="CF9" i="43" s="1"/>
  <c r="F48" i="14"/>
  <c r="D8" i="43" s="1"/>
  <c r="CF8" i="43" s="1"/>
  <c r="E48" i="14"/>
  <c r="D48" i="14"/>
  <c r="D6" i="43" s="1"/>
  <c r="CF6" i="43" s="1"/>
  <c r="C48" i="14"/>
  <c r="D5" i="43" s="1"/>
  <c r="CF5" i="43" s="1"/>
  <c r="B48" i="14"/>
  <c r="D4" i="43" s="1"/>
  <c r="CF4" i="43" s="1"/>
  <c r="N47" i="14"/>
  <c r="N46" i="14"/>
  <c r="N45" i="14"/>
  <c r="N44" i="14"/>
  <c r="N43" i="14"/>
  <c r="N42" i="14"/>
  <c r="N41" i="14"/>
  <c r="N40" i="14"/>
  <c r="N39" i="14"/>
  <c r="N38" i="14"/>
  <c r="N37" i="14"/>
  <c r="N36" i="14"/>
  <c r="M32" i="14"/>
  <c r="C15" i="43" s="1"/>
  <c r="CG15" i="43" s="1"/>
  <c r="L32" i="14"/>
  <c r="C14" i="43" s="1"/>
  <c r="CG14" i="43" s="1"/>
  <c r="K32" i="14"/>
  <c r="C13" i="43" s="1"/>
  <c r="CG13" i="43" s="1"/>
  <c r="J32" i="14"/>
  <c r="C12" i="43" s="1"/>
  <c r="CG12" i="43" s="1"/>
  <c r="I32" i="14"/>
  <c r="C11" i="43" s="1"/>
  <c r="CG11" i="43" s="1"/>
  <c r="H32" i="14"/>
  <c r="C10" i="43" s="1"/>
  <c r="CG10" i="43" s="1"/>
  <c r="G32" i="14"/>
  <c r="C9" i="43" s="1"/>
  <c r="CG9" i="43" s="1"/>
  <c r="F32" i="14"/>
  <c r="C8" i="43" s="1"/>
  <c r="CG8" i="43" s="1"/>
  <c r="E32" i="14"/>
  <c r="C7" i="43" s="1"/>
  <c r="CG7" i="43" s="1"/>
  <c r="D32" i="14"/>
  <c r="C6" i="43" s="1"/>
  <c r="CG6" i="43" s="1"/>
  <c r="C32" i="14"/>
  <c r="C5" i="43" s="1"/>
  <c r="CG5" i="43" s="1"/>
  <c r="B32" i="14"/>
  <c r="C4" i="43" s="1"/>
  <c r="N31" i="14"/>
  <c r="N30" i="14"/>
  <c r="N29" i="14"/>
  <c r="N28" i="14"/>
  <c r="N27" i="14"/>
  <c r="N26" i="14"/>
  <c r="N139" i="14" s="1"/>
  <c r="N25" i="14"/>
  <c r="N24" i="14"/>
  <c r="N23" i="14"/>
  <c r="N22" i="14"/>
  <c r="N21" i="14"/>
  <c r="N20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M10" i="14"/>
  <c r="M138" i="14" s="1"/>
  <c r="L10" i="14"/>
  <c r="L138" i="14" s="1"/>
  <c r="K10" i="14"/>
  <c r="K138" i="14" s="1"/>
  <c r="J10" i="14"/>
  <c r="J138" i="14" s="1"/>
  <c r="I10" i="14"/>
  <c r="I138" i="14" s="1"/>
  <c r="H10" i="14"/>
  <c r="H138" i="14" s="1"/>
  <c r="G10" i="14"/>
  <c r="G138" i="14" s="1"/>
  <c r="F10" i="14"/>
  <c r="F138" i="14" s="1"/>
  <c r="E10" i="14"/>
  <c r="E138" i="14" s="1"/>
  <c r="D10" i="14"/>
  <c r="D138" i="14" s="1"/>
  <c r="C10" i="14"/>
  <c r="C138" i="14" s="1"/>
  <c r="B10" i="14"/>
  <c r="B138" i="14" s="1"/>
  <c r="M9" i="14"/>
  <c r="L9" i="14"/>
  <c r="K9" i="14"/>
  <c r="J9" i="14"/>
  <c r="I9" i="14"/>
  <c r="H9" i="14"/>
  <c r="G9" i="14"/>
  <c r="F9" i="14"/>
  <c r="E9" i="14"/>
  <c r="D9" i="14"/>
  <c r="C9" i="14"/>
  <c r="B9" i="14"/>
  <c r="M8" i="14"/>
  <c r="L8" i="14"/>
  <c r="K8" i="14"/>
  <c r="J8" i="14"/>
  <c r="I8" i="14"/>
  <c r="H8" i="14"/>
  <c r="G8" i="14"/>
  <c r="F8" i="14"/>
  <c r="E8" i="14"/>
  <c r="D8" i="14"/>
  <c r="C8" i="14"/>
  <c r="B8" i="14"/>
  <c r="M7" i="14"/>
  <c r="L7" i="14"/>
  <c r="K7" i="14"/>
  <c r="J7" i="14"/>
  <c r="I7" i="14"/>
  <c r="H7" i="14"/>
  <c r="G7" i="14"/>
  <c r="F7" i="14"/>
  <c r="E7" i="14"/>
  <c r="D7" i="14"/>
  <c r="C7" i="14"/>
  <c r="B7" i="14"/>
  <c r="M6" i="14"/>
  <c r="L6" i="14"/>
  <c r="K6" i="14"/>
  <c r="J6" i="14"/>
  <c r="I6" i="14"/>
  <c r="H6" i="14"/>
  <c r="G6" i="14"/>
  <c r="F6" i="14"/>
  <c r="E6" i="14"/>
  <c r="D6" i="14"/>
  <c r="C6" i="14"/>
  <c r="B6" i="14"/>
  <c r="M5" i="14"/>
  <c r="L5" i="14"/>
  <c r="K5" i="14"/>
  <c r="J5" i="14"/>
  <c r="I5" i="14"/>
  <c r="H5" i="14"/>
  <c r="G5" i="14"/>
  <c r="F5" i="14"/>
  <c r="E5" i="14"/>
  <c r="D5" i="14"/>
  <c r="C5" i="14"/>
  <c r="B5" i="14"/>
  <c r="M4" i="14"/>
  <c r="M135" i="14" s="1"/>
  <c r="L4" i="14"/>
  <c r="L135" i="14" s="1"/>
  <c r="L141" i="14" s="1"/>
  <c r="K4" i="14"/>
  <c r="K135" i="14" s="1"/>
  <c r="K141" i="14" s="1"/>
  <c r="J4" i="14"/>
  <c r="J135" i="14" s="1"/>
  <c r="J141" i="14" s="1"/>
  <c r="I4" i="14"/>
  <c r="I135" i="14" s="1"/>
  <c r="H4" i="14"/>
  <c r="H135" i="14" s="1"/>
  <c r="H141" i="14" s="1"/>
  <c r="G4" i="14"/>
  <c r="G135" i="14" s="1"/>
  <c r="G141" i="14" s="1"/>
  <c r="F4" i="14"/>
  <c r="F135" i="14" s="1"/>
  <c r="F141" i="14" s="1"/>
  <c r="E4" i="14"/>
  <c r="E135" i="14" s="1"/>
  <c r="D4" i="14"/>
  <c r="D135" i="14" s="1"/>
  <c r="D141" i="14" s="1"/>
  <c r="C4" i="14"/>
  <c r="C135" i="14" s="1"/>
  <c r="C141" i="14" s="1"/>
  <c r="B4" i="14"/>
  <c r="A69" i="14"/>
  <c r="A70" i="14"/>
  <c r="A71" i="14"/>
  <c r="A72" i="14"/>
  <c r="A73" i="14"/>
  <c r="A74" i="14"/>
  <c r="A75" i="14"/>
  <c r="A76" i="14"/>
  <c r="A77" i="14"/>
  <c r="A78" i="14"/>
  <c r="A79" i="14"/>
  <c r="A68" i="14"/>
  <c r="AW79" i="14"/>
  <c r="AV79" i="14"/>
  <c r="AU79" i="14"/>
  <c r="AW78" i="14"/>
  <c r="AV78" i="14"/>
  <c r="AU78" i="14"/>
  <c r="AW77" i="14"/>
  <c r="AV77" i="14"/>
  <c r="AU77" i="14"/>
  <c r="AW76" i="14"/>
  <c r="AV76" i="14"/>
  <c r="AU76" i="14"/>
  <c r="AW75" i="14"/>
  <c r="AV75" i="14"/>
  <c r="AU75" i="14"/>
  <c r="AW74" i="14"/>
  <c r="AV74" i="14"/>
  <c r="AU74" i="14"/>
  <c r="AW73" i="14"/>
  <c r="AV73" i="14"/>
  <c r="AU73" i="14"/>
  <c r="AW72" i="14"/>
  <c r="AV72" i="14"/>
  <c r="AU72" i="14"/>
  <c r="AW71" i="14"/>
  <c r="AV71" i="14"/>
  <c r="AU71" i="14"/>
  <c r="AW70" i="14"/>
  <c r="AV70" i="14"/>
  <c r="AU70" i="14"/>
  <c r="AW69" i="14"/>
  <c r="AV69" i="14"/>
  <c r="AU69" i="14"/>
  <c r="AW68" i="14"/>
  <c r="AV68" i="14"/>
  <c r="AU68" i="14"/>
  <c r="H72" i="76" l="1"/>
  <c r="G83" i="76"/>
  <c r="H83" i="76"/>
  <c r="I83" i="76" s="1"/>
  <c r="H81" i="76"/>
  <c r="G81" i="76"/>
  <c r="G108" i="76" s="1"/>
  <c r="F108" i="76"/>
  <c r="F84" i="76"/>
  <c r="H89" i="76"/>
  <c r="C13" i="75"/>
  <c r="CS7" i="43"/>
  <c r="D13" i="75" s="1"/>
  <c r="C61" i="75"/>
  <c r="CS15" i="43"/>
  <c r="D61" i="75" s="1"/>
  <c r="C38" i="75"/>
  <c r="C15" i="75"/>
  <c r="C63" i="75"/>
  <c r="BX9" i="43"/>
  <c r="CL9" i="43"/>
  <c r="BY5" i="43"/>
  <c r="CN5" i="43"/>
  <c r="BY13" i="43"/>
  <c r="CN13" i="43"/>
  <c r="BZ9" i="43"/>
  <c r="CO9" i="43"/>
  <c r="BZ32" i="43"/>
  <c r="O69" i="43"/>
  <c r="BZ69" i="43" s="1"/>
  <c r="CO32" i="43"/>
  <c r="C19" i="75"/>
  <c r="CR4" i="43"/>
  <c r="CJ12" i="43"/>
  <c r="CV12" i="43" s="1"/>
  <c r="C42" i="75"/>
  <c r="CR12" i="43"/>
  <c r="D42" i="75" s="1"/>
  <c r="CT8" i="43"/>
  <c r="D20" i="75" s="1"/>
  <c r="C20" i="75"/>
  <c r="CU4" i="43"/>
  <c r="C45" i="75"/>
  <c r="CU12" i="43"/>
  <c r="D45" i="75" s="1"/>
  <c r="BW6" i="43"/>
  <c r="CM6" i="43"/>
  <c r="CP6" i="43"/>
  <c r="BZ6" i="43"/>
  <c r="CO6" i="43"/>
  <c r="BZ14" i="43"/>
  <c r="CO14" i="43"/>
  <c r="BX32" i="43"/>
  <c r="M69" i="43"/>
  <c r="BX69" i="43" s="1"/>
  <c r="CL32" i="43"/>
  <c r="E110" i="76"/>
  <c r="E91" i="76"/>
  <c r="E7" i="75"/>
  <c r="E10" i="75" s="1"/>
  <c r="CS22" i="43"/>
  <c r="F7" i="75" s="1"/>
  <c r="CJ22" i="43"/>
  <c r="CV22" i="43" s="1"/>
  <c r="CI32" i="43"/>
  <c r="CU32" i="43" s="1"/>
  <c r="CU20" i="43"/>
  <c r="CS5" i="43"/>
  <c r="D67" i="75" s="1"/>
  <c r="C67" i="75"/>
  <c r="C49" i="75"/>
  <c r="CJ5" i="43"/>
  <c r="CV5" i="43" s="1"/>
  <c r="C66" i="75"/>
  <c r="CR5" i="43"/>
  <c r="D66" i="75" s="1"/>
  <c r="CJ13" i="43"/>
  <c r="CR13" i="43"/>
  <c r="D48" i="75" s="1"/>
  <c r="C48" i="75"/>
  <c r="C26" i="75"/>
  <c r="C69" i="75"/>
  <c r="CU5" i="43"/>
  <c r="D69" i="75" s="1"/>
  <c r="C51" i="75"/>
  <c r="CU13" i="43"/>
  <c r="D51" i="75" s="1"/>
  <c r="BX7" i="43"/>
  <c r="CL7" i="43"/>
  <c r="BZ7" i="43"/>
  <c r="CO7" i="43"/>
  <c r="CU7" i="43" s="1"/>
  <c r="D15" i="75" s="1"/>
  <c r="BZ15" i="43"/>
  <c r="CO15" i="43"/>
  <c r="CU15" i="43" s="1"/>
  <c r="D63" i="75" s="1"/>
  <c r="C7" i="75"/>
  <c r="CS6" i="43"/>
  <c r="D7" i="75" s="1"/>
  <c r="CS10" i="43"/>
  <c r="D31" i="75" s="1"/>
  <c r="C31" i="75"/>
  <c r="CS14" i="43"/>
  <c r="D55" i="75" s="1"/>
  <c r="C55" i="75"/>
  <c r="CR6" i="43"/>
  <c r="D6" i="75" s="1"/>
  <c r="C6" i="75"/>
  <c r="CR10" i="43"/>
  <c r="D30" i="75" s="1"/>
  <c r="C30" i="75"/>
  <c r="CR14" i="43"/>
  <c r="D54" i="75" s="1"/>
  <c r="C54" i="75"/>
  <c r="CT6" i="43"/>
  <c r="D8" i="75" s="1"/>
  <c r="C8" i="75"/>
  <c r="C33" i="75"/>
  <c r="CU10" i="43"/>
  <c r="D33" i="75" s="1"/>
  <c r="C57" i="75"/>
  <c r="CU14" i="43"/>
  <c r="D57" i="75" s="1"/>
  <c r="BX4" i="43"/>
  <c r="CL4" i="43"/>
  <c r="BX12" i="43"/>
  <c r="CL12" i="43"/>
  <c r="BY4" i="43"/>
  <c r="CN4" i="43"/>
  <c r="BY8" i="43"/>
  <c r="CN8" i="43"/>
  <c r="BY12" i="43"/>
  <c r="CN12" i="43"/>
  <c r="BZ4" i="43"/>
  <c r="CO4" i="43"/>
  <c r="BZ8" i="43"/>
  <c r="CO8" i="43"/>
  <c r="BZ12" i="43"/>
  <c r="CO12" i="43"/>
  <c r="I32" i="43"/>
  <c r="CC30" i="43"/>
  <c r="CS30" i="43"/>
  <c r="F55" i="75" s="1"/>
  <c r="E55" i="75"/>
  <c r="E58" i="75" s="1"/>
  <c r="CJ30" i="43"/>
  <c r="CV30" i="43" s="1"/>
  <c r="E24" i="76"/>
  <c r="E25" i="75"/>
  <c r="E28" i="75" s="1"/>
  <c r="CS25" i="43"/>
  <c r="F25" i="75" s="1"/>
  <c r="CJ25" i="43"/>
  <c r="CV25" i="43" s="1"/>
  <c r="CF32" i="43"/>
  <c r="CR32" i="43" s="1"/>
  <c r="CR20" i="43"/>
  <c r="CJ20" i="43"/>
  <c r="CS11" i="43"/>
  <c r="D37" i="75" s="1"/>
  <c r="C37" i="75"/>
  <c r="C14" i="75"/>
  <c r="CT7" i="43"/>
  <c r="D14" i="75" s="1"/>
  <c r="C62" i="75"/>
  <c r="CT15" i="43"/>
  <c r="D62" i="75" s="1"/>
  <c r="CU11" i="43"/>
  <c r="D39" i="75" s="1"/>
  <c r="C39" i="75"/>
  <c r="BX5" i="43"/>
  <c r="CL5" i="43"/>
  <c r="BX13" i="43"/>
  <c r="CL13" i="43"/>
  <c r="BY9" i="43"/>
  <c r="CN9" i="43"/>
  <c r="CT9" i="43" s="1"/>
  <c r="D26" i="75" s="1"/>
  <c r="BZ5" i="43"/>
  <c r="CO5" i="43"/>
  <c r="BZ13" i="43"/>
  <c r="CO13" i="43"/>
  <c r="L69" i="43"/>
  <c r="CM32" i="43"/>
  <c r="BY32" i="43"/>
  <c r="N69" i="43"/>
  <c r="CN32" i="43"/>
  <c r="CS32" i="43"/>
  <c r="E31" i="75"/>
  <c r="E34" i="75" s="1"/>
  <c r="CS26" i="43"/>
  <c r="F31" i="75" s="1"/>
  <c r="CJ26" i="43"/>
  <c r="CV26" i="43" s="1"/>
  <c r="CS31" i="43"/>
  <c r="F61" i="75" s="1"/>
  <c r="E61" i="75"/>
  <c r="E64" i="75" s="1"/>
  <c r="F64" i="75" s="1"/>
  <c r="CJ31" i="43"/>
  <c r="CV31" i="43" s="1"/>
  <c r="I4" i="43"/>
  <c r="CG4" i="43"/>
  <c r="CJ4" i="43" s="1"/>
  <c r="CS12" i="43"/>
  <c r="D43" i="75" s="1"/>
  <c r="C43" i="75"/>
  <c r="CJ8" i="43"/>
  <c r="CR8" i="43"/>
  <c r="D18" i="75" s="1"/>
  <c r="C18" i="75"/>
  <c r="CT4" i="43"/>
  <c r="CT12" i="43"/>
  <c r="D44" i="75" s="1"/>
  <c r="C44" i="75"/>
  <c r="C21" i="75"/>
  <c r="CU8" i="43"/>
  <c r="D21" i="75" s="1"/>
  <c r="BX10" i="43"/>
  <c r="CL10" i="43"/>
  <c r="BX14" i="43"/>
  <c r="CL14" i="43"/>
  <c r="BZ10" i="43"/>
  <c r="CO10" i="43"/>
  <c r="E37" i="75"/>
  <c r="E40" i="75" s="1"/>
  <c r="F40" i="75" s="1"/>
  <c r="CS27" i="43"/>
  <c r="F37" i="75" s="1"/>
  <c r="CJ27" i="43"/>
  <c r="CV27" i="43" s="1"/>
  <c r="C25" i="75"/>
  <c r="CJ9" i="43"/>
  <c r="CR9" i="43"/>
  <c r="D24" i="75" s="1"/>
  <c r="C24" i="75"/>
  <c r="C68" i="75"/>
  <c r="CT5" i="43"/>
  <c r="D68" i="75" s="1"/>
  <c r="C50" i="75"/>
  <c r="CT13" i="43"/>
  <c r="D50" i="75" s="1"/>
  <c r="C27" i="75"/>
  <c r="CU9" i="43"/>
  <c r="D27" i="75" s="1"/>
  <c r="BZ11" i="43"/>
  <c r="CO11" i="43"/>
  <c r="C76" i="43"/>
  <c r="I69" i="43"/>
  <c r="CA32" i="43"/>
  <c r="P69" i="43"/>
  <c r="CC25" i="43"/>
  <c r="CB32" i="43"/>
  <c r="Q69" i="43"/>
  <c r="CB69" i="43" s="1"/>
  <c r="CH32" i="43"/>
  <c r="CT32" i="43" s="1"/>
  <c r="CT20" i="43"/>
  <c r="E13" i="75"/>
  <c r="E16" i="75" s="1"/>
  <c r="CS23" i="43"/>
  <c r="F13" i="75" s="1"/>
  <c r="CJ23" i="43"/>
  <c r="CV23" i="43" s="1"/>
  <c r="CS29" i="43"/>
  <c r="F49" i="75" s="1"/>
  <c r="E49" i="75"/>
  <c r="E52" i="75" s="1"/>
  <c r="F52" i="75" s="1"/>
  <c r="CJ29" i="43"/>
  <c r="CV29" i="43" s="1"/>
  <c r="E11" i="76"/>
  <c r="I72" i="76"/>
  <c r="G4" i="76"/>
  <c r="F36" i="76"/>
  <c r="F9" i="76"/>
  <c r="H3" i="76"/>
  <c r="F15" i="76"/>
  <c r="BW10" i="43"/>
  <c r="BX6" i="43"/>
  <c r="BY6" i="43"/>
  <c r="CB6" i="43"/>
  <c r="CB14" i="43"/>
  <c r="N136" i="14"/>
  <c r="N137" i="14"/>
  <c r="AA16" i="14"/>
  <c r="AA17" i="14" s="1"/>
  <c r="BW7" i="43"/>
  <c r="BW11" i="43"/>
  <c r="BW15" i="43"/>
  <c r="CB7" i="43"/>
  <c r="CB15" i="43"/>
  <c r="AL16" i="14"/>
  <c r="BW14" i="43"/>
  <c r="R4" i="43"/>
  <c r="CC4" i="43" s="1"/>
  <c r="BW4" i="43"/>
  <c r="BX8" i="43"/>
  <c r="AJ135" i="14"/>
  <c r="AN135" i="14"/>
  <c r="AI138" i="14"/>
  <c r="AM138" i="14"/>
  <c r="AQ138" i="14"/>
  <c r="BW32" i="43"/>
  <c r="AA10" i="43"/>
  <c r="AA14" i="43"/>
  <c r="AA32" i="43"/>
  <c r="R32" i="43"/>
  <c r="D38" i="76" s="1"/>
  <c r="AV141" i="5"/>
  <c r="AC7" i="14"/>
  <c r="AC15" i="14"/>
  <c r="AR7" i="14"/>
  <c r="AR15" i="14"/>
  <c r="AR138" i="14" s="1"/>
  <c r="N6" i="14"/>
  <c r="AC8" i="14"/>
  <c r="AC137" i="14"/>
  <c r="AF135" i="14"/>
  <c r="AR32" i="14"/>
  <c r="U4" i="43"/>
  <c r="AR4" i="14"/>
  <c r="AR135" i="14" s="1"/>
  <c r="AR80" i="14"/>
  <c r="X4" i="43"/>
  <c r="AR137" i="14"/>
  <c r="AR112" i="14"/>
  <c r="Z4" i="43"/>
  <c r="N7" i="14"/>
  <c r="N11" i="14"/>
  <c r="N15" i="14"/>
  <c r="T135" i="14"/>
  <c r="X135" i="14"/>
  <c r="AB135" i="14"/>
  <c r="S138" i="14"/>
  <c r="W138" i="14"/>
  <c r="AA138" i="14"/>
  <c r="S16" i="14"/>
  <c r="S17" i="14" s="1"/>
  <c r="B135" i="14"/>
  <c r="B141" i="14" s="1"/>
  <c r="AC11" i="14"/>
  <c r="AC138" i="14" s="1"/>
  <c r="AR11" i="14"/>
  <c r="N10" i="14"/>
  <c r="N14" i="14"/>
  <c r="AC136" i="14"/>
  <c r="AC4" i="14"/>
  <c r="AR136" i="14"/>
  <c r="AR48" i="14"/>
  <c r="V4" i="43"/>
  <c r="AR64" i="14"/>
  <c r="W4" i="43"/>
  <c r="AR96" i="14"/>
  <c r="Y4" i="43"/>
  <c r="I141" i="14"/>
  <c r="AC139" i="14"/>
  <c r="AC140" i="14"/>
  <c r="AH135" i="14"/>
  <c r="AL135" i="14"/>
  <c r="AP135" i="14"/>
  <c r="AR139" i="14"/>
  <c r="AR140" i="14"/>
  <c r="E141" i="14"/>
  <c r="M141" i="14"/>
  <c r="AG138" i="14"/>
  <c r="AK138" i="14"/>
  <c r="AO138" i="14"/>
  <c r="R135" i="14"/>
  <c r="V135" i="14"/>
  <c r="Z135" i="14"/>
  <c r="Q138" i="14"/>
  <c r="U138" i="14"/>
  <c r="Y138" i="14"/>
  <c r="C16" i="43"/>
  <c r="C68" i="43" s="1"/>
  <c r="I5" i="43"/>
  <c r="N48" i="14"/>
  <c r="N64" i="14"/>
  <c r="N80" i="14"/>
  <c r="N96" i="14"/>
  <c r="N112" i="14"/>
  <c r="B130" i="14"/>
  <c r="R16" i="14"/>
  <c r="R17" i="14" s="1"/>
  <c r="L5" i="43"/>
  <c r="V16" i="14"/>
  <c r="V17" i="14" s="1"/>
  <c r="L9" i="43"/>
  <c r="Z16" i="14"/>
  <c r="Z17" i="14" s="1"/>
  <c r="L13" i="43"/>
  <c r="M16" i="43"/>
  <c r="O16" i="43"/>
  <c r="P16" i="43"/>
  <c r="Q16" i="43"/>
  <c r="Q68" i="43" s="1"/>
  <c r="CB68" i="43" s="1"/>
  <c r="X16" i="43"/>
  <c r="G16" i="43"/>
  <c r="G68" i="43" s="1"/>
  <c r="H16" i="43"/>
  <c r="H68" i="43" s="1"/>
  <c r="U135" i="14"/>
  <c r="Y135" i="14"/>
  <c r="Q135" i="14"/>
  <c r="Q141" i="14" s="1"/>
  <c r="T138" i="14"/>
  <c r="T141" i="14" s="1"/>
  <c r="X138" i="14"/>
  <c r="X141" i="14" s="1"/>
  <c r="AB138" i="14"/>
  <c r="AB141" i="14" s="1"/>
  <c r="AG135" i="14"/>
  <c r="AG141" i="14" s="1"/>
  <c r="AK135" i="14"/>
  <c r="AO135" i="14"/>
  <c r="AF138" i="14"/>
  <c r="AJ138" i="14"/>
  <c r="AJ141" i="14" s="1"/>
  <c r="AN138" i="14"/>
  <c r="AN141" i="14" s="1"/>
  <c r="AP16" i="14"/>
  <c r="AI16" i="14"/>
  <c r="W7" i="43"/>
  <c r="AM16" i="14"/>
  <c r="W11" i="43"/>
  <c r="AQ16" i="14"/>
  <c r="W15" i="43"/>
  <c r="H16" i="14"/>
  <c r="E10" i="43"/>
  <c r="L16" i="14"/>
  <c r="E14" i="43"/>
  <c r="D16" i="14"/>
  <c r="F6" i="43"/>
  <c r="T16" i="14"/>
  <c r="T17" i="14" s="1"/>
  <c r="N7" i="43"/>
  <c r="X16" i="14"/>
  <c r="X17" i="14" s="1"/>
  <c r="N11" i="43"/>
  <c r="AB16" i="14"/>
  <c r="AB17" i="14" s="1"/>
  <c r="N15" i="43"/>
  <c r="AJ16" i="14"/>
  <c r="U8" i="43"/>
  <c r="AN16" i="14"/>
  <c r="U12" i="43"/>
  <c r="N32" i="14"/>
  <c r="E16" i="14"/>
  <c r="D7" i="43"/>
  <c r="CF7" i="43" s="1"/>
  <c r="I16" i="14"/>
  <c r="D11" i="43"/>
  <c r="M16" i="14"/>
  <c r="D15" i="43"/>
  <c r="S135" i="14"/>
  <c r="W135" i="14"/>
  <c r="AA135" i="14"/>
  <c r="AA141" i="14" s="1"/>
  <c r="R138" i="14"/>
  <c r="V138" i="14"/>
  <c r="V141" i="14" s="1"/>
  <c r="Z138" i="14"/>
  <c r="AC32" i="14"/>
  <c r="U16" i="14"/>
  <c r="U17" i="14" s="1"/>
  <c r="L8" i="43"/>
  <c r="Y16" i="14"/>
  <c r="Y17" i="14" s="1"/>
  <c r="L12" i="43"/>
  <c r="AC135" i="14"/>
  <c r="AC48" i="14"/>
  <c r="AC64" i="14"/>
  <c r="AC80" i="14"/>
  <c r="AC96" i="14"/>
  <c r="AC112" i="14"/>
  <c r="AI135" i="14"/>
  <c r="AI141" i="14" s="1"/>
  <c r="AM135" i="14"/>
  <c r="AM141" i="14" s="1"/>
  <c r="AQ135" i="14"/>
  <c r="AQ141" i="14" s="1"/>
  <c r="AH138" i="14"/>
  <c r="AL138" i="14"/>
  <c r="AL141" i="14" s="1"/>
  <c r="AP138" i="14"/>
  <c r="AH16" i="14"/>
  <c r="AG16" i="14"/>
  <c r="U5" i="43"/>
  <c r="AK16" i="14"/>
  <c r="U9" i="43"/>
  <c r="AO16" i="14"/>
  <c r="U13" i="43"/>
  <c r="D130" i="14"/>
  <c r="AF16" i="14"/>
  <c r="Q16" i="14"/>
  <c r="Q17" i="14" s="1"/>
  <c r="N4" i="14"/>
  <c r="N8" i="14"/>
  <c r="N12" i="14"/>
  <c r="B16" i="14"/>
  <c r="F16" i="14"/>
  <c r="J16" i="14"/>
  <c r="N5" i="14"/>
  <c r="N9" i="14"/>
  <c r="N13" i="14"/>
  <c r="C16" i="14"/>
  <c r="G16" i="14"/>
  <c r="K16" i="14"/>
  <c r="I4" i="76" l="1"/>
  <c r="F110" i="76"/>
  <c r="F118" i="76" s="1"/>
  <c r="F119" i="76" s="1"/>
  <c r="H84" i="76"/>
  <c r="I84" i="76" s="1"/>
  <c r="G84" i="76"/>
  <c r="I81" i="76"/>
  <c r="H108" i="76"/>
  <c r="CV4" i="43"/>
  <c r="CJ7" i="43"/>
  <c r="CV7" i="43" s="1"/>
  <c r="CR7" i="43"/>
  <c r="D12" i="75" s="1"/>
  <c r="C12" i="75"/>
  <c r="C16" i="75" s="1"/>
  <c r="G76" i="43"/>
  <c r="CA69" i="43"/>
  <c r="E116" i="76"/>
  <c r="E118" i="76"/>
  <c r="E119" i="76" s="1"/>
  <c r="BY11" i="43"/>
  <c r="CN11" i="43"/>
  <c r="BW13" i="43"/>
  <c r="CM13" i="43"/>
  <c r="CS13" i="43" s="1"/>
  <c r="D49" i="75" s="1"/>
  <c r="F16" i="75"/>
  <c r="C28" i="75"/>
  <c r="CP10" i="43"/>
  <c r="C22" i="75"/>
  <c r="E63" i="76"/>
  <c r="E25" i="76"/>
  <c r="F10" i="75"/>
  <c r="E72" i="75"/>
  <c r="D3" i="76" s="1"/>
  <c r="BX11" i="43"/>
  <c r="CF11" i="43"/>
  <c r="CA16" i="43"/>
  <c r="P68" i="43"/>
  <c r="BW8" i="43"/>
  <c r="CM8" i="43"/>
  <c r="BY15" i="43"/>
  <c r="CN15" i="43"/>
  <c r="CP15" i="43" s="1"/>
  <c r="BY7" i="43"/>
  <c r="CN7" i="43"/>
  <c r="BY14" i="43"/>
  <c r="CH14" i="43"/>
  <c r="F75" i="43"/>
  <c r="BZ16" i="43"/>
  <c r="O68" i="43"/>
  <c r="BZ68" i="43" s="1"/>
  <c r="CO16" i="43"/>
  <c r="BW9" i="43"/>
  <c r="CM9" i="43"/>
  <c r="CS9" i="43" s="1"/>
  <c r="D25" i="75" s="1"/>
  <c r="D72" i="76"/>
  <c r="CP14" i="43"/>
  <c r="BW69" i="43"/>
  <c r="D76" i="43"/>
  <c r="F28" i="75"/>
  <c r="F58" i="75"/>
  <c r="CP4" i="43"/>
  <c r="CP7" i="43"/>
  <c r="C52" i="75"/>
  <c r="C70" i="75"/>
  <c r="D70" i="75" s="1"/>
  <c r="E101" i="76"/>
  <c r="E103" i="76"/>
  <c r="E104" i="76" s="1"/>
  <c r="C46" i="75"/>
  <c r="D46" i="75" s="1"/>
  <c r="CP9" i="43"/>
  <c r="CV9" i="43" s="1"/>
  <c r="BX15" i="43"/>
  <c r="CF15" i="43"/>
  <c r="M68" i="43"/>
  <c r="CL16" i="43"/>
  <c r="R69" i="43"/>
  <c r="CC69" i="43" s="1"/>
  <c r="BY69" i="43"/>
  <c r="CP12" i="43"/>
  <c r="BW12" i="43"/>
  <c r="CM12" i="43"/>
  <c r="F16" i="43"/>
  <c r="F68" i="43" s="1"/>
  <c r="CI6" i="43"/>
  <c r="BY10" i="43"/>
  <c r="CH10" i="43"/>
  <c r="BW5" i="43"/>
  <c r="CM5" i="43"/>
  <c r="CP5" i="43" s="1"/>
  <c r="F34" i="75"/>
  <c r="CG16" i="43"/>
  <c r="CS4" i="43"/>
  <c r="CV20" i="43"/>
  <c r="CJ32" i="43"/>
  <c r="CV32" i="43" s="1"/>
  <c r="CP32" i="43"/>
  <c r="CF16" i="43"/>
  <c r="F91" i="76"/>
  <c r="F24" i="76"/>
  <c r="AH141" i="14"/>
  <c r="AP141" i="14"/>
  <c r="CB16" i="43"/>
  <c r="CC32" i="43"/>
  <c r="AA8" i="43"/>
  <c r="AA13" i="43"/>
  <c r="AA12" i="43"/>
  <c r="AA7" i="43"/>
  <c r="AA9" i="43"/>
  <c r="AA11" i="43"/>
  <c r="AA5" i="43"/>
  <c r="AR141" i="14"/>
  <c r="S141" i="14"/>
  <c r="E16" i="43"/>
  <c r="E68" i="43" s="1"/>
  <c r="AF141" i="14"/>
  <c r="Y141" i="14"/>
  <c r="N16" i="14"/>
  <c r="Z141" i="14"/>
  <c r="AA4" i="43"/>
  <c r="W141" i="14"/>
  <c r="N138" i="14"/>
  <c r="AC141" i="14"/>
  <c r="R141" i="14"/>
  <c r="AO141" i="14"/>
  <c r="U141" i="14"/>
  <c r="AR16" i="14"/>
  <c r="D16" i="43"/>
  <c r="AK141" i="14"/>
  <c r="N16" i="43"/>
  <c r="N135" i="14"/>
  <c r="N141" i="14" s="1"/>
  <c r="AC16" i="14"/>
  <c r="AC17" i="14" s="1"/>
  <c r="L16" i="43"/>
  <c r="R5" i="43"/>
  <c r="CC5" i="43" s="1"/>
  <c r="F63" i="76" l="1"/>
  <c r="G63" i="76"/>
  <c r="D16" i="75"/>
  <c r="F116" i="76"/>
  <c r="F72" i="75"/>
  <c r="D28" i="75"/>
  <c r="BW16" i="43"/>
  <c r="L68" i="43"/>
  <c r="CM16" i="43"/>
  <c r="CS16" i="43" s="1"/>
  <c r="BX16" i="43"/>
  <c r="D68" i="43"/>
  <c r="BX68" i="43" s="1"/>
  <c r="CP16" i="43"/>
  <c r="CT14" i="43"/>
  <c r="D56" i="75" s="1"/>
  <c r="C56" i="75"/>
  <c r="C58" i="75" s="1"/>
  <c r="CJ14" i="43"/>
  <c r="CV14" i="43" s="1"/>
  <c r="CJ11" i="43"/>
  <c r="CV11" i="43" s="1"/>
  <c r="CR11" i="43"/>
  <c r="D36" i="75" s="1"/>
  <c r="C36" i="75"/>
  <c r="C40" i="75" s="1"/>
  <c r="CP13" i="43"/>
  <c r="CV13" i="43" s="1"/>
  <c r="CT10" i="43"/>
  <c r="D32" i="75" s="1"/>
  <c r="C32" i="75"/>
  <c r="C34" i="75" s="1"/>
  <c r="CH16" i="43"/>
  <c r="CJ10" i="43"/>
  <c r="CV10" i="43" s="1"/>
  <c r="CJ15" i="43"/>
  <c r="CV15" i="43" s="1"/>
  <c r="CR15" i="43"/>
  <c r="D60" i="75" s="1"/>
  <c r="C60" i="75"/>
  <c r="C64" i="75" s="1"/>
  <c r="CP11" i="43"/>
  <c r="CT11" i="43"/>
  <c r="D38" i="75" s="1"/>
  <c r="N68" i="43"/>
  <c r="BY68" i="43" s="1"/>
  <c r="CN16" i="43"/>
  <c r="CP8" i="43"/>
  <c r="CV8" i="43" s="1"/>
  <c r="CS8" i="43"/>
  <c r="D19" i="75" s="1"/>
  <c r="D22" i="75" s="1"/>
  <c r="CA68" i="43"/>
  <c r="G75" i="43"/>
  <c r="C9" i="75"/>
  <c r="C10" i="75" s="1"/>
  <c r="CU6" i="43"/>
  <c r="D9" i="75" s="1"/>
  <c r="CI16" i="43"/>
  <c r="CU16" i="43" s="1"/>
  <c r="CJ6" i="43"/>
  <c r="D9" i="76"/>
  <c r="D15" i="76"/>
  <c r="D4" i="76"/>
  <c r="D36" i="76"/>
  <c r="CR16" i="43"/>
  <c r="D52" i="75"/>
  <c r="E27" i="76"/>
  <c r="E65" i="76"/>
  <c r="E28" i="76"/>
  <c r="E29" i="76"/>
  <c r="H91" i="76"/>
  <c r="H103" i="76" s="1"/>
  <c r="H104" i="76" s="1"/>
  <c r="H110" i="76"/>
  <c r="G91" i="76"/>
  <c r="G110" i="76"/>
  <c r="F103" i="76"/>
  <c r="F104" i="76" s="1"/>
  <c r="F101" i="76"/>
  <c r="G11" i="76"/>
  <c r="H11" i="76"/>
  <c r="H63" i="76"/>
  <c r="F25" i="76"/>
  <c r="BY16" i="43"/>
  <c r="F65" i="76" l="1"/>
  <c r="H25" i="76"/>
  <c r="I25" i="76" s="1"/>
  <c r="G25" i="76"/>
  <c r="D34" i="75"/>
  <c r="D58" i="75"/>
  <c r="D10" i="75"/>
  <c r="C72" i="75"/>
  <c r="C3" i="76" s="1"/>
  <c r="CV6" i="43"/>
  <c r="CJ16" i="43"/>
  <c r="CV16" i="43" s="1"/>
  <c r="D75" i="43"/>
  <c r="BW68" i="43"/>
  <c r="D24" i="76"/>
  <c r="D40" i="75"/>
  <c r="R68" i="43"/>
  <c r="D11" i="76"/>
  <c r="D64" i="75"/>
  <c r="CT16" i="43"/>
  <c r="C75" i="43"/>
  <c r="I68" i="43"/>
  <c r="H118" i="76"/>
  <c r="H119" i="76" s="1"/>
  <c r="H116" i="76"/>
  <c r="G118" i="76"/>
  <c r="G119" i="76" s="1"/>
  <c r="G116" i="76"/>
  <c r="H101" i="76"/>
  <c r="G101" i="76"/>
  <c r="I63" i="76"/>
  <c r="I11" i="76"/>
  <c r="AU139" i="14"/>
  <c r="AV140" i="14"/>
  <c r="AV136" i="14"/>
  <c r="AU137" i="14"/>
  <c r="D72" i="75" l="1"/>
  <c r="D63" i="76"/>
  <c r="D25" i="76"/>
  <c r="D27" i="76" s="1"/>
  <c r="CC68" i="43"/>
  <c r="D91" i="76"/>
  <c r="D110" i="76"/>
  <c r="C36" i="76"/>
  <c r="C15" i="76"/>
  <c r="C9" i="76"/>
  <c r="C4" i="76"/>
  <c r="H27" i="76"/>
  <c r="H65" i="76"/>
  <c r="G27" i="76"/>
  <c r="G65" i="76"/>
  <c r="G29" i="76"/>
  <c r="G28" i="76"/>
  <c r="H29" i="76"/>
  <c r="H28" i="76"/>
  <c r="AU136" i="14"/>
  <c r="AW137" i="14"/>
  <c r="AW140" i="14"/>
  <c r="AU140" i="14"/>
  <c r="AW136" i="14"/>
  <c r="AV139" i="14"/>
  <c r="AW139" i="14"/>
  <c r="AV137" i="14"/>
  <c r="C11" i="76" l="1"/>
  <c r="E10" i="76"/>
  <c r="G10" i="76"/>
  <c r="D10" i="76"/>
  <c r="I10" i="76"/>
  <c r="C24" i="76"/>
  <c r="E16" i="76"/>
  <c r="G16" i="76"/>
  <c r="I16" i="76"/>
  <c r="D16" i="76"/>
  <c r="D118" i="76"/>
  <c r="D119" i="76" s="1"/>
  <c r="D116" i="76"/>
  <c r="D29" i="76"/>
  <c r="D28" i="76"/>
  <c r="D65" i="76"/>
  <c r="E37" i="76"/>
  <c r="G37" i="76"/>
  <c r="I37" i="76"/>
  <c r="D37" i="76"/>
  <c r="D103" i="76"/>
  <c r="D104" i="76" s="1"/>
  <c r="D101" i="76"/>
  <c r="I27" i="76"/>
  <c r="I65" i="76"/>
  <c r="I28" i="76"/>
  <c r="I29" i="76"/>
  <c r="BN64" i="43"/>
  <c r="BD64" i="43"/>
  <c r="BE64" i="43"/>
  <c r="BM64" i="43"/>
  <c r="BL64" i="43"/>
  <c r="BK64" i="43"/>
  <c r="BJ64" i="43"/>
  <c r="BI64" i="43"/>
  <c r="BH64" i="43"/>
  <c r="BG64" i="43"/>
  <c r="BF64" i="43"/>
  <c r="BC64" i="43"/>
  <c r="AY64" i="43"/>
  <c r="AO64" i="43"/>
  <c r="AP64" i="43"/>
  <c r="AX64" i="43"/>
  <c r="AW64" i="43"/>
  <c r="AV64" i="43"/>
  <c r="AU64" i="43"/>
  <c r="AT64" i="43"/>
  <c r="AS64" i="43"/>
  <c r="AR64" i="43"/>
  <c r="AQ64" i="43"/>
  <c r="AN64" i="43"/>
  <c r="BO53" i="43"/>
  <c r="AZ53" i="43"/>
  <c r="AI53" i="43"/>
  <c r="AH53" i="43"/>
  <c r="AG53" i="43"/>
  <c r="AF53" i="43"/>
  <c r="AE53" i="43"/>
  <c r="AD53" i="43"/>
  <c r="BO63" i="43"/>
  <c r="AZ63" i="43"/>
  <c r="BO62" i="43"/>
  <c r="AZ62" i="43"/>
  <c r="BO61" i="43"/>
  <c r="AZ61" i="43"/>
  <c r="BO60" i="43"/>
  <c r="AZ60" i="43"/>
  <c r="BO59" i="43"/>
  <c r="AZ59" i="43"/>
  <c r="BO58" i="43"/>
  <c r="AZ58" i="43"/>
  <c r="BO57" i="43"/>
  <c r="AZ57" i="43"/>
  <c r="BO56" i="43"/>
  <c r="AZ56" i="43"/>
  <c r="BO55" i="43"/>
  <c r="AZ55" i="43"/>
  <c r="BO54" i="43"/>
  <c r="AZ54" i="43"/>
  <c r="AI54" i="43"/>
  <c r="AH54" i="43"/>
  <c r="AG54" i="43"/>
  <c r="AF54" i="43"/>
  <c r="AE54" i="43"/>
  <c r="AD54" i="43"/>
  <c r="C63" i="76" l="1"/>
  <c r="C25" i="76"/>
  <c r="AZ64" i="43"/>
  <c r="BO64" i="43"/>
  <c r="C29" i="76" l="1"/>
  <c r="C65" i="76"/>
  <c r="C28" i="76"/>
  <c r="D26" i="76"/>
  <c r="D64" i="76"/>
  <c r="E64" i="76"/>
  <c r="G64" i="76"/>
  <c r="H64" i="76"/>
  <c r="I64" i="76"/>
  <c r="C27" i="76"/>
  <c r="H6" i="41"/>
  <c r="D66" i="76" l="1"/>
  <c r="E66" i="76"/>
  <c r="G66" i="76"/>
  <c r="H66" i="76"/>
  <c r="I66" i="76"/>
  <c r="L5" i="41"/>
  <c r="L4" i="41"/>
  <c r="L3" i="41"/>
  <c r="G130" i="14" l="1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C119" i="14"/>
  <c r="G119" i="14" s="1"/>
  <c r="F120" i="14"/>
  <c r="C120" i="14"/>
  <c r="G120" i="14" s="1"/>
  <c r="C121" i="14"/>
  <c r="G121" i="14" s="1"/>
  <c r="F122" i="14"/>
  <c r="C122" i="14"/>
  <c r="G122" i="14" s="1"/>
  <c r="C123" i="14"/>
  <c r="G123" i="14" s="1"/>
  <c r="F124" i="14"/>
  <c r="C124" i="14"/>
  <c r="G124" i="14" s="1"/>
  <c r="C125" i="14"/>
  <c r="G125" i="14" s="1"/>
  <c r="F126" i="14"/>
  <c r="C126" i="14"/>
  <c r="G126" i="14" s="1"/>
  <c r="C127" i="14"/>
  <c r="G127" i="14" s="1"/>
  <c r="F128" i="14"/>
  <c r="C128" i="14"/>
  <c r="G128" i="14" s="1"/>
  <c r="C129" i="14"/>
  <c r="G129" i="14" s="1"/>
  <c r="C118" i="14"/>
  <c r="G118" i="14" s="1"/>
  <c r="F118" i="14"/>
  <c r="F129" i="14" l="1"/>
  <c r="F127" i="14"/>
  <c r="F125" i="14"/>
  <c r="F123" i="14"/>
  <c r="F121" i="14"/>
  <c r="F119" i="14"/>
  <c r="F130" i="14" l="1"/>
  <c r="E43" i="41" l="1"/>
  <c r="E42" i="41" l="1"/>
  <c r="E41" i="41" l="1"/>
  <c r="BN16" i="43" l="1"/>
  <c r="BD16" i="43"/>
  <c r="BE16" i="43"/>
  <c r="BM16" i="43"/>
  <c r="BL16" i="43"/>
  <c r="BK16" i="43"/>
  <c r="BJ16" i="43"/>
  <c r="BI16" i="43"/>
  <c r="BH16" i="43"/>
  <c r="BF16" i="43"/>
  <c r="AR15" i="43"/>
  <c r="B84" i="53" l="1"/>
  <c r="AN75" i="53"/>
  <c r="AF75" i="53"/>
  <c r="AE75" i="53"/>
  <c r="AG75" i="53" s="1"/>
  <c r="AD75" i="53"/>
  <c r="AB75" i="53"/>
  <c r="AC75" i="53" s="1"/>
  <c r="AN74" i="53"/>
  <c r="AE74" i="53"/>
  <c r="AG74" i="53" s="1"/>
  <c r="AD74" i="53"/>
  <c r="AF74" i="53" s="1"/>
  <c r="AB74" i="53"/>
  <c r="AC74" i="53" s="1"/>
  <c r="AN73" i="53"/>
  <c r="AE73" i="53"/>
  <c r="AD73" i="53"/>
  <c r="AF73" i="53" s="1"/>
  <c r="AC73" i="53"/>
  <c r="AG73" i="53" s="1"/>
  <c r="AB73" i="53"/>
  <c r="AN72" i="53"/>
  <c r="AF72" i="53"/>
  <c r="AE72" i="53"/>
  <c r="AD72" i="53"/>
  <c r="AC72" i="53"/>
  <c r="AG72" i="53" s="1"/>
  <c r="AB72" i="53"/>
  <c r="AN71" i="53"/>
  <c r="AE71" i="53"/>
  <c r="AD71" i="53"/>
  <c r="AC71" i="53"/>
  <c r="AB71" i="53"/>
  <c r="AN70" i="53"/>
  <c r="AF70" i="53"/>
  <c r="AE70" i="53"/>
  <c r="AD70" i="53"/>
  <c r="AC70" i="53"/>
  <c r="AG70" i="53" s="1"/>
  <c r="AB70" i="53"/>
  <c r="AN69" i="53"/>
  <c r="AF69" i="53"/>
  <c r="AE69" i="53"/>
  <c r="AD69" i="53"/>
  <c r="AB69" i="53"/>
  <c r="AC69" i="53" s="1"/>
  <c r="AN68" i="53"/>
  <c r="AE68" i="53"/>
  <c r="AG68" i="53" s="1"/>
  <c r="AD68" i="53"/>
  <c r="AF68" i="53" s="1"/>
  <c r="AC68" i="53"/>
  <c r="AB68" i="53"/>
  <c r="AN67" i="53"/>
  <c r="AE67" i="53"/>
  <c r="AD67" i="53"/>
  <c r="AF67" i="53" s="1"/>
  <c r="AC67" i="53"/>
  <c r="AG67" i="53" s="1"/>
  <c r="AB67" i="53"/>
  <c r="AN66" i="53"/>
  <c r="AF66" i="53"/>
  <c r="AE66" i="53"/>
  <c r="AD66" i="53"/>
  <c r="AC66" i="53"/>
  <c r="AG66" i="53" s="1"/>
  <c r="AB66" i="53"/>
  <c r="AN65" i="53"/>
  <c r="AF65" i="53"/>
  <c r="AE65" i="53"/>
  <c r="AG65" i="53" s="1"/>
  <c r="AD65" i="53"/>
  <c r="AB65" i="53"/>
  <c r="AC65" i="53" s="1"/>
  <c r="AN64" i="53"/>
  <c r="AE64" i="53"/>
  <c r="AG64" i="53" s="1"/>
  <c r="AD64" i="53"/>
  <c r="AF64" i="53" s="1"/>
  <c r="AC64" i="53"/>
  <c r="AB64" i="53"/>
  <c r="AN63" i="53"/>
  <c r="AE63" i="53"/>
  <c r="AD63" i="53"/>
  <c r="AF63" i="53" s="1"/>
  <c r="AC63" i="53"/>
  <c r="AG63" i="53" s="1"/>
  <c r="AB63" i="53"/>
  <c r="AN62" i="53"/>
  <c r="AE62" i="53"/>
  <c r="AD62" i="53"/>
  <c r="AC62" i="53"/>
  <c r="AB62" i="53"/>
  <c r="AN61" i="53"/>
  <c r="AE61" i="53"/>
  <c r="AD61" i="53"/>
  <c r="AF61" i="53" s="1"/>
  <c r="AC61" i="53"/>
  <c r="AG61" i="53" s="1"/>
  <c r="AB61" i="53"/>
  <c r="AN60" i="53"/>
  <c r="AF60" i="53"/>
  <c r="AE60" i="53"/>
  <c r="AD60" i="53"/>
  <c r="AC60" i="53"/>
  <c r="AG60" i="53" s="1"/>
  <c r="AB60" i="53"/>
  <c r="AN59" i="53"/>
  <c r="AE59" i="53"/>
  <c r="AD59" i="53"/>
  <c r="AC59" i="53"/>
  <c r="AB59" i="53"/>
  <c r="AN58" i="53"/>
  <c r="AF58" i="53"/>
  <c r="AE58" i="53"/>
  <c r="AD58" i="53"/>
  <c r="AC58" i="53"/>
  <c r="AG58" i="53" s="1"/>
  <c r="AB58" i="53"/>
  <c r="AN57" i="53"/>
  <c r="AE57" i="53"/>
  <c r="AD57" i="53"/>
  <c r="AC57" i="53"/>
  <c r="AB57" i="53"/>
  <c r="AN56" i="53"/>
  <c r="AF56" i="53"/>
  <c r="AE56" i="53"/>
  <c r="AD56" i="53"/>
  <c r="AC56" i="53"/>
  <c r="AG56" i="53" s="1"/>
  <c r="AB56" i="53"/>
  <c r="AN55" i="53"/>
  <c r="AF55" i="53"/>
  <c r="AE55" i="53"/>
  <c r="AG55" i="53" s="1"/>
  <c r="AD55" i="53"/>
  <c r="AB55" i="53"/>
  <c r="AC55" i="53" s="1"/>
  <c r="AN54" i="53"/>
  <c r="AE54" i="53"/>
  <c r="AG54" i="53" s="1"/>
  <c r="AD54" i="53"/>
  <c r="AF54" i="53" s="1"/>
  <c r="AC54" i="53"/>
  <c r="AB54" i="53"/>
  <c r="AN53" i="53"/>
  <c r="AE53" i="53"/>
  <c r="AD53" i="53"/>
  <c r="AF53" i="53" s="1"/>
  <c r="AC53" i="53"/>
  <c r="AG53" i="53" s="1"/>
  <c r="AB53" i="53"/>
  <c r="AN52" i="53"/>
  <c r="AF52" i="53"/>
  <c r="AE52" i="53"/>
  <c r="AD52" i="53"/>
  <c r="AC52" i="53"/>
  <c r="AG52" i="53" s="1"/>
  <c r="AB52" i="53"/>
  <c r="AN51" i="53"/>
  <c r="AF51" i="53"/>
  <c r="AE51" i="53"/>
  <c r="AD51" i="53"/>
  <c r="AB51" i="53"/>
  <c r="AC51" i="53" s="1"/>
  <c r="AN50" i="53"/>
  <c r="AE50" i="53"/>
  <c r="AG50" i="53" s="1"/>
  <c r="AD50" i="53"/>
  <c r="AF50" i="53" s="1"/>
  <c r="AC50" i="53"/>
  <c r="AB50" i="53"/>
  <c r="AN49" i="53"/>
  <c r="AE49" i="53"/>
  <c r="AD49" i="53"/>
  <c r="AF49" i="53" s="1"/>
  <c r="AC49" i="53"/>
  <c r="AG49" i="53" s="1"/>
  <c r="AB49" i="53"/>
  <c r="AN48" i="53"/>
  <c r="AF48" i="53"/>
  <c r="AE48" i="53"/>
  <c r="AD48" i="53"/>
  <c r="AC48" i="53"/>
  <c r="AG48" i="53" s="1"/>
  <c r="AB48" i="53"/>
  <c r="AN47" i="53"/>
  <c r="AF47" i="53"/>
  <c r="AE47" i="53"/>
  <c r="AD47" i="53"/>
  <c r="AB47" i="53"/>
  <c r="AC47" i="53" s="1"/>
  <c r="AN46" i="53"/>
  <c r="AE46" i="53"/>
  <c r="AG46" i="53" s="1"/>
  <c r="AD46" i="53"/>
  <c r="AF46" i="53" s="1"/>
  <c r="AC46" i="53"/>
  <c r="AB46" i="53"/>
  <c r="AN45" i="53"/>
  <c r="AE45" i="53"/>
  <c r="AD45" i="53"/>
  <c r="AF45" i="53" s="1"/>
  <c r="AC45" i="53"/>
  <c r="AG45" i="53" s="1"/>
  <c r="AB45" i="53"/>
  <c r="AN44" i="53"/>
  <c r="AF44" i="53"/>
  <c r="AE44" i="53"/>
  <c r="AD44" i="53"/>
  <c r="AC44" i="53"/>
  <c r="AG44" i="53" s="1"/>
  <c r="AB44" i="53"/>
  <c r="AN43" i="53"/>
  <c r="AF43" i="53"/>
  <c r="AE43" i="53"/>
  <c r="AG43" i="53" s="1"/>
  <c r="AD43" i="53"/>
  <c r="AB43" i="53"/>
  <c r="AC43" i="53" s="1"/>
  <c r="AN42" i="53"/>
  <c r="AE42" i="53"/>
  <c r="AG42" i="53" s="1"/>
  <c r="AD42" i="53"/>
  <c r="AF42" i="53" s="1"/>
  <c r="AC42" i="53"/>
  <c r="AB42" i="53"/>
  <c r="AN41" i="53"/>
  <c r="AE41" i="53"/>
  <c r="AD41" i="53"/>
  <c r="AF41" i="53" s="1"/>
  <c r="AC41" i="53"/>
  <c r="AG41" i="53" s="1"/>
  <c r="AB41" i="53"/>
  <c r="AN40" i="53"/>
  <c r="AF40" i="53"/>
  <c r="AE40" i="53"/>
  <c r="AD40" i="53"/>
  <c r="AC40" i="53"/>
  <c r="AG40" i="53" s="1"/>
  <c r="AB40" i="53"/>
  <c r="AN39" i="53"/>
  <c r="AF39" i="53"/>
  <c r="AE39" i="53"/>
  <c r="AG39" i="53" s="1"/>
  <c r="AD39" i="53"/>
  <c r="AB39" i="53"/>
  <c r="AC39" i="53" s="1"/>
  <c r="AN38" i="53"/>
  <c r="AE38" i="53"/>
  <c r="AG38" i="53" s="1"/>
  <c r="AD38" i="53"/>
  <c r="AF38" i="53" s="1"/>
  <c r="AC38" i="53"/>
  <c r="AB38" i="53"/>
  <c r="AN37" i="53"/>
  <c r="AE37" i="53"/>
  <c r="AD37" i="53"/>
  <c r="AF37" i="53" s="1"/>
  <c r="AC37" i="53"/>
  <c r="AG37" i="53" s="1"/>
  <c r="AB37" i="53"/>
  <c r="AN36" i="53"/>
  <c r="AF36" i="53"/>
  <c r="AE36" i="53"/>
  <c r="AD36" i="53"/>
  <c r="AC36" i="53"/>
  <c r="AG36" i="53" s="1"/>
  <c r="AB36" i="53"/>
  <c r="AN35" i="53"/>
  <c r="AF35" i="53"/>
  <c r="AE35" i="53"/>
  <c r="AD35" i="53"/>
  <c r="AB35" i="53"/>
  <c r="AC35" i="53" s="1"/>
  <c r="AN34" i="53"/>
  <c r="AE34" i="53"/>
  <c r="AG34" i="53" s="1"/>
  <c r="AD34" i="53"/>
  <c r="AF34" i="53" s="1"/>
  <c r="AC34" i="53"/>
  <c r="AB34" i="53"/>
  <c r="AN33" i="53"/>
  <c r="AE33" i="53"/>
  <c r="AD33" i="53"/>
  <c r="AF33" i="53" s="1"/>
  <c r="AC33" i="53"/>
  <c r="AG33" i="53" s="1"/>
  <c r="AB33" i="53"/>
  <c r="AN32" i="53"/>
  <c r="AF32" i="53"/>
  <c r="AE32" i="53"/>
  <c r="AD32" i="53"/>
  <c r="AC32" i="53"/>
  <c r="AG32" i="53" s="1"/>
  <c r="AB32" i="53"/>
  <c r="AN31" i="53"/>
  <c r="AF31" i="53"/>
  <c r="AE31" i="53"/>
  <c r="AD31" i="53"/>
  <c r="AB31" i="53"/>
  <c r="AC31" i="53" s="1"/>
  <c r="AN30" i="53"/>
  <c r="AE30" i="53"/>
  <c r="AG30" i="53" s="1"/>
  <c r="AD30" i="53"/>
  <c r="AF30" i="53" s="1"/>
  <c r="AC30" i="53"/>
  <c r="AB30" i="53"/>
  <c r="AN29" i="53"/>
  <c r="AE29" i="53"/>
  <c r="AD29" i="53"/>
  <c r="AF29" i="53" s="1"/>
  <c r="AC29" i="53"/>
  <c r="AG29" i="53" s="1"/>
  <c r="AB29" i="53"/>
  <c r="AN28" i="53"/>
  <c r="AF28" i="53"/>
  <c r="AE28" i="53"/>
  <c r="AD28" i="53"/>
  <c r="AC28" i="53"/>
  <c r="AG28" i="53" s="1"/>
  <c r="AB28" i="53"/>
  <c r="AN27" i="53"/>
  <c r="AF27" i="53"/>
  <c r="AE27" i="53"/>
  <c r="AG27" i="53" s="1"/>
  <c r="AD27" i="53"/>
  <c r="AB27" i="53"/>
  <c r="AC27" i="53" s="1"/>
  <c r="AN26" i="53"/>
  <c r="AE26" i="53"/>
  <c r="AG26" i="53" s="1"/>
  <c r="AD26" i="53"/>
  <c r="AF26" i="53" s="1"/>
  <c r="AC26" i="53"/>
  <c r="AB26" i="53"/>
  <c r="AN25" i="53"/>
  <c r="AE25" i="53"/>
  <c r="AD25" i="53"/>
  <c r="AF25" i="53" s="1"/>
  <c r="AC25" i="53"/>
  <c r="AG25" i="53" s="1"/>
  <c r="AB25" i="53"/>
  <c r="AN24" i="53"/>
  <c r="AF24" i="53"/>
  <c r="AE24" i="53"/>
  <c r="AD24" i="53"/>
  <c r="AC24" i="53"/>
  <c r="AG24" i="53" s="1"/>
  <c r="AB24" i="53"/>
  <c r="AN23" i="53"/>
  <c r="AF23" i="53"/>
  <c r="AE23" i="53"/>
  <c r="AG23" i="53" s="1"/>
  <c r="AD23" i="53"/>
  <c r="AB23" i="53"/>
  <c r="AC23" i="53" s="1"/>
  <c r="AN22" i="53"/>
  <c r="AE22" i="53"/>
  <c r="AG22" i="53" s="1"/>
  <c r="AD22" i="53"/>
  <c r="AF22" i="53" s="1"/>
  <c r="AC22" i="53"/>
  <c r="AB22" i="53"/>
  <c r="AN21" i="53"/>
  <c r="AE21" i="53"/>
  <c r="AD21" i="53"/>
  <c r="AF21" i="53" s="1"/>
  <c r="AB21" i="53"/>
  <c r="AC21" i="53" s="1"/>
  <c r="AG21" i="53" s="1"/>
  <c r="AN20" i="53"/>
  <c r="AF20" i="53"/>
  <c r="AE20" i="53"/>
  <c r="AD20" i="53"/>
  <c r="AC20" i="53"/>
  <c r="AG20" i="53" s="1"/>
  <c r="AB20" i="53"/>
  <c r="AN19" i="53"/>
  <c r="AF19" i="53"/>
  <c r="AE19" i="53"/>
  <c r="AG19" i="53" s="1"/>
  <c r="AD19" i="53"/>
  <c r="AB19" i="53"/>
  <c r="AC19" i="53" s="1"/>
  <c r="AN18" i="53"/>
  <c r="AE18" i="53"/>
  <c r="AG18" i="53" s="1"/>
  <c r="AD18" i="53"/>
  <c r="AF18" i="53" s="1"/>
  <c r="AC18" i="53"/>
  <c r="AB18" i="53"/>
  <c r="AN17" i="53"/>
  <c r="AE17" i="53"/>
  <c r="AD17" i="53"/>
  <c r="AF17" i="53" s="1"/>
  <c r="AB17" i="53"/>
  <c r="AC17" i="53" s="1"/>
  <c r="AG17" i="53" s="1"/>
  <c r="AN16" i="53"/>
  <c r="AF16" i="53"/>
  <c r="AE16" i="53"/>
  <c r="AD16" i="53"/>
  <c r="AC16" i="53"/>
  <c r="AG16" i="53" s="1"/>
  <c r="AB16" i="53"/>
  <c r="AN15" i="53"/>
  <c r="AE15" i="53"/>
  <c r="AD15" i="53"/>
  <c r="AB15" i="53"/>
  <c r="AC15" i="53" s="1"/>
  <c r="AN14" i="53"/>
  <c r="AF14" i="53"/>
  <c r="AE14" i="53"/>
  <c r="AD14" i="53"/>
  <c r="AC14" i="53"/>
  <c r="AG14" i="53" s="1"/>
  <c r="AB14" i="53"/>
  <c r="AN13" i="53"/>
  <c r="AF13" i="53"/>
  <c r="AE13" i="53"/>
  <c r="AD13" i="53"/>
  <c r="AB13" i="53"/>
  <c r="AC13" i="53" s="1"/>
  <c r="AN12" i="53"/>
  <c r="AE12" i="53"/>
  <c r="AG12" i="53" s="1"/>
  <c r="AD12" i="53"/>
  <c r="AF12" i="53" s="1"/>
  <c r="AC12" i="53"/>
  <c r="AB12" i="53"/>
  <c r="AN11" i="53"/>
  <c r="AE11" i="53"/>
  <c r="AD11" i="53"/>
  <c r="AF11" i="53" s="1"/>
  <c r="AB11" i="53"/>
  <c r="AC11" i="53" s="1"/>
  <c r="AG11" i="53" s="1"/>
  <c r="AN10" i="53"/>
  <c r="AF10" i="53"/>
  <c r="AE10" i="53"/>
  <c r="AD10" i="53"/>
  <c r="AC10" i="53"/>
  <c r="AG10" i="53" s="1"/>
  <c r="AB10" i="53"/>
  <c r="AN9" i="53"/>
  <c r="AF9" i="53"/>
  <c r="AE9" i="53"/>
  <c r="AD9" i="53"/>
  <c r="AB9" i="53"/>
  <c r="AC9" i="53" s="1"/>
  <c r="AN8" i="53"/>
  <c r="AE8" i="53"/>
  <c r="AG8" i="53" s="1"/>
  <c r="AD8" i="53"/>
  <c r="AF8" i="53" s="1"/>
  <c r="AC8" i="53"/>
  <c r="AB8" i="53"/>
  <c r="AN7" i="53"/>
  <c r="AE7" i="53"/>
  <c r="AD7" i="53"/>
  <c r="AF7" i="53" s="1"/>
  <c r="AB7" i="53"/>
  <c r="AC7" i="53" s="1"/>
  <c r="AG7" i="53" s="1"/>
  <c r="AN6" i="53"/>
  <c r="AF6" i="53"/>
  <c r="AE6" i="53"/>
  <c r="AD6" i="53"/>
  <c r="AC6" i="53"/>
  <c r="AG6" i="53" s="1"/>
  <c r="AB6" i="53"/>
  <c r="AN5" i="53"/>
  <c r="AF5" i="53"/>
  <c r="AE5" i="53"/>
  <c r="AD5" i="53"/>
  <c r="AB5" i="53"/>
  <c r="AC5" i="53" s="1"/>
  <c r="AN4" i="53"/>
  <c r="AE4" i="53"/>
  <c r="AG4" i="53" s="1"/>
  <c r="AD4" i="53"/>
  <c r="AF4" i="53" s="1"/>
  <c r="AC4" i="53"/>
  <c r="AB4" i="53"/>
  <c r="AN3" i="53"/>
  <c r="AE3" i="53"/>
  <c r="AD3" i="53"/>
  <c r="AF3" i="53" s="1"/>
  <c r="AB3" i="53"/>
  <c r="AC3" i="53" s="1"/>
  <c r="AG3" i="53" s="1"/>
  <c r="AG5" i="53" l="1"/>
  <c r="AG9" i="53"/>
  <c r="AG13" i="53"/>
  <c r="AG31" i="53"/>
  <c r="AG47" i="53"/>
  <c r="AG69" i="53"/>
  <c r="AG35" i="53"/>
  <c r="AG51" i="53"/>
  <c r="E3" i="41" l="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AW111" i="16" l="1"/>
  <c r="AV111" i="16"/>
  <c r="AU111" i="16"/>
  <c r="AW110" i="16"/>
  <c r="AV110" i="16"/>
  <c r="AU110" i="16"/>
  <c r="AW109" i="16"/>
  <c r="AV109" i="16"/>
  <c r="AU109" i="16"/>
  <c r="AW108" i="16"/>
  <c r="AV108" i="16"/>
  <c r="AU108" i="16"/>
  <c r="AW107" i="16"/>
  <c r="AV107" i="16"/>
  <c r="AU107" i="16"/>
  <c r="AW106" i="16"/>
  <c r="AV106" i="16"/>
  <c r="AU106" i="16"/>
  <c r="AW105" i="16"/>
  <c r="AV105" i="16"/>
  <c r="AU105" i="16"/>
  <c r="AW104" i="16"/>
  <c r="AV104" i="16"/>
  <c r="AU104" i="16"/>
  <c r="AW103" i="16"/>
  <c r="AV103" i="16"/>
  <c r="AU103" i="16"/>
  <c r="AW102" i="16"/>
  <c r="AV102" i="16"/>
  <c r="AU102" i="16"/>
  <c r="AW101" i="16"/>
  <c r="AV101" i="16"/>
  <c r="AU101" i="16"/>
  <c r="AW100" i="16"/>
  <c r="AV100" i="16"/>
  <c r="AU100" i="16"/>
  <c r="AW95" i="16"/>
  <c r="AV95" i="16"/>
  <c r="AU95" i="16"/>
  <c r="AW94" i="16"/>
  <c r="AV94" i="16"/>
  <c r="AU94" i="16"/>
  <c r="AW93" i="16"/>
  <c r="AV93" i="16"/>
  <c r="AU93" i="16"/>
  <c r="AW92" i="16"/>
  <c r="AV92" i="16"/>
  <c r="AU92" i="16"/>
  <c r="AW91" i="16"/>
  <c r="AV91" i="16"/>
  <c r="AU91" i="16"/>
  <c r="AW90" i="16"/>
  <c r="AV90" i="16"/>
  <c r="AU90" i="16"/>
  <c r="AW89" i="16"/>
  <c r="AV89" i="16"/>
  <c r="AU89" i="16"/>
  <c r="AW88" i="16"/>
  <c r="AV88" i="16"/>
  <c r="AU88" i="16"/>
  <c r="AW87" i="16"/>
  <c r="AV87" i="16"/>
  <c r="AU87" i="16"/>
  <c r="AW86" i="16"/>
  <c r="AV86" i="16"/>
  <c r="AU86" i="16"/>
  <c r="AW85" i="16"/>
  <c r="AV85" i="16"/>
  <c r="AU85" i="16"/>
  <c r="AW84" i="16"/>
  <c r="AV84" i="16"/>
  <c r="AU84" i="16"/>
  <c r="AW63" i="16"/>
  <c r="AV63" i="16"/>
  <c r="AU63" i="16"/>
  <c r="AW62" i="16"/>
  <c r="AV62" i="16"/>
  <c r="AU62" i="16"/>
  <c r="AW61" i="16"/>
  <c r="AV61" i="16"/>
  <c r="AU61" i="16"/>
  <c r="AW60" i="16"/>
  <c r="AV60" i="16"/>
  <c r="AU60" i="16"/>
  <c r="AW59" i="16"/>
  <c r="AV59" i="16"/>
  <c r="AU59" i="16"/>
  <c r="AW58" i="16"/>
  <c r="AV58" i="16"/>
  <c r="AU58" i="16"/>
  <c r="AW57" i="16"/>
  <c r="AV57" i="16"/>
  <c r="AU57" i="16"/>
  <c r="AW56" i="16"/>
  <c r="AV56" i="16"/>
  <c r="AU56" i="16"/>
  <c r="AW55" i="16"/>
  <c r="AV55" i="16"/>
  <c r="AU55" i="16"/>
  <c r="AW54" i="16"/>
  <c r="AV54" i="16"/>
  <c r="AU54" i="16"/>
  <c r="AW53" i="16"/>
  <c r="AV53" i="16"/>
  <c r="AU53" i="16"/>
  <c r="AW52" i="16"/>
  <c r="AV52" i="16"/>
  <c r="AU52" i="16"/>
  <c r="AW47" i="16"/>
  <c r="AV47" i="16"/>
  <c r="AU47" i="16"/>
  <c r="AW46" i="16"/>
  <c r="AV46" i="16"/>
  <c r="AU46" i="16"/>
  <c r="AW45" i="16"/>
  <c r="AV45" i="16"/>
  <c r="AU45" i="16"/>
  <c r="AW44" i="16"/>
  <c r="AV44" i="16"/>
  <c r="AU44" i="16"/>
  <c r="AW43" i="16"/>
  <c r="AV43" i="16"/>
  <c r="AU43" i="16"/>
  <c r="AW42" i="16"/>
  <c r="AV42" i="16"/>
  <c r="AU42" i="16"/>
  <c r="AW41" i="16"/>
  <c r="AV41" i="16"/>
  <c r="AU41" i="16"/>
  <c r="AW40" i="16"/>
  <c r="AV40" i="16"/>
  <c r="AU40" i="16"/>
  <c r="AW39" i="16"/>
  <c r="AV39" i="16"/>
  <c r="AU39" i="16"/>
  <c r="AW38" i="16"/>
  <c r="AV38" i="16"/>
  <c r="AU38" i="16"/>
  <c r="AW37" i="16"/>
  <c r="AV37" i="16"/>
  <c r="AU37" i="16"/>
  <c r="AW36" i="16"/>
  <c r="AV36" i="16"/>
  <c r="AU36" i="16"/>
  <c r="AW31" i="16"/>
  <c r="AV31" i="16"/>
  <c r="AU31" i="16"/>
  <c r="AW30" i="16"/>
  <c r="AV30" i="16"/>
  <c r="AU30" i="16"/>
  <c r="AW29" i="16"/>
  <c r="AV29" i="16"/>
  <c r="AU29" i="16"/>
  <c r="AW28" i="16"/>
  <c r="AV28" i="16"/>
  <c r="AU28" i="16"/>
  <c r="AW27" i="16"/>
  <c r="AV27" i="16"/>
  <c r="AU27" i="16"/>
  <c r="AW26" i="16"/>
  <c r="AV26" i="16"/>
  <c r="AU26" i="16"/>
  <c r="AW25" i="16"/>
  <c r="AV25" i="16"/>
  <c r="AU25" i="16"/>
  <c r="AW24" i="16"/>
  <c r="AV24" i="16"/>
  <c r="AU24" i="16"/>
  <c r="AW23" i="16"/>
  <c r="AV23" i="16"/>
  <c r="AU23" i="16"/>
  <c r="AW22" i="16"/>
  <c r="AV22" i="16"/>
  <c r="AU22" i="16"/>
  <c r="AW21" i="16"/>
  <c r="AV21" i="16"/>
  <c r="AU21" i="16"/>
  <c r="AW20" i="16"/>
  <c r="AV20" i="16"/>
  <c r="AU20" i="16"/>
  <c r="AW111" i="4"/>
  <c r="AV111" i="4"/>
  <c r="AU111" i="4"/>
  <c r="AW110" i="4"/>
  <c r="AV110" i="4"/>
  <c r="AU110" i="4"/>
  <c r="AW109" i="4"/>
  <c r="AV109" i="4"/>
  <c r="AU109" i="4"/>
  <c r="AW108" i="4"/>
  <c r="AV108" i="4"/>
  <c r="AU108" i="4"/>
  <c r="AW107" i="4"/>
  <c r="AV107" i="4"/>
  <c r="AU107" i="4"/>
  <c r="AW106" i="4"/>
  <c r="AV106" i="4"/>
  <c r="AU106" i="4"/>
  <c r="AW105" i="4"/>
  <c r="AV105" i="4"/>
  <c r="AU105" i="4"/>
  <c r="AW104" i="4"/>
  <c r="AV104" i="4"/>
  <c r="AU104" i="4"/>
  <c r="AW103" i="4"/>
  <c r="AV103" i="4"/>
  <c r="AU103" i="4"/>
  <c r="AW102" i="4"/>
  <c r="AV102" i="4"/>
  <c r="AU102" i="4"/>
  <c r="AW101" i="4"/>
  <c r="AV101" i="4"/>
  <c r="AU101" i="4"/>
  <c r="AW100" i="4"/>
  <c r="AV100" i="4"/>
  <c r="AU100" i="4"/>
  <c r="AW95" i="4"/>
  <c r="AV95" i="4"/>
  <c r="AU95" i="4"/>
  <c r="AW94" i="4"/>
  <c r="AV94" i="4"/>
  <c r="AU94" i="4"/>
  <c r="AW93" i="4"/>
  <c r="AV93" i="4"/>
  <c r="AU93" i="4"/>
  <c r="AW92" i="4"/>
  <c r="AV92" i="4"/>
  <c r="AU92" i="4"/>
  <c r="AW91" i="4"/>
  <c r="AV91" i="4"/>
  <c r="AU91" i="4"/>
  <c r="AW90" i="4"/>
  <c r="AV90" i="4"/>
  <c r="AU90" i="4"/>
  <c r="AW89" i="4"/>
  <c r="AV89" i="4"/>
  <c r="AU89" i="4"/>
  <c r="AW88" i="4"/>
  <c r="AV88" i="4"/>
  <c r="AU88" i="4"/>
  <c r="AW87" i="4"/>
  <c r="AV87" i="4"/>
  <c r="AU87" i="4"/>
  <c r="AW86" i="4"/>
  <c r="AV86" i="4"/>
  <c r="AU86" i="4"/>
  <c r="AW85" i="4"/>
  <c r="AV85" i="4"/>
  <c r="AU85" i="4"/>
  <c r="AW84" i="4"/>
  <c r="AV84" i="4"/>
  <c r="AU84" i="4"/>
  <c r="AW63" i="4"/>
  <c r="AV63" i="4"/>
  <c r="AU63" i="4"/>
  <c r="AW62" i="4"/>
  <c r="AV62" i="4"/>
  <c r="AU62" i="4"/>
  <c r="AW61" i="4"/>
  <c r="AV61" i="4"/>
  <c r="AU61" i="4"/>
  <c r="AW60" i="4"/>
  <c r="AV60" i="4"/>
  <c r="AU60" i="4"/>
  <c r="AW59" i="4"/>
  <c r="AV59" i="4"/>
  <c r="AU59" i="4"/>
  <c r="AW58" i="4"/>
  <c r="AV58" i="4"/>
  <c r="AU58" i="4"/>
  <c r="AW57" i="4"/>
  <c r="AV57" i="4"/>
  <c r="AU57" i="4"/>
  <c r="AW56" i="4"/>
  <c r="AV56" i="4"/>
  <c r="AU56" i="4"/>
  <c r="AW55" i="4"/>
  <c r="AV55" i="4"/>
  <c r="AU55" i="4"/>
  <c r="AW54" i="4"/>
  <c r="AV54" i="4"/>
  <c r="AU54" i="4"/>
  <c r="AW53" i="4"/>
  <c r="AV53" i="4"/>
  <c r="AU53" i="4"/>
  <c r="AW52" i="4"/>
  <c r="AV52" i="4"/>
  <c r="AU52" i="4"/>
  <c r="AW47" i="4"/>
  <c r="AV47" i="4"/>
  <c r="AU47" i="4"/>
  <c r="AW46" i="4"/>
  <c r="AV46" i="4"/>
  <c r="AU46" i="4"/>
  <c r="AW45" i="4"/>
  <c r="AV45" i="4"/>
  <c r="AU45" i="4"/>
  <c r="AW44" i="4"/>
  <c r="AV44" i="4"/>
  <c r="AU44" i="4"/>
  <c r="AW43" i="4"/>
  <c r="AV43" i="4"/>
  <c r="AU43" i="4"/>
  <c r="AW42" i="4"/>
  <c r="AV42" i="4"/>
  <c r="AU42" i="4"/>
  <c r="AW41" i="4"/>
  <c r="AV41" i="4"/>
  <c r="AU41" i="4"/>
  <c r="AW40" i="4"/>
  <c r="AV40" i="4"/>
  <c r="AU40" i="4"/>
  <c r="AW39" i="4"/>
  <c r="AV39" i="4"/>
  <c r="AU39" i="4"/>
  <c r="AW38" i="4"/>
  <c r="AV38" i="4"/>
  <c r="AU38" i="4"/>
  <c r="AW37" i="4"/>
  <c r="AV37" i="4"/>
  <c r="AU37" i="4"/>
  <c r="AW36" i="4"/>
  <c r="AV36" i="4"/>
  <c r="AU36" i="4"/>
  <c r="AW31" i="4"/>
  <c r="AV31" i="4"/>
  <c r="AU31" i="4"/>
  <c r="AW30" i="4"/>
  <c r="AV30" i="4"/>
  <c r="AU30" i="4"/>
  <c r="AW29" i="4"/>
  <c r="AV29" i="4"/>
  <c r="AU29" i="4"/>
  <c r="AW28" i="4"/>
  <c r="AV28" i="4"/>
  <c r="AU28" i="4"/>
  <c r="AW27" i="4"/>
  <c r="AV27" i="4"/>
  <c r="AU27" i="4"/>
  <c r="AW26" i="4"/>
  <c r="AV26" i="4"/>
  <c r="AU26" i="4"/>
  <c r="AW25" i="4"/>
  <c r="AV25" i="4"/>
  <c r="AU25" i="4"/>
  <c r="AW24" i="4"/>
  <c r="AV24" i="4"/>
  <c r="AU24" i="4"/>
  <c r="AW23" i="4"/>
  <c r="AV23" i="4"/>
  <c r="AU23" i="4"/>
  <c r="AW22" i="4"/>
  <c r="AV22" i="4"/>
  <c r="AU22" i="4"/>
  <c r="AW21" i="4"/>
  <c r="AV21" i="4"/>
  <c r="AU21" i="4"/>
  <c r="AW20" i="4"/>
  <c r="AV20" i="4"/>
  <c r="AU20" i="4"/>
  <c r="AW111" i="5"/>
  <c r="AV111" i="5"/>
  <c r="AU111" i="5"/>
  <c r="AW110" i="5"/>
  <c r="AV110" i="5"/>
  <c r="AU110" i="5"/>
  <c r="AW109" i="5"/>
  <c r="AV109" i="5"/>
  <c r="AU109" i="5"/>
  <c r="AW108" i="5"/>
  <c r="AV108" i="5"/>
  <c r="AU108" i="5"/>
  <c r="AW107" i="5"/>
  <c r="AV107" i="5"/>
  <c r="AU107" i="5"/>
  <c r="AW106" i="5"/>
  <c r="AV106" i="5"/>
  <c r="AU106" i="5"/>
  <c r="AW105" i="5"/>
  <c r="AV105" i="5"/>
  <c r="AU105" i="5"/>
  <c r="AW104" i="5"/>
  <c r="AV104" i="5"/>
  <c r="AU104" i="5"/>
  <c r="AW103" i="5"/>
  <c r="AV103" i="5"/>
  <c r="AU103" i="5"/>
  <c r="AW102" i="5"/>
  <c r="AV102" i="5"/>
  <c r="AU102" i="5"/>
  <c r="AW101" i="5"/>
  <c r="AV101" i="5"/>
  <c r="AU101" i="5"/>
  <c r="AW100" i="5"/>
  <c r="AV100" i="5"/>
  <c r="AU100" i="5"/>
  <c r="AW95" i="5"/>
  <c r="AV95" i="5"/>
  <c r="AU95" i="5"/>
  <c r="AW94" i="5"/>
  <c r="AV94" i="5"/>
  <c r="AU94" i="5"/>
  <c r="AW93" i="5"/>
  <c r="AV93" i="5"/>
  <c r="AU93" i="5"/>
  <c r="AW92" i="5"/>
  <c r="AV92" i="5"/>
  <c r="AU92" i="5"/>
  <c r="AW91" i="5"/>
  <c r="AV91" i="5"/>
  <c r="AU91" i="5"/>
  <c r="AW90" i="5"/>
  <c r="AV90" i="5"/>
  <c r="AU90" i="5"/>
  <c r="AW89" i="5"/>
  <c r="AV89" i="5"/>
  <c r="AU89" i="5"/>
  <c r="AW88" i="5"/>
  <c r="AV88" i="5"/>
  <c r="AU88" i="5"/>
  <c r="AW87" i="5"/>
  <c r="AV87" i="5"/>
  <c r="AU87" i="5"/>
  <c r="AW86" i="5"/>
  <c r="AV86" i="5"/>
  <c r="AU86" i="5"/>
  <c r="AW85" i="5"/>
  <c r="AV85" i="5"/>
  <c r="AU85" i="5"/>
  <c r="AW84" i="5"/>
  <c r="AV84" i="5"/>
  <c r="AU84" i="5"/>
  <c r="AW63" i="5"/>
  <c r="AV63" i="5"/>
  <c r="AU63" i="5"/>
  <c r="AW62" i="5"/>
  <c r="AV62" i="5"/>
  <c r="AU62" i="5"/>
  <c r="AW61" i="5"/>
  <c r="AV61" i="5"/>
  <c r="AU61" i="5"/>
  <c r="AW60" i="5"/>
  <c r="AV60" i="5"/>
  <c r="AU60" i="5"/>
  <c r="AW59" i="5"/>
  <c r="AV59" i="5"/>
  <c r="AU59" i="5"/>
  <c r="AW58" i="5"/>
  <c r="AV58" i="5"/>
  <c r="AU58" i="5"/>
  <c r="AW57" i="5"/>
  <c r="AV57" i="5"/>
  <c r="AU57" i="5"/>
  <c r="AW56" i="5"/>
  <c r="AV56" i="5"/>
  <c r="AU56" i="5"/>
  <c r="AW55" i="5"/>
  <c r="AV55" i="5"/>
  <c r="AU55" i="5"/>
  <c r="AW54" i="5"/>
  <c r="AV54" i="5"/>
  <c r="AU54" i="5"/>
  <c r="AW53" i="5"/>
  <c r="AV53" i="5"/>
  <c r="AU53" i="5"/>
  <c r="AW52" i="5"/>
  <c r="AV52" i="5"/>
  <c r="AU52" i="5"/>
  <c r="AW47" i="5"/>
  <c r="AV47" i="5"/>
  <c r="AU47" i="5"/>
  <c r="AW46" i="5"/>
  <c r="AV46" i="5"/>
  <c r="AU46" i="5"/>
  <c r="AW45" i="5"/>
  <c r="AV45" i="5"/>
  <c r="AU45" i="5"/>
  <c r="AW44" i="5"/>
  <c r="AV44" i="5"/>
  <c r="AU44" i="5"/>
  <c r="AW43" i="5"/>
  <c r="AV43" i="5"/>
  <c r="AU43" i="5"/>
  <c r="AW42" i="5"/>
  <c r="AV42" i="5"/>
  <c r="AU42" i="5"/>
  <c r="AW41" i="5"/>
  <c r="AV41" i="5"/>
  <c r="AU41" i="5"/>
  <c r="AW40" i="5"/>
  <c r="AV40" i="5"/>
  <c r="AU40" i="5"/>
  <c r="AW39" i="5"/>
  <c r="AV39" i="5"/>
  <c r="AU39" i="5"/>
  <c r="AW38" i="5"/>
  <c r="AV38" i="5"/>
  <c r="AU38" i="5"/>
  <c r="AW37" i="5"/>
  <c r="AV37" i="5"/>
  <c r="AU37" i="5"/>
  <c r="AW36" i="5"/>
  <c r="AV36" i="5"/>
  <c r="AU36" i="5"/>
  <c r="AW31" i="5"/>
  <c r="AV31" i="5"/>
  <c r="AU31" i="5"/>
  <c r="AW30" i="5"/>
  <c r="AV30" i="5"/>
  <c r="AU30" i="5"/>
  <c r="AW29" i="5"/>
  <c r="AV29" i="5"/>
  <c r="AU29" i="5"/>
  <c r="AW28" i="5"/>
  <c r="AV28" i="5"/>
  <c r="AU28" i="5"/>
  <c r="AW27" i="5"/>
  <c r="AV27" i="5"/>
  <c r="AU27" i="5"/>
  <c r="AW26" i="5"/>
  <c r="AV26" i="5"/>
  <c r="AU26" i="5"/>
  <c r="AW25" i="5"/>
  <c r="AV25" i="5"/>
  <c r="AU25" i="5"/>
  <c r="AW24" i="5"/>
  <c r="AV24" i="5"/>
  <c r="AU24" i="5"/>
  <c r="AW23" i="5"/>
  <c r="AV23" i="5"/>
  <c r="AU23" i="5"/>
  <c r="AW22" i="5"/>
  <c r="AV22" i="5"/>
  <c r="AU22" i="5"/>
  <c r="AW21" i="5"/>
  <c r="AV21" i="5"/>
  <c r="AU21" i="5"/>
  <c r="AW20" i="5"/>
  <c r="AV20" i="5"/>
  <c r="AU20" i="5"/>
  <c r="AW111" i="14"/>
  <c r="AV111" i="14"/>
  <c r="AU111" i="14"/>
  <c r="AW110" i="14"/>
  <c r="AV110" i="14"/>
  <c r="AU110" i="14"/>
  <c r="AW109" i="14"/>
  <c r="AV109" i="14"/>
  <c r="AU109" i="14"/>
  <c r="AW108" i="14"/>
  <c r="AV108" i="14"/>
  <c r="AU108" i="14"/>
  <c r="AW107" i="14"/>
  <c r="AV107" i="14"/>
  <c r="AU107" i="14"/>
  <c r="AW106" i="14"/>
  <c r="AV106" i="14"/>
  <c r="AU106" i="14"/>
  <c r="AW105" i="14"/>
  <c r="AV105" i="14"/>
  <c r="AU105" i="14"/>
  <c r="AW104" i="14"/>
  <c r="AV104" i="14"/>
  <c r="AU104" i="14"/>
  <c r="AW103" i="14"/>
  <c r="AV103" i="14"/>
  <c r="AU103" i="14"/>
  <c r="AW102" i="14"/>
  <c r="AV102" i="14"/>
  <c r="AU102" i="14"/>
  <c r="AW101" i="14"/>
  <c r="AV101" i="14"/>
  <c r="AU101" i="14"/>
  <c r="AW100" i="14"/>
  <c r="AV100" i="14"/>
  <c r="AU100" i="14"/>
  <c r="AW95" i="14"/>
  <c r="AV95" i="14"/>
  <c r="AU95" i="14"/>
  <c r="AW94" i="14"/>
  <c r="AV94" i="14"/>
  <c r="AU94" i="14"/>
  <c r="AW93" i="14"/>
  <c r="AV93" i="14"/>
  <c r="AU93" i="14"/>
  <c r="AW92" i="14"/>
  <c r="AV92" i="14"/>
  <c r="AU92" i="14"/>
  <c r="AW91" i="14"/>
  <c r="AV91" i="14"/>
  <c r="AU91" i="14"/>
  <c r="AW90" i="14"/>
  <c r="AV90" i="14"/>
  <c r="AU90" i="14"/>
  <c r="AW89" i="14"/>
  <c r="AV89" i="14"/>
  <c r="AU89" i="14"/>
  <c r="AW88" i="14"/>
  <c r="AV88" i="14"/>
  <c r="AU88" i="14"/>
  <c r="AW87" i="14"/>
  <c r="AV87" i="14"/>
  <c r="AU87" i="14"/>
  <c r="AW86" i="14"/>
  <c r="AV86" i="14"/>
  <c r="AU86" i="14"/>
  <c r="AW85" i="14"/>
  <c r="AV85" i="14"/>
  <c r="AU85" i="14"/>
  <c r="AW84" i="14"/>
  <c r="AV84" i="14"/>
  <c r="AU84" i="14"/>
  <c r="AW63" i="14"/>
  <c r="AV63" i="14"/>
  <c r="AU63" i="14"/>
  <c r="AW62" i="14"/>
  <c r="AV62" i="14"/>
  <c r="AU62" i="14"/>
  <c r="AW61" i="14"/>
  <c r="AV61" i="14"/>
  <c r="AU61" i="14"/>
  <c r="AW60" i="14"/>
  <c r="AV60" i="14"/>
  <c r="AU60" i="14"/>
  <c r="AW59" i="14"/>
  <c r="AV59" i="14"/>
  <c r="AU59" i="14"/>
  <c r="AW58" i="14"/>
  <c r="AV58" i="14"/>
  <c r="AU58" i="14"/>
  <c r="AW57" i="14"/>
  <c r="AV57" i="14"/>
  <c r="AU57" i="14"/>
  <c r="AW56" i="14"/>
  <c r="AV56" i="14"/>
  <c r="AU56" i="14"/>
  <c r="AW55" i="14"/>
  <c r="AV55" i="14"/>
  <c r="AU55" i="14"/>
  <c r="AW54" i="14"/>
  <c r="AV54" i="14"/>
  <c r="AU54" i="14"/>
  <c r="AW53" i="14"/>
  <c r="AV53" i="14"/>
  <c r="AU53" i="14"/>
  <c r="AW52" i="14"/>
  <c r="AV52" i="14"/>
  <c r="AU52" i="14"/>
  <c r="AW47" i="14"/>
  <c r="AV47" i="14"/>
  <c r="AU47" i="14"/>
  <c r="AW46" i="14"/>
  <c r="AV46" i="14"/>
  <c r="AU46" i="14"/>
  <c r="AW45" i="14"/>
  <c r="AV45" i="14"/>
  <c r="AU45" i="14"/>
  <c r="AW44" i="14"/>
  <c r="AV44" i="14"/>
  <c r="AU44" i="14"/>
  <c r="AW43" i="14"/>
  <c r="AV43" i="14"/>
  <c r="AU43" i="14"/>
  <c r="AW42" i="14"/>
  <c r="AV42" i="14"/>
  <c r="AU42" i="14"/>
  <c r="AW41" i="14"/>
  <c r="AV41" i="14"/>
  <c r="AU41" i="14"/>
  <c r="AW40" i="14"/>
  <c r="AV40" i="14"/>
  <c r="AU40" i="14"/>
  <c r="AW39" i="14"/>
  <c r="AV39" i="14"/>
  <c r="AU39" i="14"/>
  <c r="AW38" i="14"/>
  <c r="AV38" i="14"/>
  <c r="AU38" i="14"/>
  <c r="AW37" i="14"/>
  <c r="AV37" i="14"/>
  <c r="AU37" i="14"/>
  <c r="AW36" i="14"/>
  <c r="AV36" i="14"/>
  <c r="AU36" i="14"/>
  <c r="AW31" i="14"/>
  <c r="AV31" i="14"/>
  <c r="AU31" i="14"/>
  <c r="AW30" i="14"/>
  <c r="AV30" i="14"/>
  <c r="AU30" i="14"/>
  <c r="AW29" i="14"/>
  <c r="AV29" i="14"/>
  <c r="AU29" i="14"/>
  <c r="AW28" i="14"/>
  <c r="AV28" i="14"/>
  <c r="AU28" i="14"/>
  <c r="AW27" i="14"/>
  <c r="AV27" i="14"/>
  <c r="AU27" i="14"/>
  <c r="AW26" i="14"/>
  <c r="AV26" i="14"/>
  <c r="AU26" i="14"/>
  <c r="AW25" i="14"/>
  <c r="AV25" i="14"/>
  <c r="AU25" i="14"/>
  <c r="AW24" i="14"/>
  <c r="AV24" i="14"/>
  <c r="AU24" i="14"/>
  <c r="AW23" i="14"/>
  <c r="AV23" i="14"/>
  <c r="AU23" i="14"/>
  <c r="AW22" i="14"/>
  <c r="AV22" i="14"/>
  <c r="AU22" i="14"/>
  <c r="AW21" i="14"/>
  <c r="AV21" i="14"/>
  <c r="AU21" i="14"/>
  <c r="AW20" i="14"/>
  <c r="AV20" i="14"/>
  <c r="AU20" i="14"/>
  <c r="AV9" i="14"/>
  <c r="BG5" i="43"/>
  <c r="BO5" i="43" s="1"/>
  <c r="BG17" i="43"/>
  <c r="BT34" i="43"/>
  <c r="AI39" i="43"/>
  <c r="AH39" i="43"/>
  <c r="AG39" i="43"/>
  <c r="AF39" i="43"/>
  <c r="AE39" i="43"/>
  <c r="AD39" i="43"/>
  <c r="AI21" i="43"/>
  <c r="AH21" i="43"/>
  <c r="AG21" i="43"/>
  <c r="AF21" i="43"/>
  <c r="AE21" i="43"/>
  <c r="AD21" i="43"/>
  <c r="AI5" i="43"/>
  <c r="AH5" i="43"/>
  <c r="AG5" i="43"/>
  <c r="AF5" i="43"/>
  <c r="AE5" i="43"/>
  <c r="AD5" i="43"/>
  <c r="AG31" i="43"/>
  <c r="AG29" i="43"/>
  <c r="AF28" i="43"/>
  <c r="AD28" i="43"/>
  <c r="AG27" i="43"/>
  <c r="AG25" i="43"/>
  <c r="AG23" i="43"/>
  <c r="AH59" i="43"/>
  <c r="AH58" i="43"/>
  <c r="AH57" i="43"/>
  <c r="AG63" i="43"/>
  <c r="AG61" i="43"/>
  <c r="AG60" i="43"/>
  <c r="AG59" i="43"/>
  <c r="AG58" i="43"/>
  <c r="AG57" i="43"/>
  <c r="AG55" i="43"/>
  <c r="AF63" i="43"/>
  <c r="AF62" i="43"/>
  <c r="AF61" i="43"/>
  <c r="AF60" i="43"/>
  <c r="AF55" i="43"/>
  <c r="AE61" i="43"/>
  <c r="AE60" i="43"/>
  <c r="AE59" i="43"/>
  <c r="AE58" i="43"/>
  <c r="AE55" i="43"/>
  <c r="AH43" i="43"/>
  <c r="AH42" i="43"/>
  <c r="AG37" i="43"/>
  <c r="AG47" i="43"/>
  <c r="AG45" i="43"/>
  <c r="AG44" i="43"/>
  <c r="AG43" i="43"/>
  <c r="AG42" i="43"/>
  <c r="AG40" i="43"/>
  <c r="AG38" i="43"/>
  <c r="AF37" i="43"/>
  <c r="AF46" i="43"/>
  <c r="AF45" i="43"/>
  <c r="AF44" i="43"/>
  <c r="AF40" i="43"/>
  <c r="AE37" i="43"/>
  <c r="AE47" i="43"/>
  <c r="AE42" i="43"/>
  <c r="AD44" i="43"/>
  <c r="AD38" i="43"/>
  <c r="AV6" i="5"/>
  <c r="AV13" i="5"/>
  <c r="AH27" i="43"/>
  <c r="AH26" i="43"/>
  <c r="AG28" i="43"/>
  <c r="AG26" i="43"/>
  <c r="AG24" i="43"/>
  <c r="AG22" i="43"/>
  <c r="AF31" i="43"/>
  <c r="AF23" i="43"/>
  <c r="AE23" i="43"/>
  <c r="AE22" i="43"/>
  <c r="Z15" i="43"/>
  <c r="AH12" i="43"/>
  <c r="AH11" i="43"/>
  <c r="AH10" i="43"/>
  <c r="AH9" i="43"/>
  <c r="AH8" i="43"/>
  <c r="AG15" i="43"/>
  <c r="AG14" i="43"/>
  <c r="AG13" i="43"/>
  <c r="AG12" i="43"/>
  <c r="AG11" i="43"/>
  <c r="AG10" i="43"/>
  <c r="AG9" i="43"/>
  <c r="AG8" i="43"/>
  <c r="AG6" i="43"/>
  <c r="AF15" i="43"/>
  <c r="AF8" i="43"/>
  <c r="AF7" i="43"/>
  <c r="AE14" i="43"/>
  <c r="AE7" i="43"/>
  <c r="AD12" i="43"/>
  <c r="BG25" i="43"/>
  <c r="BO25" i="43" s="1"/>
  <c r="BG24" i="43"/>
  <c r="BO24" i="43" s="1"/>
  <c r="BG23" i="43"/>
  <c r="BO23" i="43" s="1"/>
  <c r="BG31" i="43"/>
  <c r="BO31" i="43" s="1"/>
  <c r="BG30" i="43"/>
  <c r="BO30" i="43" s="1"/>
  <c r="BG29" i="43"/>
  <c r="BO29" i="43" s="1"/>
  <c r="BN32" i="43"/>
  <c r="BD32" i="43"/>
  <c r="BE32" i="43"/>
  <c r="BM32" i="43"/>
  <c r="BL32" i="43"/>
  <c r="BK32" i="43"/>
  <c r="BJ32" i="43"/>
  <c r="BI32" i="43"/>
  <c r="BH32" i="43"/>
  <c r="BF32" i="43"/>
  <c r="BC32" i="43"/>
  <c r="BO21" i="43"/>
  <c r="BO28" i="43"/>
  <c r="BO27" i="43"/>
  <c r="BO26" i="43"/>
  <c r="BO22" i="43"/>
  <c r="AZ24" i="43"/>
  <c r="AZ25" i="43"/>
  <c r="AR31" i="43"/>
  <c r="AZ31" i="43" s="1"/>
  <c r="AR30" i="43"/>
  <c r="AZ30" i="43" s="1"/>
  <c r="AR29" i="43"/>
  <c r="AZ29" i="43" s="1"/>
  <c r="BN48" i="43"/>
  <c r="BD48" i="43"/>
  <c r="BE48" i="43"/>
  <c r="BM48" i="43"/>
  <c r="BL48" i="43"/>
  <c r="BK48" i="43"/>
  <c r="BJ48" i="43"/>
  <c r="BI48" i="43"/>
  <c r="BH48" i="43"/>
  <c r="BF48" i="43"/>
  <c r="BC48" i="43"/>
  <c r="AY48" i="43"/>
  <c r="AO48" i="43"/>
  <c r="AP48" i="43"/>
  <c r="AX48" i="43"/>
  <c r="AW48" i="43"/>
  <c r="AV48" i="43"/>
  <c r="AU48" i="43"/>
  <c r="AT48" i="43"/>
  <c r="AS48" i="43"/>
  <c r="AQ48" i="43"/>
  <c r="AN48" i="43"/>
  <c r="AY32" i="43"/>
  <c r="AO32" i="43"/>
  <c r="AP32" i="43"/>
  <c r="AX32" i="43"/>
  <c r="AW32" i="43"/>
  <c r="AV32" i="43"/>
  <c r="AU32" i="43"/>
  <c r="AT32" i="43"/>
  <c r="AS32" i="43"/>
  <c r="AQ32" i="43"/>
  <c r="AN32" i="43"/>
  <c r="BC16" i="43"/>
  <c r="AZ5" i="43"/>
  <c r="AZ14" i="43"/>
  <c r="AZ13" i="43"/>
  <c r="AZ12" i="43"/>
  <c r="AZ11" i="43"/>
  <c r="AZ10" i="43"/>
  <c r="AZ9" i="43"/>
  <c r="AZ8" i="43"/>
  <c r="AZ7" i="43"/>
  <c r="AZ6" i="43"/>
  <c r="AZ21" i="43"/>
  <c r="AZ28" i="43"/>
  <c r="AZ27" i="43"/>
  <c r="AZ26" i="43"/>
  <c r="AZ23" i="43"/>
  <c r="AZ22" i="43"/>
  <c r="AZ37" i="43"/>
  <c r="AZ46" i="43"/>
  <c r="AZ45" i="43"/>
  <c r="AZ44" i="43"/>
  <c r="AZ43" i="43"/>
  <c r="AZ42" i="43"/>
  <c r="AZ40" i="43"/>
  <c r="AZ39" i="43"/>
  <c r="AZ38" i="43"/>
  <c r="BO37" i="43"/>
  <c r="BO46" i="43"/>
  <c r="BO45" i="43"/>
  <c r="BO44" i="43"/>
  <c r="BO43" i="43"/>
  <c r="BO42" i="43"/>
  <c r="BO39" i="43"/>
  <c r="BO38" i="43"/>
  <c r="AY16" i="43"/>
  <c r="AO16" i="43"/>
  <c r="AP16" i="43"/>
  <c r="AX16" i="43"/>
  <c r="AW16" i="43"/>
  <c r="AV16" i="43"/>
  <c r="AU16" i="43"/>
  <c r="AT16" i="43"/>
  <c r="AS16" i="43"/>
  <c r="AQ16" i="43"/>
  <c r="AZ15" i="43"/>
  <c r="AR16" i="43"/>
  <c r="AN16" i="43"/>
  <c r="AR41" i="43"/>
  <c r="AZ41" i="43" s="1"/>
  <c r="BG41" i="43"/>
  <c r="BO41" i="43" s="1"/>
  <c r="BG47" i="43"/>
  <c r="BO47" i="43" s="1"/>
  <c r="AR47" i="43"/>
  <c r="I3" i="41"/>
  <c r="J3" i="41"/>
  <c r="I4" i="41"/>
  <c r="J4" i="41"/>
  <c r="I5" i="41"/>
  <c r="J5" i="41"/>
  <c r="I6" i="41"/>
  <c r="J6" i="41"/>
  <c r="L6" i="41" s="1"/>
  <c r="H5" i="41"/>
  <c r="H4" i="41"/>
  <c r="H3" i="41"/>
  <c r="AW13" i="40"/>
  <c r="AU13" i="40"/>
  <c r="AS13" i="40"/>
  <c r="AO13" i="40"/>
  <c r="AO19" i="40" s="1"/>
  <c r="AO12" i="40"/>
  <c r="AU14" i="40"/>
  <c r="AU20" i="40" s="1"/>
  <c r="AO14" i="40"/>
  <c r="AO20" i="40" s="1"/>
  <c r="I72" i="40"/>
  <c r="BL14" i="40"/>
  <c r="BL20" i="40" s="1"/>
  <c r="AW8" i="40"/>
  <c r="AU12" i="40"/>
  <c r="AW12" i="40"/>
  <c r="AW18" i="40" s="1"/>
  <c r="AP13" i="40"/>
  <c r="AR13" i="40"/>
  <c r="AT13" i="40"/>
  <c r="AV13" i="40"/>
  <c r="AX13" i="40"/>
  <c r="AP14" i="40"/>
  <c r="AP20" i="40" s="1"/>
  <c r="AR14" i="40"/>
  <c r="AT14" i="40"/>
  <c r="AT20" i="40" s="1"/>
  <c r="AV14" i="40"/>
  <c r="AV20" i="40" s="1"/>
  <c r="AW14" i="40"/>
  <c r="I69" i="40"/>
  <c r="J69" i="40"/>
  <c r="G69" i="40"/>
  <c r="H69" i="40"/>
  <c r="E69" i="40"/>
  <c r="F69" i="40"/>
  <c r="I63" i="40"/>
  <c r="J63" i="40"/>
  <c r="G63" i="40"/>
  <c r="H63" i="40"/>
  <c r="E63" i="40"/>
  <c r="F63" i="40"/>
  <c r="I57" i="40"/>
  <c r="J57" i="40"/>
  <c r="G57" i="40"/>
  <c r="H57" i="40"/>
  <c r="E57" i="40"/>
  <c r="F57" i="40"/>
  <c r="I51" i="40"/>
  <c r="J51" i="40"/>
  <c r="G51" i="40"/>
  <c r="H51" i="40"/>
  <c r="F51" i="40"/>
  <c r="E51" i="40"/>
  <c r="I45" i="40"/>
  <c r="J45" i="40"/>
  <c r="G45" i="40"/>
  <c r="H45" i="40"/>
  <c r="E45" i="40"/>
  <c r="F45" i="40"/>
  <c r="I39" i="40"/>
  <c r="J39" i="40"/>
  <c r="G39" i="40"/>
  <c r="H39" i="40"/>
  <c r="E39" i="40"/>
  <c r="F39" i="40"/>
  <c r="I33" i="40"/>
  <c r="J33" i="40"/>
  <c r="G33" i="40"/>
  <c r="H33" i="40"/>
  <c r="F33" i="40"/>
  <c r="E33" i="40"/>
  <c r="C33" i="40"/>
  <c r="D33" i="40"/>
  <c r="I27" i="40"/>
  <c r="J27" i="40"/>
  <c r="G27" i="40"/>
  <c r="H27" i="40"/>
  <c r="E27" i="40"/>
  <c r="F27" i="40"/>
  <c r="I21" i="40"/>
  <c r="J21" i="40"/>
  <c r="G21" i="40"/>
  <c r="H21" i="40"/>
  <c r="E21" i="40"/>
  <c r="F21" i="40"/>
  <c r="I15" i="40"/>
  <c r="J15" i="40"/>
  <c r="G15" i="40"/>
  <c r="H15" i="40"/>
  <c r="F15" i="40"/>
  <c r="E15" i="40"/>
  <c r="C15" i="40"/>
  <c r="E72" i="40"/>
  <c r="G72" i="40"/>
  <c r="AD6" i="40"/>
  <c r="AB8" i="40"/>
  <c r="AJ8" i="40"/>
  <c r="I9" i="40"/>
  <c r="J9" i="40"/>
  <c r="G9" i="40"/>
  <c r="H9" i="40"/>
  <c r="E9" i="40"/>
  <c r="F9" i="40"/>
  <c r="C9" i="40"/>
  <c r="D9" i="40"/>
  <c r="G70" i="40"/>
  <c r="E70" i="40"/>
  <c r="I70" i="40"/>
  <c r="F70" i="40"/>
  <c r="J70" i="40"/>
  <c r="H70" i="40"/>
  <c r="BL12" i="40"/>
  <c r="BL18" i="40" s="1"/>
  <c r="BL13" i="40"/>
  <c r="BL19" i="40" s="1"/>
  <c r="AV14" i="16"/>
  <c r="AU13" i="16"/>
  <c r="AV11" i="16"/>
  <c r="AU5" i="16"/>
  <c r="AW6" i="14"/>
  <c r="AV8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V14" i="40"/>
  <c r="V20" i="40" s="1"/>
  <c r="D67" i="40" s="1"/>
  <c r="U14" i="40"/>
  <c r="R14" i="40"/>
  <c r="O14" i="40"/>
  <c r="O20" i="40" s="1"/>
  <c r="D25" i="40" s="1"/>
  <c r="V8" i="40"/>
  <c r="C67" i="40" s="1"/>
  <c r="S8" i="40"/>
  <c r="Q8" i="40"/>
  <c r="P8" i="40"/>
  <c r="C37" i="40" s="1"/>
  <c r="N8" i="40"/>
  <c r="C19" i="40" s="1"/>
  <c r="A63" i="14"/>
  <c r="A62" i="14"/>
  <c r="A61" i="14"/>
  <c r="A60" i="14"/>
  <c r="A59" i="14"/>
  <c r="A58" i="14"/>
  <c r="A57" i="14"/>
  <c r="A56" i="14"/>
  <c r="A55" i="14"/>
  <c r="A54" i="14"/>
  <c r="W14" i="40"/>
  <c r="A53" i="14"/>
  <c r="A52" i="14"/>
  <c r="BG13" i="43"/>
  <c r="BO13" i="43" s="1"/>
  <c r="S12" i="40"/>
  <c r="S18" i="40" s="1"/>
  <c r="P12" i="40"/>
  <c r="BG8" i="43"/>
  <c r="BO8" i="43" s="1"/>
  <c r="BG7" i="43"/>
  <c r="BO7" i="43" s="1"/>
  <c r="U6" i="40"/>
  <c r="C59" i="40" s="1"/>
  <c r="O6" i="40"/>
  <c r="C23" i="40" s="1"/>
  <c r="N6" i="40"/>
  <c r="C17" i="40" s="1"/>
  <c r="M6" i="40"/>
  <c r="A47" i="14"/>
  <c r="A46" i="14"/>
  <c r="A45" i="14"/>
  <c r="A44" i="14"/>
  <c r="A43" i="14"/>
  <c r="A42" i="14"/>
  <c r="A41" i="14"/>
  <c r="A40" i="14"/>
  <c r="A39" i="14"/>
  <c r="A38" i="14"/>
  <c r="A37" i="14"/>
  <c r="A36" i="14"/>
  <c r="T13" i="40"/>
  <c r="S13" i="40"/>
  <c r="S19" i="40" s="1"/>
  <c r="Q13" i="40"/>
  <c r="M13" i="40"/>
  <c r="M19" i="40" s="1"/>
  <c r="D12" i="40" s="1"/>
  <c r="T7" i="40"/>
  <c r="C54" i="40" s="1"/>
  <c r="S7" i="40"/>
  <c r="R7" i="40"/>
  <c r="C48" i="40" s="1"/>
  <c r="Q7" i="40"/>
  <c r="C42" i="40" s="1"/>
  <c r="O7" i="40"/>
  <c r="C24" i="40" s="1"/>
  <c r="N7" i="40"/>
  <c r="C18" i="40" s="1"/>
  <c r="A31" i="14"/>
  <c r="A30" i="14"/>
  <c r="A29" i="14"/>
  <c r="A28" i="14"/>
  <c r="A27" i="14"/>
  <c r="A26" i="14"/>
  <c r="A25" i="14"/>
  <c r="A24" i="14"/>
  <c r="A23" i="14"/>
  <c r="A22" i="14"/>
  <c r="A21" i="14"/>
  <c r="A20" i="14"/>
  <c r="BA14" i="4"/>
  <c r="BA15" i="4"/>
  <c r="AZ15" i="4"/>
  <c r="AV15" i="4"/>
  <c r="AZ5" i="4"/>
  <c r="AZ6" i="4"/>
  <c r="AZ7" i="4"/>
  <c r="AV7" i="4"/>
  <c r="AZ8" i="4"/>
  <c r="AV8" i="4"/>
  <c r="AZ9" i="4"/>
  <c r="AU10" i="4"/>
  <c r="AZ11" i="4"/>
  <c r="AZ12" i="4"/>
  <c r="AW12" i="4"/>
  <c r="AZ13" i="4"/>
  <c r="AZ14" i="4"/>
  <c r="AV8" i="40"/>
  <c r="AU8" i="40"/>
  <c r="AS8" i="40"/>
  <c r="AR8" i="40"/>
  <c r="AQ8" i="40"/>
  <c r="AX6" i="40"/>
  <c r="AT6" i="40"/>
  <c r="AS6" i="40"/>
  <c r="AP6" i="40"/>
  <c r="AO6" i="40"/>
  <c r="AW7" i="40"/>
  <c r="AS7" i="40"/>
  <c r="AR7" i="40"/>
  <c r="AP7" i="40"/>
  <c r="AG14" i="40"/>
  <c r="AG20" i="40" s="1"/>
  <c r="AC14" i="40"/>
  <c r="AB14" i="40"/>
  <c r="AB20" i="40" s="1"/>
  <c r="AI12" i="40"/>
  <c r="AF12" i="40"/>
  <c r="AF18" i="40" s="1"/>
  <c r="AE12" i="40"/>
  <c r="AE18" i="40" s="1"/>
  <c r="AC12" i="40"/>
  <c r="AJ13" i="40"/>
  <c r="AI13" i="40"/>
  <c r="AF11" i="40"/>
  <c r="AE13" i="40"/>
  <c r="AC13" i="40"/>
  <c r="AB11" i="40"/>
  <c r="AK8" i="40"/>
  <c r="AI8" i="40"/>
  <c r="AG8" i="40"/>
  <c r="AE8" i="40"/>
  <c r="AC8" i="40"/>
  <c r="AI6" i="40"/>
  <c r="AJ7" i="40"/>
  <c r="AF7" i="40"/>
  <c r="AD7" i="40"/>
  <c r="AB7" i="40"/>
  <c r="AU14" i="5"/>
  <c r="AW14" i="5"/>
  <c r="AU15" i="5"/>
  <c r="AW15" i="5"/>
  <c r="AU4" i="5"/>
  <c r="AU5" i="5"/>
  <c r="AW5" i="5"/>
  <c r="AU6" i="5"/>
  <c r="AW6" i="5"/>
  <c r="AU7" i="5"/>
  <c r="AW7" i="5"/>
  <c r="AU8" i="5"/>
  <c r="AW8" i="5"/>
  <c r="AU9" i="5"/>
  <c r="AW9" i="5"/>
  <c r="AU11" i="5"/>
  <c r="AW11" i="5"/>
  <c r="AU12" i="5"/>
  <c r="AW12" i="5"/>
  <c r="AU13" i="5"/>
  <c r="AW13" i="5"/>
  <c r="BA13" i="4"/>
  <c r="BA12" i="4"/>
  <c r="BA11" i="4"/>
  <c r="BA9" i="4"/>
  <c r="BA8" i="4"/>
  <c r="BA6" i="4"/>
  <c r="BA5" i="4"/>
  <c r="G47" i="2"/>
  <c r="F47" i="2"/>
  <c r="E47" i="2"/>
  <c r="D47" i="2"/>
  <c r="C47" i="2"/>
  <c r="B47" i="2"/>
  <c r="G25" i="1"/>
  <c r="G29" i="1"/>
  <c r="G44" i="1"/>
  <c r="F29" i="1"/>
  <c r="F44" i="1"/>
  <c r="E44" i="1"/>
  <c r="D44" i="1"/>
  <c r="C44" i="1"/>
  <c r="B44" i="1"/>
  <c r="G43" i="1"/>
  <c r="G42" i="1"/>
  <c r="G41" i="1"/>
  <c r="G40" i="1"/>
  <c r="G39" i="1"/>
  <c r="G38" i="1"/>
  <c r="G37" i="1"/>
  <c r="G36" i="1"/>
  <c r="G35" i="1"/>
  <c r="G34" i="1"/>
  <c r="G33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B34" i="1"/>
  <c r="B35" i="1"/>
  <c r="B36" i="1"/>
  <c r="B37" i="1"/>
  <c r="B38" i="1"/>
  <c r="B39" i="1"/>
  <c r="B40" i="1"/>
  <c r="B41" i="1"/>
  <c r="B42" i="1"/>
  <c r="B43" i="1"/>
  <c r="B33" i="1"/>
  <c r="G46" i="2"/>
  <c r="G45" i="2"/>
  <c r="G44" i="2"/>
  <c r="G43" i="2"/>
  <c r="G26" i="2"/>
  <c r="G42" i="2"/>
  <c r="G41" i="2"/>
  <c r="G40" i="2"/>
  <c r="G39" i="2"/>
  <c r="G38" i="2"/>
  <c r="G37" i="2"/>
  <c r="G36" i="2"/>
  <c r="G35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B36" i="2"/>
  <c r="B37" i="2"/>
  <c r="B38" i="2"/>
  <c r="B39" i="2"/>
  <c r="B40" i="2"/>
  <c r="B41" i="2"/>
  <c r="B42" i="2"/>
  <c r="B43" i="2"/>
  <c r="B44" i="2"/>
  <c r="B45" i="2"/>
  <c r="B46" i="2"/>
  <c r="B35" i="2"/>
  <c r="F31" i="2"/>
  <c r="G31" i="2"/>
  <c r="G30" i="2"/>
  <c r="G29" i="2"/>
  <c r="G28" i="2"/>
  <c r="G27" i="2"/>
  <c r="G25" i="2"/>
  <c r="G24" i="2"/>
  <c r="G23" i="2"/>
  <c r="G22" i="2"/>
  <c r="G21" i="2"/>
  <c r="G20" i="2"/>
  <c r="G19" i="2"/>
  <c r="G15" i="2"/>
  <c r="G4" i="2"/>
  <c r="G5" i="2"/>
  <c r="G6" i="2"/>
  <c r="G7" i="2"/>
  <c r="G8" i="2"/>
  <c r="G9" i="2"/>
  <c r="G10" i="2"/>
  <c r="G11" i="2"/>
  <c r="G12" i="2"/>
  <c r="G13" i="2"/>
  <c r="G14" i="2"/>
  <c r="G3" i="2"/>
  <c r="E31" i="2"/>
  <c r="D31" i="2"/>
  <c r="C31" i="2"/>
  <c r="B31" i="2"/>
  <c r="F15" i="2"/>
  <c r="E15" i="2"/>
  <c r="D15" i="2"/>
  <c r="C15" i="2"/>
  <c r="B15" i="2"/>
  <c r="G28" i="1"/>
  <c r="G27" i="1"/>
  <c r="G26" i="1"/>
  <c r="G24" i="1"/>
  <c r="G23" i="1"/>
  <c r="G22" i="1"/>
  <c r="G21" i="1"/>
  <c r="G20" i="1"/>
  <c r="G19" i="1"/>
  <c r="G18" i="1"/>
  <c r="G4" i="1"/>
  <c r="G5" i="1"/>
  <c r="G6" i="1"/>
  <c r="G7" i="1"/>
  <c r="G8" i="1"/>
  <c r="G9" i="1"/>
  <c r="G10" i="1"/>
  <c r="G11" i="1"/>
  <c r="G12" i="1"/>
  <c r="G13" i="1"/>
  <c r="G3" i="1"/>
  <c r="F14" i="1"/>
  <c r="D29" i="1"/>
  <c r="E29" i="1"/>
  <c r="B29" i="1"/>
  <c r="C29" i="1"/>
  <c r="G14" i="1"/>
  <c r="D14" i="1"/>
  <c r="E14" i="1"/>
  <c r="B14" i="1"/>
  <c r="C14" i="1"/>
  <c r="AG11" i="40"/>
  <c r="AA11" i="40"/>
  <c r="AK6" i="40"/>
  <c r="AK12" i="40"/>
  <c r="N13" i="40"/>
  <c r="U13" i="40"/>
  <c r="R13" i="40"/>
  <c r="S6" i="40"/>
  <c r="BG6" i="43"/>
  <c r="M12" i="40"/>
  <c r="BG10" i="43"/>
  <c r="BO10" i="43" s="1"/>
  <c r="Q12" i="40"/>
  <c r="Q18" i="40" s="1"/>
  <c r="D41" i="40" s="1"/>
  <c r="BG14" i="43"/>
  <c r="BO14" i="43" s="1"/>
  <c r="U12" i="40"/>
  <c r="U18" i="40" s="1"/>
  <c r="D59" i="40" s="1"/>
  <c r="O8" i="40"/>
  <c r="C25" i="40" s="1"/>
  <c r="T11" i="40"/>
  <c r="V13" i="40"/>
  <c r="R12" i="40"/>
  <c r="R8" i="40"/>
  <c r="C49" i="40" s="1"/>
  <c r="P14" i="40"/>
  <c r="T14" i="40"/>
  <c r="AA15" i="43" l="1"/>
  <c r="AR48" i="43"/>
  <c r="AZ32" i="43"/>
  <c r="AV4" i="16"/>
  <c r="AV12" i="16"/>
  <c r="AG62" i="43"/>
  <c r="AH60" i="43"/>
  <c r="AV15" i="16"/>
  <c r="AW4" i="16"/>
  <c r="AU14" i="16"/>
  <c r="AH63" i="43"/>
  <c r="BC6" i="40"/>
  <c r="AW12" i="16"/>
  <c r="BC13" i="40"/>
  <c r="BC19" i="40" s="1"/>
  <c r="BC8" i="40"/>
  <c r="BC12" i="40"/>
  <c r="BC18" i="40" s="1"/>
  <c r="AD55" i="43"/>
  <c r="AH55" i="43"/>
  <c r="AG56" i="43"/>
  <c r="AU11" i="16"/>
  <c r="AU15" i="16"/>
  <c r="AH62" i="43"/>
  <c r="AD56" i="43"/>
  <c r="AD60" i="43"/>
  <c r="AV13" i="16"/>
  <c r="AH61" i="43"/>
  <c r="AW6" i="16"/>
  <c r="AU12" i="16"/>
  <c r="AW14" i="16"/>
  <c r="AF58" i="43"/>
  <c r="AF56" i="43"/>
  <c r="BM13" i="40"/>
  <c r="BI14" i="40"/>
  <c r="BI20" i="40" s="1"/>
  <c r="AW11" i="16"/>
  <c r="AW15" i="16"/>
  <c r="AV5" i="16"/>
  <c r="AW5" i="16"/>
  <c r="AW13" i="16"/>
  <c r="BD12" i="40"/>
  <c r="BH12" i="40"/>
  <c r="BJ14" i="40"/>
  <c r="BJ20" i="40" s="1"/>
  <c r="BD13" i="40"/>
  <c r="BD19" i="40" s="1"/>
  <c r="BH13" i="40"/>
  <c r="BH19" i="40" s="1"/>
  <c r="BF12" i="40"/>
  <c r="BF18" i="40" s="1"/>
  <c r="BD14" i="40"/>
  <c r="BD20" i="40" s="1"/>
  <c r="BH14" i="40"/>
  <c r="BH20" i="40" s="1"/>
  <c r="BF14" i="40"/>
  <c r="BG13" i="40"/>
  <c r="BE12" i="40"/>
  <c r="BE13" i="40"/>
  <c r="BE14" i="40"/>
  <c r="BG7" i="40"/>
  <c r="BI6" i="40"/>
  <c r="AV10" i="16"/>
  <c r="BJ6" i="40"/>
  <c r="AE62" i="43"/>
  <c r="BI8" i="40"/>
  <c r="BE7" i="40"/>
  <c r="AD61" i="43"/>
  <c r="BG6" i="40"/>
  <c r="BK6" i="40"/>
  <c r="AE63" i="43"/>
  <c r="BJ8" i="40"/>
  <c r="AW10" i="16"/>
  <c r="AD63" i="43"/>
  <c r="AE57" i="43"/>
  <c r="BL8" i="40"/>
  <c r="AV6" i="16"/>
  <c r="BD7" i="40"/>
  <c r="BF6" i="40"/>
  <c r="BE8" i="40"/>
  <c r="AF57" i="43"/>
  <c r="AD58" i="43"/>
  <c r="BJ7" i="40"/>
  <c r="BD6" i="40"/>
  <c r="BG8" i="40"/>
  <c r="AF59" i="43"/>
  <c r="AH56" i="43"/>
  <c r="AU10" i="16"/>
  <c r="AU4" i="16"/>
  <c r="AV6" i="40"/>
  <c r="AR6" i="40"/>
  <c r="AY12" i="40"/>
  <c r="AQ13" i="40"/>
  <c r="AS12" i="40"/>
  <c r="AS18" i="40" s="1"/>
  <c r="AY14" i="40"/>
  <c r="AF42" i="43"/>
  <c r="AY8" i="40"/>
  <c r="AV4" i="4"/>
  <c r="AR12" i="40"/>
  <c r="AR18" i="40" s="1"/>
  <c r="AQ6" i="40"/>
  <c r="AV12" i="4"/>
  <c r="AQ14" i="40"/>
  <c r="AQ20" i="40" s="1"/>
  <c r="AV11" i="4"/>
  <c r="AP8" i="40"/>
  <c r="AE40" i="43"/>
  <c r="AW6" i="40"/>
  <c r="AT12" i="40"/>
  <c r="AT18" i="40" s="1"/>
  <c r="AE38" i="43"/>
  <c r="AY13" i="40"/>
  <c r="AV12" i="40"/>
  <c r="AQ12" i="40"/>
  <c r="AT8" i="40"/>
  <c r="AO8" i="40"/>
  <c r="AU6" i="40"/>
  <c r="AU18" i="40" s="1"/>
  <c r="AP12" i="40"/>
  <c r="AP18" i="40" s="1"/>
  <c r="AX12" i="40"/>
  <c r="AX18" i="40" s="1"/>
  <c r="AX14" i="40"/>
  <c r="AX20" i="40" s="1"/>
  <c r="AS14" i="40"/>
  <c r="AS20" i="40" s="1"/>
  <c r="AE43" i="43"/>
  <c r="AO7" i="40"/>
  <c r="AF41" i="43"/>
  <c r="AW13" i="4"/>
  <c r="AW9" i="4"/>
  <c r="AW5" i="4"/>
  <c r="AV6" i="4"/>
  <c r="AW11" i="4"/>
  <c r="AW7" i="4"/>
  <c r="AV14" i="4"/>
  <c r="AY7" i="40"/>
  <c r="AX8" i="40"/>
  <c r="AY6" i="40"/>
  <c r="BA7" i="4"/>
  <c r="AR11" i="40"/>
  <c r="AW11" i="40"/>
  <c r="AW15" i="40" s="1"/>
  <c r="AO11" i="40"/>
  <c r="AO15" i="40" s="1"/>
  <c r="AU11" i="40"/>
  <c r="AU15" i="40" s="1"/>
  <c r="AS11" i="40"/>
  <c r="AV13" i="4"/>
  <c r="AV9" i="4"/>
  <c r="AV5" i="4"/>
  <c r="AW14" i="4"/>
  <c r="AW8" i="4"/>
  <c r="AW6" i="4"/>
  <c r="AW15" i="4"/>
  <c r="AX11" i="40"/>
  <c r="AP11" i="40"/>
  <c r="BA4" i="4"/>
  <c r="BA10" i="4"/>
  <c r="BA18" i="4" s="1"/>
  <c r="AQ7" i="40"/>
  <c r="AW5" i="40"/>
  <c r="AU14" i="4"/>
  <c r="AT11" i="40"/>
  <c r="AV11" i="40"/>
  <c r="AQ11" i="40"/>
  <c r="AT7" i="40"/>
  <c r="AU5" i="4"/>
  <c r="AU11" i="4"/>
  <c r="AU5" i="40"/>
  <c r="AP19" i="40"/>
  <c r="AX7" i="40"/>
  <c r="AX19" i="40" s="1"/>
  <c r="AD43" i="43"/>
  <c r="AU9" i="4"/>
  <c r="AU15" i="4"/>
  <c r="AU7" i="40"/>
  <c r="AU19" i="40" s="1"/>
  <c r="AU7" i="4"/>
  <c r="AS19" i="40"/>
  <c r="AS5" i="40"/>
  <c r="AS9" i="40" s="1"/>
  <c r="AO5" i="40"/>
  <c r="AT5" i="40"/>
  <c r="AW4" i="4"/>
  <c r="AU6" i="4"/>
  <c r="AP5" i="40"/>
  <c r="AV5" i="40"/>
  <c r="AW19" i="40"/>
  <c r="AD42" i="43"/>
  <c r="AV10" i="4"/>
  <c r="AU13" i="4"/>
  <c r="AZ4" i="4"/>
  <c r="AR5" i="40"/>
  <c r="AZ10" i="4"/>
  <c r="AZ18" i="4" s="1"/>
  <c r="AQ5" i="40"/>
  <c r="AX5" i="40"/>
  <c r="AV7" i="40"/>
  <c r="AV19" i="40" s="1"/>
  <c r="AU4" i="4"/>
  <c r="AU8" i="4"/>
  <c r="AW10" i="4"/>
  <c r="AU12" i="4"/>
  <c r="AW20" i="40"/>
  <c r="AD46" i="43"/>
  <c r="AK13" i="40"/>
  <c r="AK14" i="40"/>
  <c r="AK20" i="40" s="1"/>
  <c r="AE29" i="43"/>
  <c r="AH13" i="40"/>
  <c r="AC11" i="40"/>
  <c r="AC15" i="40" s="1"/>
  <c r="AE11" i="40"/>
  <c r="AV11" i="5"/>
  <c r="AV9" i="5"/>
  <c r="AV7" i="5"/>
  <c r="AV5" i="5"/>
  <c r="AV15" i="5"/>
  <c r="AF13" i="40"/>
  <c r="AF19" i="40" s="1"/>
  <c r="AH6" i="40"/>
  <c r="AD27" i="43"/>
  <c r="AD31" i="43"/>
  <c r="AG30" i="43"/>
  <c r="AV10" i="5"/>
  <c r="AV12" i="5"/>
  <c r="AV8" i="5"/>
  <c r="AV14" i="5"/>
  <c r="AA14" i="40"/>
  <c r="AF8" i="40"/>
  <c r="AH14" i="40"/>
  <c r="AD14" i="40"/>
  <c r="AD13" i="40"/>
  <c r="AD19" i="40" s="1"/>
  <c r="AA13" i="40"/>
  <c r="AA19" i="40" s="1"/>
  <c r="AH12" i="40"/>
  <c r="AD12" i="40"/>
  <c r="AD18" i="40" s="1"/>
  <c r="AA12" i="40"/>
  <c r="AA18" i="40" s="1"/>
  <c r="AA7" i="40"/>
  <c r="AF26" i="43"/>
  <c r="AF30" i="43"/>
  <c r="AI11" i="40"/>
  <c r="AJ11" i="40"/>
  <c r="AG13" i="40"/>
  <c r="AG19" i="40" s="1"/>
  <c r="AG12" i="40"/>
  <c r="AA8" i="40"/>
  <c r="AC6" i="40"/>
  <c r="AC18" i="40" s="1"/>
  <c r="AC20" i="40"/>
  <c r="AJ14" i="40"/>
  <c r="AJ20" i="40" s="1"/>
  <c r="AF14" i="40"/>
  <c r="AB13" i="40"/>
  <c r="AB19" i="40" s="1"/>
  <c r="AJ12" i="40"/>
  <c r="AI7" i="40"/>
  <c r="AI19" i="40" s="1"/>
  <c r="AH11" i="40"/>
  <c r="AD11" i="40"/>
  <c r="AI14" i="40"/>
  <c r="AI20" i="40" s="1"/>
  <c r="AE14" i="40"/>
  <c r="AE20" i="40" s="1"/>
  <c r="AB12" i="40"/>
  <c r="AB18" i="40" s="1"/>
  <c r="AE7" i="40"/>
  <c r="AE19" i="40" s="1"/>
  <c r="AG6" i="40"/>
  <c r="E74" i="40"/>
  <c r="AE30" i="43"/>
  <c r="AD5" i="40"/>
  <c r="AW10" i="5"/>
  <c r="AG7" i="40"/>
  <c r="AE6" i="40"/>
  <c r="E75" i="40"/>
  <c r="E76" i="40"/>
  <c r="AV4" i="5"/>
  <c r="AH5" i="40"/>
  <c r="AH7" i="40"/>
  <c r="AB5" i="40"/>
  <c r="AB17" i="40" s="1"/>
  <c r="AB6" i="40"/>
  <c r="AF6" i="40"/>
  <c r="AF5" i="40"/>
  <c r="AE31" i="43"/>
  <c r="AJ6" i="40"/>
  <c r="AJ5" i="40"/>
  <c r="AD8" i="40"/>
  <c r="AF29" i="43"/>
  <c r="AH8" i="40"/>
  <c r="AI18" i="40"/>
  <c r="AW4" i="5"/>
  <c r="AD24" i="43"/>
  <c r="AC7" i="40"/>
  <c r="AC19" i="40" s="1"/>
  <c r="AA6" i="40"/>
  <c r="AA5" i="40"/>
  <c r="AA17" i="40" s="1"/>
  <c r="AF24" i="43"/>
  <c r="AG5" i="40"/>
  <c r="AG17" i="40" s="1"/>
  <c r="AI5" i="40"/>
  <c r="AI9" i="40" s="1"/>
  <c r="AC5" i="40"/>
  <c r="AE5" i="40"/>
  <c r="AF25" i="43"/>
  <c r="AD29" i="43"/>
  <c r="AJ19" i="40"/>
  <c r="AK18" i="40"/>
  <c r="AK7" i="40"/>
  <c r="E77" i="40"/>
  <c r="AU10" i="5"/>
  <c r="AE15" i="43"/>
  <c r="AF13" i="43"/>
  <c r="N12" i="40"/>
  <c r="N18" i="40" s="1"/>
  <c r="D17" i="40" s="1"/>
  <c r="M7" i="40"/>
  <c r="M14" i="40"/>
  <c r="Q14" i="40"/>
  <c r="Q20" i="40" s="1"/>
  <c r="D43" i="40" s="1"/>
  <c r="AW13" i="14"/>
  <c r="AU12" i="14"/>
  <c r="AW5" i="14"/>
  <c r="R6" i="43"/>
  <c r="T12" i="40"/>
  <c r="T15" i="40" s="1"/>
  <c r="AF11" i="43"/>
  <c r="T8" i="40"/>
  <c r="C55" i="40" s="1"/>
  <c r="BG12" i="43"/>
  <c r="BO12" i="43" s="1"/>
  <c r="R13" i="43"/>
  <c r="N14" i="40"/>
  <c r="N20" i="40" s="1"/>
  <c r="D19" i="40" s="1"/>
  <c r="Q6" i="40"/>
  <c r="C41" i="40" s="1"/>
  <c r="P20" i="40"/>
  <c r="D37" i="40" s="1"/>
  <c r="P13" i="40"/>
  <c r="Q5" i="40"/>
  <c r="O12" i="40"/>
  <c r="O18" i="40" s="1"/>
  <c r="D23" i="40" s="1"/>
  <c r="S14" i="40"/>
  <c r="S20" i="40" s="1"/>
  <c r="AF10" i="43"/>
  <c r="V7" i="40"/>
  <c r="V19" i="40" s="1"/>
  <c r="D66" i="40" s="1"/>
  <c r="AD7" i="43"/>
  <c r="V11" i="40"/>
  <c r="I14" i="43"/>
  <c r="R19" i="40"/>
  <c r="D48" i="40" s="1"/>
  <c r="R6" i="40"/>
  <c r="C47" i="40" s="1"/>
  <c r="P11" i="40"/>
  <c r="S11" i="40"/>
  <c r="S17" i="40" s="1"/>
  <c r="N11" i="40"/>
  <c r="R11" i="40"/>
  <c r="R15" i="40" s="1"/>
  <c r="R21" i="40" s="1"/>
  <c r="D50" i="40" s="1"/>
  <c r="AW138" i="14"/>
  <c r="R5" i="40"/>
  <c r="U8" i="40"/>
  <c r="C61" i="40" s="1"/>
  <c r="M8" i="40"/>
  <c r="V5" i="40"/>
  <c r="I8" i="43"/>
  <c r="N5" i="40"/>
  <c r="N9" i="40" s="1"/>
  <c r="C20" i="40" s="1"/>
  <c r="C21" i="40" s="1"/>
  <c r="V6" i="40"/>
  <c r="C65" i="40" s="1"/>
  <c r="P5" i="40"/>
  <c r="AU138" i="14"/>
  <c r="AU4" i="14"/>
  <c r="AW4" i="14"/>
  <c r="AU5" i="14"/>
  <c r="AU7" i="14"/>
  <c r="AW8" i="14"/>
  <c r="AU9" i="14"/>
  <c r="AW10" i="14"/>
  <c r="AU11" i="14"/>
  <c r="AW12" i="14"/>
  <c r="AU13" i="14"/>
  <c r="AW14" i="14"/>
  <c r="AU15" i="14"/>
  <c r="AV138" i="14"/>
  <c r="AV5" i="14"/>
  <c r="AV13" i="14"/>
  <c r="AG46" i="43"/>
  <c r="AH15" i="43"/>
  <c r="R20" i="40"/>
  <c r="D49" i="40" s="1"/>
  <c r="N19" i="40"/>
  <c r="D18" i="40" s="1"/>
  <c r="AH13" i="43"/>
  <c r="W12" i="40"/>
  <c r="R14" i="43"/>
  <c r="CC14" i="43" s="1"/>
  <c r="U11" i="40"/>
  <c r="BG9" i="43"/>
  <c r="BO9" i="43" s="1"/>
  <c r="O13" i="40"/>
  <c r="O19" i="40" s="1"/>
  <c r="D24" i="40" s="1"/>
  <c r="O11" i="40"/>
  <c r="BG11" i="43"/>
  <c r="BO11" i="43" s="1"/>
  <c r="P7" i="40"/>
  <c r="C36" i="40" s="1"/>
  <c r="S5" i="40"/>
  <c r="S9" i="40" s="1"/>
  <c r="I15" i="43"/>
  <c r="M5" i="40"/>
  <c r="AE6" i="43"/>
  <c r="AD15" i="43"/>
  <c r="M11" i="40"/>
  <c r="O5" i="40"/>
  <c r="O9" i="40" s="1"/>
  <c r="U7" i="40"/>
  <c r="C60" i="40" s="1"/>
  <c r="U5" i="40"/>
  <c r="P6" i="40"/>
  <c r="T6" i="40"/>
  <c r="T5" i="40"/>
  <c r="T17" i="40" s="1"/>
  <c r="BG15" i="43"/>
  <c r="BO15" i="43" s="1"/>
  <c r="V12" i="40"/>
  <c r="R10" i="43"/>
  <c r="Q11" i="40"/>
  <c r="AE8" i="43"/>
  <c r="M18" i="40"/>
  <c r="D11" i="40" s="1"/>
  <c r="C27" i="40"/>
  <c r="AD13" i="43"/>
  <c r="AE12" i="43"/>
  <c r="AU8" i="14"/>
  <c r="AW9" i="14"/>
  <c r="U16" i="43"/>
  <c r="AV4" i="14"/>
  <c r="AV6" i="14"/>
  <c r="AV10" i="14"/>
  <c r="AV12" i="14"/>
  <c r="AV14" i="14"/>
  <c r="AU6" i="14"/>
  <c r="AW7" i="14"/>
  <c r="AU10" i="14"/>
  <c r="AW11" i="14"/>
  <c r="AU14" i="14"/>
  <c r="AW15" i="14"/>
  <c r="AV7" i="14"/>
  <c r="AV11" i="14"/>
  <c r="AV15" i="14"/>
  <c r="AW9" i="16"/>
  <c r="AV7" i="16"/>
  <c r="AV9" i="16"/>
  <c r="AW7" i="16"/>
  <c r="AU9" i="16"/>
  <c r="BG14" i="40"/>
  <c r="BJ12" i="40"/>
  <c r="BL6" i="40"/>
  <c r="BK8" i="40"/>
  <c r="BK14" i="40"/>
  <c r="BK20" i="40" s="1"/>
  <c r="BC14" i="40"/>
  <c r="BC20" i="40" s="1"/>
  <c r="BH11" i="40"/>
  <c r="BL11" i="40"/>
  <c r="BL17" i="40" s="1"/>
  <c r="BC11" i="40"/>
  <c r="BK12" i="40"/>
  <c r="BG12" i="40"/>
  <c r="BG18" i="40" s="1"/>
  <c r="BI12" i="40"/>
  <c r="BG11" i="40"/>
  <c r="BL5" i="40"/>
  <c r="BC5" i="40"/>
  <c r="BH8" i="40"/>
  <c r="BD8" i="40"/>
  <c r="AW8" i="16"/>
  <c r="BL7" i="40"/>
  <c r="BG5" i="40"/>
  <c r="BH7" i="40"/>
  <c r="AV8" i="16"/>
  <c r="BC7" i="40"/>
  <c r="AT19" i="40"/>
  <c r="AO18" i="40"/>
  <c r="AR20" i="40"/>
  <c r="AR19" i="40"/>
  <c r="AG41" i="43"/>
  <c r="C43" i="40"/>
  <c r="Q19" i="40"/>
  <c r="D42" i="40" s="1"/>
  <c r="T19" i="40"/>
  <c r="D54" i="40" s="1"/>
  <c r="AH6" i="43"/>
  <c r="AE13" i="43"/>
  <c r="R8" i="43"/>
  <c r="AZ47" i="43"/>
  <c r="AZ48" i="43" s="1"/>
  <c r="BO32" i="43"/>
  <c r="AH25" i="43"/>
  <c r="R7" i="43"/>
  <c r="AH14" i="43"/>
  <c r="AD11" i="43"/>
  <c r="AF14" i="43"/>
  <c r="Z16" i="43"/>
  <c r="AH28" i="43"/>
  <c r="AH40" i="43"/>
  <c r="AE24" i="43"/>
  <c r="BG32" i="43"/>
  <c r="BG40" i="43" s="1"/>
  <c r="AH41" i="43"/>
  <c r="AF22" i="43"/>
  <c r="AD23" i="43"/>
  <c r="AE25" i="43"/>
  <c r="AD26" i="43"/>
  <c r="AH38" i="43"/>
  <c r="AH45" i="43"/>
  <c r="R9" i="43"/>
  <c r="AD41" i="43"/>
  <c r="AH47" i="43"/>
  <c r="AH22" i="43"/>
  <c r="AR32" i="43"/>
  <c r="AH30" i="43"/>
  <c r="AE44" i="43"/>
  <c r="AH44" i="43"/>
  <c r="AH7" i="43"/>
  <c r="AH23" i="43"/>
  <c r="AD37" i="43"/>
  <c r="AH37" i="43"/>
  <c r="AE45" i="43"/>
  <c r="AH29" i="43"/>
  <c r="I11" i="43"/>
  <c r="Y16" i="43"/>
  <c r="AG7" i="43"/>
  <c r="AE26" i="43"/>
  <c r="AF27" i="43"/>
  <c r="AH31" i="43"/>
  <c r="AD45" i="43"/>
  <c r="AE46" i="43"/>
  <c r="AH46" i="43"/>
  <c r="AF47" i="43"/>
  <c r="I13" i="43"/>
  <c r="AD14" i="43"/>
  <c r="AD10" i="43"/>
  <c r="BO6" i="43"/>
  <c r="AH24" i="43"/>
  <c r="W16" i="43"/>
  <c r="AF12" i="43"/>
  <c r="AD30" i="43"/>
  <c r="AF6" i="43"/>
  <c r="I12" i="43"/>
  <c r="AE11" i="43"/>
  <c r="AE10" i="43"/>
  <c r="AD22" i="43"/>
  <c r="AE27" i="43"/>
  <c r="AE28" i="43"/>
  <c r="AF38" i="43"/>
  <c r="AE41" i="43"/>
  <c r="AU8" i="16"/>
  <c r="BD11" i="40"/>
  <c r="BI11" i="40"/>
  <c r="BI5" i="40"/>
  <c r="BM6" i="40"/>
  <c r="BK5" i="40"/>
  <c r="BD5" i="40"/>
  <c r="BK11" i="40"/>
  <c r="BH5" i="40"/>
  <c r="BJ11" i="40"/>
  <c r="BJ5" i="40"/>
  <c r="BM8" i="40"/>
  <c r="BF11" i="40"/>
  <c r="BH6" i="40"/>
  <c r="AU7" i="16"/>
  <c r="BF13" i="40"/>
  <c r="BE11" i="40"/>
  <c r="BF5" i="40"/>
  <c r="BE5" i="40"/>
  <c r="AZ16" i="43"/>
  <c r="BF8" i="40"/>
  <c r="BE6" i="40"/>
  <c r="AU6" i="16"/>
  <c r="BK13" i="40"/>
  <c r="BJ13" i="40"/>
  <c r="BI13" i="40"/>
  <c r="BK7" i="40"/>
  <c r="BI7" i="40"/>
  <c r="BF7" i="40"/>
  <c r="BI18" i="40" l="1"/>
  <c r="CC13" i="43"/>
  <c r="CC8" i="43"/>
  <c r="AG16" i="43"/>
  <c r="AE17" i="40"/>
  <c r="AD20" i="40"/>
  <c r="AI58" i="43"/>
  <c r="AI55" i="43"/>
  <c r="AH64" i="43"/>
  <c r="AI60" i="43"/>
  <c r="AG64" i="43"/>
  <c r="BJ19" i="40"/>
  <c r="BD18" i="40"/>
  <c r="BG20" i="40"/>
  <c r="BG19" i="40"/>
  <c r="BE18" i="40"/>
  <c r="BE19" i="40"/>
  <c r="BE20" i="40"/>
  <c r="BG9" i="40"/>
  <c r="BJ9" i="40"/>
  <c r="BF20" i="40"/>
  <c r="BE15" i="40"/>
  <c r="BJ18" i="40"/>
  <c r="AI63" i="43"/>
  <c r="BD15" i="40"/>
  <c r="BH15" i="40"/>
  <c r="AI61" i="43"/>
  <c r="BH18" i="40"/>
  <c r="AD62" i="43"/>
  <c r="AI62" i="43"/>
  <c r="AD64" i="43"/>
  <c r="AD57" i="43"/>
  <c r="AI57" i="43"/>
  <c r="AI59" i="43"/>
  <c r="AD59" i="43"/>
  <c r="BD9" i="40"/>
  <c r="AF64" i="43"/>
  <c r="BK18" i="40"/>
  <c r="AE56" i="43"/>
  <c r="AE64" i="43"/>
  <c r="BL9" i="40"/>
  <c r="BK19" i="40"/>
  <c r="AV18" i="40"/>
  <c r="AX15" i="40"/>
  <c r="AY20" i="40"/>
  <c r="AQ18" i="40"/>
  <c r="AY18" i="40"/>
  <c r="AR9" i="40"/>
  <c r="AQ19" i="40"/>
  <c r="AE48" i="43"/>
  <c r="AP9" i="40"/>
  <c r="AY19" i="40"/>
  <c r="N1" i="4"/>
  <c r="AT15" i="40"/>
  <c r="AR15" i="40"/>
  <c r="AR21" i="40" s="1"/>
  <c r="AF48" i="43"/>
  <c r="AX17" i="40"/>
  <c r="G77" i="40"/>
  <c r="G75" i="40"/>
  <c r="AF43" i="43"/>
  <c r="AQ15" i="40"/>
  <c r="G74" i="40"/>
  <c r="AV15" i="40"/>
  <c r="AP15" i="40"/>
  <c r="AP21" i="40" s="1"/>
  <c r="AW17" i="40"/>
  <c r="AS17" i="40"/>
  <c r="AO17" i="40"/>
  <c r="AR17" i="40"/>
  <c r="G76" i="40"/>
  <c r="AP17" i="40"/>
  <c r="AS15" i="40"/>
  <c r="AS21" i="40" s="1"/>
  <c r="AT17" i="40"/>
  <c r="AW9" i="40"/>
  <c r="AW21" i="40" s="1"/>
  <c r="AQ17" i="40"/>
  <c r="AO9" i="40"/>
  <c r="AO21" i="40" s="1"/>
  <c r="AX9" i="40"/>
  <c r="AX21" i="40" s="1"/>
  <c r="AU9" i="40"/>
  <c r="AU21" i="40" s="1"/>
  <c r="AQ9" i="40"/>
  <c r="AD40" i="43"/>
  <c r="O1" i="4"/>
  <c r="AY11" i="40"/>
  <c r="AY15" i="40" s="1"/>
  <c r="AV17" i="40"/>
  <c r="AI43" i="43"/>
  <c r="AU17" i="40"/>
  <c r="BA17" i="4"/>
  <c r="BA16" i="4"/>
  <c r="AV9" i="40"/>
  <c r="BB18" i="4"/>
  <c r="AZ17" i="4"/>
  <c r="AZ16" i="4"/>
  <c r="AI47" i="43"/>
  <c r="AD47" i="43"/>
  <c r="AT9" i="40"/>
  <c r="AD15" i="40"/>
  <c r="AH18" i="40"/>
  <c r="AJ15" i="40"/>
  <c r="AF20" i="40"/>
  <c r="E78" i="40"/>
  <c r="AK19" i="40"/>
  <c r="AK11" i="40"/>
  <c r="AK15" i="40" s="1"/>
  <c r="AD17" i="40"/>
  <c r="AE15" i="40"/>
  <c r="AE21" i="40" s="1"/>
  <c r="AD25" i="43"/>
  <c r="AJ18" i="40"/>
  <c r="AI17" i="40"/>
  <c r="AG32" i="43"/>
  <c r="AI24" i="43"/>
  <c r="AF15" i="40"/>
  <c r="AF21" i="40" s="1"/>
  <c r="AG15" i="40"/>
  <c r="AG21" i="40" s="1"/>
  <c r="AH15" i="40"/>
  <c r="AA20" i="40"/>
  <c r="AI25" i="43"/>
  <c r="AH20" i="40"/>
  <c r="AI15" i="40"/>
  <c r="AI21" i="40" s="1"/>
  <c r="AH17" i="40"/>
  <c r="AG9" i="40"/>
  <c r="AA9" i="40"/>
  <c r="AB15" i="40"/>
  <c r="AC9" i="40"/>
  <c r="AC21" i="40" s="1"/>
  <c r="AF32" i="43"/>
  <c r="AE32" i="43"/>
  <c r="AA15" i="40"/>
  <c r="AF9" i="40"/>
  <c r="AB9" i="40"/>
  <c r="AK5" i="40"/>
  <c r="AI31" i="43"/>
  <c r="AE9" i="40"/>
  <c r="AG18" i="40"/>
  <c r="AJ9" i="40"/>
  <c r="AJ17" i="40"/>
  <c r="AH9" i="40"/>
  <c r="AF17" i="40"/>
  <c r="AC17" i="40"/>
  <c r="AH19" i="40"/>
  <c r="AD9" i="40"/>
  <c r="C66" i="40"/>
  <c r="M17" i="40"/>
  <c r="M20" i="40"/>
  <c r="D13" i="40" s="1"/>
  <c r="V17" i="40"/>
  <c r="S15" i="40"/>
  <c r="S21" i="40" s="1"/>
  <c r="R17" i="40"/>
  <c r="N17" i="40"/>
  <c r="U20" i="40"/>
  <c r="D61" i="40" s="1"/>
  <c r="R18" i="40"/>
  <c r="D47" i="40" s="1"/>
  <c r="I7" i="43"/>
  <c r="AI7" i="43" s="1"/>
  <c r="R12" i="43"/>
  <c r="CC12" i="43" s="1"/>
  <c r="Q17" i="40"/>
  <c r="AF9" i="43"/>
  <c r="AF16" i="43"/>
  <c r="P15" i="40"/>
  <c r="P21" i="40" s="1"/>
  <c r="D38" i="40" s="1"/>
  <c r="I10" i="43"/>
  <c r="AI10" i="43" s="1"/>
  <c r="N15" i="40"/>
  <c r="N21" i="40" s="1"/>
  <c r="D20" i="40" s="1"/>
  <c r="D21" i="40" s="1"/>
  <c r="R9" i="40"/>
  <c r="C50" i="40" s="1"/>
  <c r="C51" i="40" s="1"/>
  <c r="V15" i="40"/>
  <c r="P17" i="40"/>
  <c r="Q9" i="40"/>
  <c r="C44" i="40" s="1"/>
  <c r="V9" i="40"/>
  <c r="C68" i="40" s="1"/>
  <c r="M9" i="40"/>
  <c r="T20" i="40"/>
  <c r="D55" i="40" s="1"/>
  <c r="D27" i="40"/>
  <c r="AD8" i="43"/>
  <c r="R15" i="43"/>
  <c r="CC15" i="43" s="1"/>
  <c r="AV141" i="14"/>
  <c r="AV135" i="14"/>
  <c r="AU141" i="14"/>
  <c r="AU135" i="14"/>
  <c r="AW141" i="14"/>
  <c r="AW135" i="14"/>
  <c r="AI12" i="43"/>
  <c r="AI15" i="43"/>
  <c r="AI13" i="43"/>
  <c r="AI37" i="43"/>
  <c r="AI44" i="43"/>
  <c r="AA6" i="43"/>
  <c r="I6" i="43"/>
  <c r="CC6" i="43" s="1"/>
  <c r="U9" i="40"/>
  <c r="C62" i="40" s="1"/>
  <c r="C63" i="40" s="1"/>
  <c r="I9" i="43"/>
  <c r="CC9" i="43" s="1"/>
  <c r="AD6" i="43"/>
  <c r="V16" i="43"/>
  <c r="AH16" i="43"/>
  <c r="M15" i="40"/>
  <c r="C45" i="40"/>
  <c r="Q15" i="40"/>
  <c r="Q21" i="40" s="1"/>
  <c r="D44" i="40" s="1"/>
  <c r="C53" i="40"/>
  <c r="T18" i="40"/>
  <c r="D53" i="40" s="1"/>
  <c r="AD9" i="43"/>
  <c r="P18" i="40"/>
  <c r="D35" i="40" s="1"/>
  <c r="C35" i="40"/>
  <c r="BG16" i="43"/>
  <c r="R11" i="43"/>
  <c r="CC11" i="43" s="1"/>
  <c r="U19" i="40"/>
  <c r="D60" i="40" s="1"/>
  <c r="W6" i="40"/>
  <c r="C74" i="40"/>
  <c r="C75" i="40"/>
  <c r="AD16" i="43"/>
  <c r="W13" i="40"/>
  <c r="W11" i="40"/>
  <c r="C76" i="40"/>
  <c r="U17" i="40"/>
  <c r="BO16" i="43"/>
  <c r="V18" i="40"/>
  <c r="D65" i="40" s="1"/>
  <c r="T9" i="40"/>
  <c r="C56" i="40" s="1"/>
  <c r="U15" i="40"/>
  <c r="W8" i="40"/>
  <c r="W20" i="40" s="1"/>
  <c r="AE9" i="43"/>
  <c r="W7" i="40"/>
  <c r="P19" i="40"/>
  <c r="D36" i="40" s="1"/>
  <c r="O17" i="40"/>
  <c r="O15" i="40"/>
  <c r="O21" i="40" s="1"/>
  <c r="C77" i="40"/>
  <c r="P9" i="40"/>
  <c r="C38" i="40" s="1"/>
  <c r="BE9" i="40"/>
  <c r="BC9" i="40"/>
  <c r="BC15" i="40"/>
  <c r="BL15" i="40"/>
  <c r="BL21" i="40" s="1"/>
  <c r="BH17" i="40"/>
  <c r="BC17" i="40"/>
  <c r="BI17" i="40"/>
  <c r="BG15" i="40"/>
  <c r="BG21" i="40" s="1"/>
  <c r="BF15" i="40"/>
  <c r="BF21" i="40" s="1"/>
  <c r="BF19" i="40"/>
  <c r="BH9" i="40"/>
  <c r="BI9" i="40"/>
  <c r="BK17" i="40"/>
  <c r="BD17" i="40"/>
  <c r="BG17" i="40"/>
  <c r="AG48" i="43"/>
  <c r="AH32" i="43"/>
  <c r="AI23" i="43"/>
  <c r="AI14" i="43"/>
  <c r="BO40" i="43"/>
  <c r="BO48" i="43" s="1"/>
  <c r="BG48" i="43"/>
  <c r="AI45" i="43"/>
  <c r="AI11" i="43"/>
  <c r="AI27" i="43"/>
  <c r="AI46" i="43"/>
  <c r="AH48" i="43"/>
  <c r="BJ17" i="40"/>
  <c r="BI15" i="40"/>
  <c r="BF17" i="40"/>
  <c r="BK15" i="40"/>
  <c r="BM11" i="40"/>
  <c r="BM14" i="40"/>
  <c r="BM20" i="40" s="1"/>
  <c r="BM12" i="40"/>
  <c r="BE17" i="40"/>
  <c r="BI19" i="40"/>
  <c r="BJ15" i="40"/>
  <c r="BK9" i="40"/>
  <c r="BF9" i="40"/>
  <c r="BM7" i="40"/>
  <c r="BM19" i="40" s="1"/>
  <c r="I74" i="40"/>
  <c r="BE21" i="40" l="1"/>
  <c r="CC10" i="43"/>
  <c r="CC7" i="43"/>
  <c r="AA16" i="43"/>
  <c r="AV21" i="40"/>
  <c r="P1" i="4"/>
  <c r="AD21" i="40"/>
  <c r="R16" i="43"/>
  <c r="C38" i="76" s="1"/>
  <c r="I16" i="43"/>
  <c r="AI29" i="43"/>
  <c r="AI28" i="43"/>
  <c r="BD21" i="40"/>
  <c r="BJ21" i="40"/>
  <c r="BH21" i="40"/>
  <c r="AI64" i="43"/>
  <c r="AI56" i="43"/>
  <c r="BI21" i="40"/>
  <c r="BC21" i="40"/>
  <c r="AI41" i="43"/>
  <c r="G78" i="40"/>
  <c r="AI38" i="43"/>
  <c r="AT21" i="40"/>
  <c r="AQ21" i="40"/>
  <c r="AY5" i="40"/>
  <c r="AY17" i="40" s="1"/>
  <c r="AI42" i="43"/>
  <c r="AD48" i="43"/>
  <c r="AI40" i="43"/>
  <c r="AI48" i="43"/>
  <c r="BB16" i="4"/>
  <c r="BB17" i="4"/>
  <c r="AJ21" i="40"/>
  <c r="AI30" i="43"/>
  <c r="AI26" i="43"/>
  <c r="AD32" i="43"/>
  <c r="AH21" i="40"/>
  <c r="AI22" i="43"/>
  <c r="AI32" i="43"/>
  <c r="AK17" i="40"/>
  <c r="AK9" i="40"/>
  <c r="AK21" i="40" s="1"/>
  <c r="AA21" i="40"/>
  <c r="AB21" i="40"/>
  <c r="C69" i="40"/>
  <c r="D51" i="40"/>
  <c r="M21" i="40"/>
  <c r="D14" i="40" s="1"/>
  <c r="D15" i="40" s="1"/>
  <c r="V21" i="40"/>
  <c r="D68" i="40" s="1"/>
  <c r="AI6" i="43"/>
  <c r="AI8" i="43"/>
  <c r="T21" i="40"/>
  <c r="D56" i="40" s="1"/>
  <c r="U21" i="40"/>
  <c r="D62" i="40" s="1"/>
  <c r="D63" i="40" s="1"/>
  <c r="AE16" i="43"/>
  <c r="D45" i="40"/>
  <c r="AI9" i="43"/>
  <c r="W19" i="40"/>
  <c r="C57" i="40"/>
  <c r="W5" i="40"/>
  <c r="W9" i="40" s="1"/>
  <c r="W15" i="40"/>
  <c r="W18" i="40"/>
  <c r="C39" i="40"/>
  <c r="C78" i="40"/>
  <c r="BK21" i="40"/>
  <c r="BM15" i="40"/>
  <c r="BM18" i="40"/>
  <c r="BM5" i="40"/>
  <c r="C72" i="76" l="1"/>
  <c r="G39" i="76"/>
  <c r="E39" i="76"/>
  <c r="I39" i="76"/>
  <c r="D39" i="76"/>
  <c r="BU16" i="43"/>
  <c r="CC16" i="43"/>
  <c r="AY9" i="40"/>
  <c r="AY21" i="40" s="1"/>
  <c r="D69" i="40"/>
  <c r="AI16" i="43"/>
  <c r="C70" i="40"/>
  <c r="W17" i="40"/>
  <c r="D57" i="40"/>
  <c r="D39" i="40"/>
  <c r="C72" i="40"/>
  <c r="W21" i="40"/>
  <c r="BM9" i="40"/>
  <c r="BM21" i="40" s="1"/>
  <c r="BM17" i="40"/>
  <c r="C91" i="76" l="1"/>
  <c r="C110" i="76"/>
  <c r="G73" i="76"/>
  <c r="H73" i="76"/>
  <c r="E73" i="76"/>
  <c r="I73" i="76"/>
  <c r="D73" i="76"/>
  <c r="D70" i="40"/>
  <c r="C118" i="76" l="1"/>
  <c r="C119" i="76" s="1"/>
  <c r="C116" i="76"/>
  <c r="E111" i="76"/>
  <c r="F111" i="76"/>
  <c r="H111" i="76"/>
  <c r="D111" i="76"/>
  <c r="C103" i="76"/>
  <c r="C104" i="76" s="1"/>
  <c r="C101" i="76"/>
  <c r="E92" i="76"/>
  <c r="G92" i="76"/>
  <c r="H92" i="76"/>
  <c r="D92" i="76"/>
  <c r="D102" i="76" l="1"/>
  <c r="E102" i="76"/>
  <c r="G102" i="76"/>
  <c r="D117" i="76"/>
  <c r="F117" i="76"/>
  <c r="E117" i="76"/>
  <c r="H117" i="76"/>
</calcChain>
</file>

<file path=xl/comments1.xml><?xml version="1.0" encoding="utf-8"?>
<comments xmlns="http://schemas.openxmlformats.org/spreadsheetml/2006/main">
  <authors>
    <author>Author</author>
  </authors>
  <commentList>
    <comment ref="B10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= VVF Selling Price - Landed Value of imports : Duty Under FTA</t>
        </r>
      </text>
    </comment>
  </commentList>
</comments>
</file>

<file path=xl/sharedStrings.xml><?xml version="1.0" encoding="utf-8"?>
<sst xmlns="http://schemas.openxmlformats.org/spreadsheetml/2006/main" count="4837" uniqueCount="388">
  <si>
    <t>INDONESIA</t>
  </si>
  <si>
    <t>MALAYSIA</t>
  </si>
  <si>
    <t>SAUDI</t>
  </si>
  <si>
    <t>THAILAND</t>
  </si>
  <si>
    <t>Grand Total</t>
  </si>
  <si>
    <t>Volume (MTs)</t>
  </si>
  <si>
    <t>Value (Rs.)</t>
  </si>
  <si>
    <t>OTHERS</t>
  </si>
  <si>
    <t>Non-SAUDI</t>
  </si>
  <si>
    <t>NON-SAUDI</t>
  </si>
  <si>
    <t>C12 ALCOHOL</t>
  </si>
  <si>
    <t>C1214 ALCOHOL</t>
  </si>
  <si>
    <t>C1216 ALCOHOL</t>
  </si>
  <si>
    <t>C1218 ALCOHOL</t>
  </si>
  <si>
    <t>C14 ALCOHOL</t>
  </si>
  <si>
    <t>C1618 ALCOHOL</t>
  </si>
  <si>
    <t>C18 ALCOHOL</t>
  </si>
  <si>
    <t>C10 ALCOHOL</t>
  </si>
  <si>
    <t>C16 ALCOHOL</t>
  </si>
  <si>
    <t>C8C10 ALCOHOL</t>
  </si>
  <si>
    <t>Total</t>
  </si>
  <si>
    <t>Volumes (MTs)</t>
  </si>
  <si>
    <t>Overall</t>
  </si>
  <si>
    <t>Values (Rs.)</t>
  </si>
  <si>
    <t>C1012 ALCOHOL</t>
  </si>
  <si>
    <t>DTA</t>
  </si>
  <si>
    <t>Deemed</t>
  </si>
  <si>
    <t>Export</t>
  </si>
  <si>
    <t>Period</t>
  </si>
  <si>
    <t>Product Name</t>
  </si>
  <si>
    <t>QTY (MT)</t>
  </si>
  <si>
    <t>Value (Lakh INR)</t>
  </si>
  <si>
    <t>Particulars</t>
  </si>
  <si>
    <t>2014-15</t>
  </si>
  <si>
    <t>V1214</t>
  </si>
  <si>
    <t>Malaysia</t>
  </si>
  <si>
    <t>Indonesia</t>
  </si>
  <si>
    <t>Thailand</t>
  </si>
  <si>
    <t>MT</t>
  </si>
  <si>
    <t>2015-16</t>
  </si>
  <si>
    <t>%</t>
  </si>
  <si>
    <t>$/MT</t>
  </si>
  <si>
    <t>FY'13-14</t>
  </si>
  <si>
    <t>FY'14-15</t>
  </si>
  <si>
    <t>FY'15-16</t>
  </si>
  <si>
    <t>Ass. Values (Rs.)</t>
  </si>
  <si>
    <t>FY'16-17</t>
  </si>
  <si>
    <t>Value</t>
  </si>
  <si>
    <t>2013-14</t>
  </si>
  <si>
    <t>2016-17</t>
  </si>
  <si>
    <t>Difference</t>
  </si>
  <si>
    <t>PUC Total</t>
  </si>
  <si>
    <t>C1214</t>
  </si>
  <si>
    <t>May</t>
  </si>
  <si>
    <t>2016-17 (YTD May)</t>
  </si>
  <si>
    <t>Total Qty (MT)</t>
  </si>
  <si>
    <t>*Rs/kg</t>
  </si>
  <si>
    <t>C810 ALCOHOL</t>
  </si>
  <si>
    <t>SUB TOTAL</t>
  </si>
  <si>
    <t>M</t>
  </si>
  <si>
    <t>I</t>
  </si>
  <si>
    <t>T</t>
  </si>
  <si>
    <t>O</t>
  </si>
  <si>
    <t>Source :  Foreign Exchange Dealers Association of India, Revaluation Rates</t>
  </si>
  <si>
    <t>Saudi</t>
  </si>
  <si>
    <t>Others</t>
  </si>
  <si>
    <t>Products</t>
  </si>
  <si>
    <t>FY'13-14 (April - March'14)</t>
  </si>
  <si>
    <t>FY'14-15 (April - March'15)</t>
  </si>
  <si>
    <t>FY'15-16 (April-March'16)</t>
  </si>
  <si>
    <t>AHMEDABAD ICD</t>
  </si>
  <si>
    <t>CHENNAI SEA</t>
  </si>
  <si>
    <t>JNPT SEA</t>
  </si>
  <si>
    <t>KOLKATA SEA</t>
  </si>
  <si>
    <t>LUDHIANA ICD</t>
  </si>
  <si>
    <t>MUMBAI SEA</t>
  </si>
  <si>
    <t>MUNDRA SEA</t>
  </si>
  <si>
    <t>PIPAVAV SEA</t>
  </si>
  <si>
    <t>TUGHLAKABAD ICD</t>
  </si>
  <si>
    <t>BALLABHGARH ICD</t>
  </si>
  <si>
    <t>ANKLESHWAR ICD</t>
  </si>
  <si>
    <t>PATPARGANJ ICD</t>
  </si>
  <si>
    <t>Values ($)</t>
  </si>
  <si>
    <t>Ass. Values ($)</t>
  </si>
  <si>
    <t>Value ($)</t>
  </si>
  <si>
    <t>Value ($/MT)</t>
  </si>
  <si>
    <t>Prices Per MT/USD</t>
  </si>
  <si>
    <t>USD : INR</t>
  </si>
  <si>
    <t>RM : INR</t>
  </si>
  <si>
    <t>IDR : INR</t>
  </si>
  <si>
    <t>USD : RM</t>
  </si>
  <si>
    <t>China</t>
  </si>
  <si>
    <t>Netherlands</t>
  </si>
  <si>
    <t>U.S.A.</t>
  </si>
  <si>
    <t>Singapore</t>
  </si>
  <si>
    <t>India</t>
  </si>
  <si>
    <t>South Korea</t>
  </si>
  <si>
    <t>Japan</t>
  </si>
  <si>
    <t>Taiwan</t>
  </si>
  <si>
    <t>Mexico</t>
  </si>
  <si>
    <t>Rest of World</t>
  </si>
  <si>
    <t>Compare</t>
  </si>
  <si>
    <t>IBIS - CIF India</t>
  </si>
  <si>
    <t>ICIS Prices (FOB SEA)</t>
  </si>
  <si>
    <t>Vol share</t>
  </si>
  <si>
    <t>Price Diff.</t>
  </si>
  <si>
    <t>MAL Vs.ICIS</t>
  </si>
  <si>
    <t>Year</t>
  </si>
  <si>
    <t>PHILIPPINES</t>
  </si>
  <si>
    <t>ASEAN</t>
  </si>
  <si>
    <t>NON-ASEAN</t>
  </si>
  <si>
    <t>FY'16-17 (April-June'16)</t>
  </si>
  <si>
    <t>FY'16-17 (April-May'16)</t>
  </si>
  <si>
    <t>FY'16-17 (April-June'17)</t>
  </si>
  <si>
    <t>FY 2013-14</t>
  </si>
  <si>
    <t>FY 2014-15</t>
  </si>
  <si>
    <t>FY 2015-16</t>
  </si>
  <si>
    <t>- ASEAN</t>
  </si>
  <si>
    <t>H2</t>
  </si>
  <si>
    <t>H1</t>
  </si>
  <si>
    <t>- OTHERS</t>
  </si>
  <si>
    <t>Qty MT</t>
  </si>
  <si>
    <t>Apr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</si>
  <si>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</si>
  <si>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</si>
  <si>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</si>
  <si>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</si>
  <si>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</si>
  <si>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</si>
  <si>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</si>
  <si>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</si>
  <si>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</si>
  <si>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</si>
  <si>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C8 ALCOHOL</t>
  </si>
  <si>
    <t>C10C12 ALCOHOL</t>
  </si>
  <si>
    <t>Philippines</t>
  </si>
  <si>
    <t>Price (Rs./Kg)</t>
  </si>
  <si>
    <t>May-13</t>
  </si>
  <si>
    <t>Jun-13</t>
  </si>
  <si>
    <t>Jul-13</t>
  </si>
  <si>
    <t>Aug-13</t>
  </si>
  <si>
    <t>Sep-13</t>
  </si>
  <si>
    <t>Oct-13</t>
  </si>
  <si>
    <t>Nov-13</t>
  </si>
  <si>
    <t>Dec-13</t>
  </si>
  <si>
    <t>Jan-14</t>
  </si>
  <si>
    <t>Feb-14</t>
  </si>
  <si>
    <t>Mar-14</t>
  </si>
  <si>
    <t xml:space="preserve">NOT A PART OF SAFEGUARD </t>
  </si>
  <si>
    <t>May-14</t>
  </si>
  <si>
    <t>Jun-14</t>
  </si>
  <si>
    <t>Jul-14</t>
  </si>
  <si>
    <t>Aug-14</t>
  </si>
  <si>
    <t>Sep-14</t>
  </si>
  <si>
    <t>Oct-14</t>
  </si>
  <si>
    <t>Nov-14</t>
  </si>
  <si>
    <t>Dec-14</t>
  </si>
  <si>
    <t>Jan-15</t>
  </si>
  <si>
    <t>Feb-15</t>
  </si>
  <si>
    <t>Mar-15</t>
  </si>
  <si>
    <t>May-15</t>
  </si>
  <si>
    <t>Jun-15</t>
  </si>
  <si>
    <t>Jul-15</t>
  </si>
  <si>
    <t>Aug-16</t>
  </si>
  <si>
    <t>Sep-15</t>
  </si>
  <si>
    <t>Oct-15</t>
  </si>
  <si>
    <t>Nov-15</t>
  </si>
  <si>
    <t>Dec-15</t>
  </si>
  <si>
    <t>Jan-16</t>
  </si>
  <si>
    <t>Feb-16</t>
  </si>
  <si>
    <t>Mar-16</t>
  </si>
  <si>
    <t>FY 2016-17 (YTD Sept'16)</t>
  </si>
  <si>
    <t>May-16</t>
  </si>
  <si>
    <t>Jun-16</t>
  </si>
  <si>
    <t>Jul-16</t>
  </si>
  <si>
    <t>Sep-16</t>
  </si>
  <si>
    <t>Oct-16</t>
  </si>
  <si>
    <t>Total of ER-II</t>
  </si>
  <si>
    <t>Total of ER-IV</t>
  </si>
  <si>
    <t>Remark</t>
  </si>
  <si>
    <t>Difference is due to March 2013 closing balance which was lying in sewree warehouse. Same got  sold in FY 2013-14.</t>
  </si>
  <si>
    <t>Difference is due to Material returned by Sewree warehouse , which was used in Feb 2015</t>
  </si>
  <si>
    <t xml:space="preserve">This is closing stock of march 2016, which was shown as Opening Balance in April 2016. </t>
  </si>
  <si>
    <t>Closing stock of March 2016 was sold till sept 2016, therefore sales quantity is more then production quantity</t>
  </si>
  <si>
    <t>ER-II : Production Qty. in MT</t>
  </si>
  <si>
    <t>Realisations (Rs./MT)</t>
  </si>
  <si>
    <t>Safeguard</t>
  </si>
  <si>
    <t>Production</t>
  </si>
  <si>
    <t>Domestic</t>
  </si>
  <si>
    <t>Exports</t>
  </si>
  <si>
    <t>Stock</t>
  </si>
  <si>
    <t>Opening</t>
  </si>
  <si>
    <t>Closing</t>
  </si>
  <si>
    <t>No of Employees</t>
  </si>
  <si>
    <t>Sales Realization (Rs./MT)</t>
  </si>
  <si>
    <t>Sales Value (Rs.Lacs)</t>
  </si>
  <si>
    <t>Sales Quantity (MTs)</t>
  </si>
  <si>
    <t>2016-17(YTD June)</t>
  </si>
  <si>
    <t>Total Qty</t>
  </si>
  <si>
    <t xml:space="preserve"> (MT)</t>
  </si>
  <si>
    <t>Rs./Kg</t>
  </si>
  <si>
    <t>-</t>
  </si>
  <si>
    <t>MTs</t>
  </si>
  <si>
    <t>Rs.</t>
  </si>
  <si>
    <t>Rs./MT</t>
  </si>
  <si>
    <t>GRAND TOTAL</t>
  </si>
  <si>
    <t>2010-11</t>
  </si>
  <si>
    <t>2011-12</t>
  </si>
  <si>
    <t>2012-13</t>
  </si>
  <si>
    <t>2016-17 (Ann.)</t>
  </si>
  <si>
    <t>POI</t>
  </si>
  <si>
    <t>POI (Ann.)</t>
  </si>
  <si>
    <t>Imports (MT)</t>
  </si>
  <si>
    <t>Trend</t>
  </si>
  <si>
    <t>Q1 2016-17</t>
  </si>
  <si>
    <t>Total Production (MT)</t>
  </si>
  <si>
    <t>VVF Production (MT)</t>
  </si>
  <si>
    <t>Import in relation to Total Production (%)</t>
  </si>
  <si>
    <t>VVF Domestic Production (MT)</t>
  </si>
  <si>
    <t>VVF Sales</t>
  </si>
  <si>
    <t>Godrej Industries Ltd.**</t>
  </si>
  <si>
    <t>Total Domestic Sales</t>
  </si>
  <si>
    <t>Total Demand</t>
  </si>
  <si>
    <t>Import</t>
  </si>
  <si>
    <t>Share of Import in demand</t>
  </si>
  <si>
    <t>Share of Other Indian Industry</t>
  </si>
  <si>
    <t>Import Value (Lacs)</t>
  </si>
  <si>
    <t>VVF Domestic Sales (MT)</t>
  </si>
  <si>
    <t>Godrej Industries Ltd.** (MT)</t>
  </si>
  <si>
    <t>Total Domestic Sales (MT)</t>
  </si>
  <si>
    <t>Total Demand (MT)</t>
  </si>
  <si>
    <t>Share of Import in Demand (%)</t>
  </si>
  <si>
    <t>Share of VVF in Demand (%)</t>
  </si>
  <si>
    <t>Share of Others in Demand (%)</t>
  </si>
  <si>
    <t>VVF Domestic Sales (Rs.Lacs)</t>
  </si>
  <si>
    <t>Imports (Rs.Lacs)</t>
  </si>
  <si>
    <t>Quarterly Imports</t>
  </si>
  <si>
    <t>Q1</t>
  </si>
  <si>
    <t>Q2</t>
  </si>
  <si>
    <t>Q3</t>
  </si>
  <si>
    <t>Q4</t>
  </si>
  <si>
    <t>Installed Capacity</t>
  </si>
  <si>
    <t>Capacity Utilization**</t>
  </si>
  <si>
    <t>Share of VVF Sales in demand</t>
  </si>
  <si>
    <t>VVF Domestic Sales (Rs. Lakhs)</t>
  </si>
  <si>
    <t>Imports under the FTA</t>
  </si>
  <si>
    <t>Import Value (Ass Value)</t>
  </si>
  <si>
    <t>Indexed</t>
  </si>
  <si>
    <t>Cost of Production of DI</t>
  </si>
  <si>
    <t>VVF Selling Price</t>
  </si>
  <si>
    <t>Price Undercutting</t>
  </si>
  <si>
    <t xml:space="preserve">Price Suppression </t>
  </si>
  <si>
    <t>Price Suppression (%)</t>
  </si>
  <si>
    <t>Import Value (Ass Value) (Rs./MT)</t>
  </si>
  <si>
    <t>Landed Value of imports -Duty Under FTA (Rs./MT)</t>
  </si>
  <si>
    <t>VVF Selling Price (Rs./MT)</t>
  </si>
  <si>
    <t>Price Undercutting (Rs./MT)</t>
  </si>
  <si>
    <t>Price Suppression  (Rs./MT)</t>
  </si>
  <si>
    <t>Duty (%)</t>
  </si>
  <si>
    <t>2016-17 (Till June'16)</t>
  </si>
  <si>
    <t>VVF : Volumes (MTs)</t>
  </si>
  <si>
    <t>Domestic Tarriff Area</t>
  </si>
  <si>
    <t>Deemed Export</t>
  </si>
  <si>
    <t>VVF : Value (Rs.Lacs)</t>
  </si>
  <si>
    <t>COP Comparision</t>
  </si>
  <si>
    <t>Avg. COP (Rs./MT)</t>
  </si>
  <si>
    <t>COP Comparision (Rs./MT) : Headwise</t>
  </si>
  <si>
    <t>Rs.Crs.</t>
  </si>
  <si>
    <t>Raw Material</t>
  </si>
  <si>
    <t>By product</t>
  </si>
  <si>
    <t>Packing Materials</t>
  </si>
  <si>
    <t>Consumables/stores &amp; spares &amp; other input</t>
  </si>
  <si>
    <t>Utilities (power, fuel, steam, water, etc.)</t>
  </si>
  <si>
    <t>Direct Labour</t>
  </si>
  <si>
    <t>Manufacturing overheads (head wise)</t>
  </si>
  <si>
    <t>Repairs &amp; Maintenance</t>
  </si>
  <si>
    <t>Other Expenses</t>
  </si>
  <si>
    <t>Freight Expenses</t>
  </si>
  <si>
    <t>Marketing &amp; Selling Cost</t>
  </si>
  <si>
    <t>General &amp; Administrative overheads</t>
  </si>
  <si>
    <t>Net loss on account of foreign exchange fluctuation</t>
  </si>
  <si>
    <t>Depriciation</t>
  </si>
  <si>
    <t>Interest on Term Loan</t>
  </si>
  <si>
    <t>Financial Expenses</t>
  </si>
  <si>
    <t>Misc Income (from product concerned)</t>
  </si>
  <si>
    <t>Total COP</t>
  </si>
  <si>
    <t>tallied</t>
  </si>
  <si>
    <t>Domestic Realisation (Rs./MT)</t>
  </si>
  <si>
    <t>Duty (Rs./MT)</t>
  </si>
  <si>
    <t>Domestic Sales with Duty (Rs./MT)</t>
  </si>
  <si>
    <t>VVF</t>
  </si>
  <si>
    <t>COP Comparision (Rs.Crs) : Headwise</t>
  </si>
  <si>
    <t xml:space="preserve">Total Sales (MTs) for COP Estimation </t>
  </si>
  <si>
    <t>To hide</t>
  </si>
  <si>
    <t>Cost of Production (COP) of DI (Rs./MT)</t>
  </si>
  <si>
    <t>Landed Value of import at full duty</t>
  </si>
  <si>
    <t>Locations</t>
  </si>
  <si>
    <t>Taloja</t>
  </si>
  <si>
    <t>Direct Employee</t>
  </si>
  <si>
    <t>Sales in MT</t>
  </si>
  <si>
    <t>Closing Stock (MT)</t>
  </si>
  <si>
    <t>Production (MT)</t>
  </si>
  <si>
    <t>VVF Production</t>
  </si>
  <si>
    <t>VVF Export</t>
  </si>
  <si>
    <t>VVF Domestic Sales (Production- Export)</t>
  </si>
  <si>
    <r>
      <t xml:space="preserve">Total : </t>
    </r>
    <r>
      <rPr>
        <b/>
        <sz val="9"/>
        <color rgb="FF0000CC"/>
        <rFont val="Calibri"/>
        <family val="2"/>
        <scheme val="minor"/>
      </rPr>
      <t>PUC &amp; Non PUC</t>
    </r>
    <r>
      <rPr>
        <b/>
        <sz val="9"/>
        <color theme="1"/>
        <rFont val="Calibri"/>
        <family val="2"/>
        <scheme val="minor"/>
      </rPr>
      <t xml:space="preserve"> product Sales Qty. in MT</t>
    </r>
  </si>
  <si>
    <r>
      <t xml:space="preserve">Total : </t>
    </r>
    <r>
      <rPr>
        <b/>
        <sz val="9"/>
        <color rgb="FF0000CC"/>
        <rFont val="Calibri"/>
        <family val="2"/>
        <scheme val="minor"/>
      </rPr>
      <t>PUC &amp; Non PUC</t>
    </r>
    <r>
      <rPr>
        <b/>
        <sz val="9"/>
        <color theme="1"/>
        <rFont val="Calibri"/>
        <family val="2"/>
        <scheme val="minor"/>
      </rPr>
      <t xml:space="preserve"> product Sales Value in Lakhs</t>
    </r>
  </si>
  <si>
    <r>
      <t xml:space="preserve">Total Quarterwise: </t>
    </r>
    <r>
      <rPr>
        <b/>
        <sz val="9"/>
        <color rgb="FF0000CC"/>
        <rFont val="Calibri"/>
        <family val="2"/>
        <scheme val="minor"/>
      </rPr>
      <t>PUC product</t>
    </r>
    <r>
      <rPr>
        <b/>
        <sz val="9"/>
        <color theme="1"/>
        <rFont val="Calibri"/>
        <family val="2"/>
        <scheme val="minor"/>
      </rPr>
      <t xml:space="preserve"> Sales Qty. in MT</t>
    </r>
  </si>
  <si>
    <t>Q1 2015-16</t>
  </si>
  <si>
    <t>Q2 2015-16</t>
  </si>
  <si>
    <t>Q3 2015-16</t>
  </si>
  <si>
    <t>Q4 2015-16</t>
  </si>
  <si>
    <r>
      <t xml:space="preserve">Total Monthwise </t>
    </r>
    <r>
      <rPr>
        <b/>
        <sz val="9"/>
        <color rgb="FF0000CC"/>
        <rFont val="Calibri"/>
        <family val="2"/>
        <scheme val="minor"/>
      </rPr>
      <t xml:space="preserve">Export Only </t>
    </r>
    <r>
      <rPr>
        <b/>
        <sz val="9"/>
        <color theme="1"/>
        <rFont val="Calibri"/>
        <family val="2"/>
        <scheme val="minor"/>
      </rPr>
      <t xml:space="preserve">: </t>
    </r>
    <r>
      <rPr>
        <b/>
        <sz val="9"/>
        <color rgb="FF0000CC"/>
        <rFont val="Calibri"/>
        <family val="2"/>
        <scheme val="minor"/>
      </rPr>
      <t>PUC product</t>
    </r>
    <r>
      <rPr>
        <b/>
        <sz val="9"/>
        <color theme="1"/>
        <rFont val="Calibri"/>
        <family val="2"/>
        <scheme val="minor"/>
      </rPr>
      <t xml:space="preserve"> Sales Qty. in MT</t>
    </r>
  </si>
  <si>
    <r>
      <t xml:space="preserve">Total Monthwise (DTA + DE + E) : </t>
    </r>
    <r>
      <rPr>
        <b/>
        <sz val="9"/>
        <color rgb="FF0000CC"/>
        <rFont val="Calibri"/>
        <family val="2"/>
        <scheme val="minor"/>
      </rPr>
      <t>PUC product</t>
    </r>
    <r>
      <rPr>
        <b/>
        <sz val="9"/>
        <color theme="1"/>
        <rFont val="Calibri"/>
        <family val="2"/>
        <scheme val="minor"/>
      </rPr>
      <t xml:space="preserve"> Sales Qty. in MT</t>
    </r>
  </si>
  <si>
    <r>
      <t xml:space="preserve">Total Quarterwise (DTA + DE + E) : </t>
    </r>
    <r>
      <rPr>
        <b/>
        <sz val="9"/>
        <color rgb="FF0000CC"/>
        <rFont val="Calibri"/>
        <family val="2"/>
        <scheme val="minor"/>
      </rPr>
      <t>PUC product</t>
    </r>
    <r>
      <rPr>
        <b/>
        <sz val="9"/>
        <color theme="1"/>
        <rFont val="Calibri"/>
        <family val="2"/>
        <scheme val="minor"/>
      </rPr>
      <t xml:space="preserve"> Sales Qty. in MT</t>
    </r>
  </si>
  <si>
    <t>Selling Price</t>
  </si>
  <si>
    <t>Cost of Production</t>
  </si>
  <si>
    <t>Profit per unit</t>
  </si>
  <si>
    <t>Profit (Lacs)</t>
  </si>
  <si>
    <t>Profit (%)</t>
  </si>
  <si>
    <t>Profit on domestic sales (Rs./MT)</t>
  </si>
  <si>
    <t>Imports under the Non-FTA</t>
  </si>
  <si>
    <t>FTA</t>
  </si>
  <si>
    <t>Non FTA</t>
  </si>
  <si>
    <t>Non-FTA</t>
  </si>
  <si>
    <t>NON-FTA</t>
  </si>
  <si>
    <t xml:space="preserve">Breakup of Imports </t>
  </si>
  <si>
    <t>FTA countries (MTs)</t>
  </si>
  <si>
    <t>Non-FTA countries (MTs)</t>
  </si>
  <si>
    <t>Total (MTs)</t>
  </si>
  <si>
    <t>Tallied</t>
  </si>
  <si>
    <t>FTA countries (Rs.Lacs)</t>
  </si>
  <si>
    <t>Non-FTA countries (Rs.Lacs)</t>
  </si>
  <si>
    <t>Total (Rs.Lacs)</t>
  </si>
  <si>
    <t>Bulk</t>
  </si>
  <si>
    <t>Bulk (MTs)</t>
  </si>
  <si>
    <t>Packed (MTs)</t>
  </si>
  <si>
    <t>Bulk (Rs.Lacs)</t>
  </si>
  <si>
    <t>Packed (Rs.Lacs)</t>
  </si>
  <si>
    <t>Packaging Details</t>
  </si>
  <si>
    <t>Packed</t>
  </si>
  <si>
    <t>2016-17(YTD Oct)</t>
  </si>
  <si>
    <t>One month only….</t>
  </si>
  <si>
    <t>16-17 (Till Oct'16)</t>
  </si>
  <si>
    <t>FY'16-17 (April-Nov'16)</t>
  </si>
  <si>
    <t>2016-17 (Till 25.11.2016)</t>
  </si>
  <si>
    <t>2016-17 (Till Dec'16)</t>
  </si>
  <si>
    <t>Month</t>
  </si>
  <si>
    <t>Domestic : Sales Volumes (MTs)</t>
  </si>
  <si>
    <t>Domestic : Sales Values (Rs.Lacs)</t>
  </si>
  <si>
    <t>Deemed : Sales Volumes (MTs)</t>
  </si>
  <si>
    <t>Deemed : Sales Values (Rs.Lacs)</t>
  </si>
  <si>
    <t>TOTAL</t>
  </si>
  <si>
    <t>Description</t>
  </si>
  <si>
    <t>V1214 - Total</t>
  </si>
  <si>
    <t>V1214 - HUL Processing</t>
  </si>
  <si>
    <t>V1214 - Production</t>
  </si>
  <si>
    <t>HUL</t>
  </si>
  <si>
    <t>Other Than</t>
  </si>
  <si>
    <t>other v/s HUL</t>
  </si>
  <si>
    <t>Vols (MTs)</t>
  </si>
  <si>
    <t>Ass. Val. (Rs.)</t>
  </si>
  <si>
    <t>Average</t>
  </si>
  <si>
    <t>Diff</t>
  </si>
  <si>
    <t>V1618 - Total</t>
  </si>
  <si>
    <t>V1618 - Godrej Processing</t>
  </si>
  <si>
    <t>V1618 - HUL Processing</t>
  </si>
  <si>
    <t>V1618 - Production</t>
  </si>
  <si>
    <t>Godrej</t>
  </si>
  <si>
    <t>Conversion Sales : C1214</t>
  </si>
  <si>
    <t>FY'16-17 (till June)</t>
  </si>
  <si>
    <t>Conversion Sales : C1618</t>
  </si>
  <si>
    <t>ASEAN Import Volumes (MTs) (ASEAN = INDO + MAL + THAI)</t>
  </si>
  <si>
    <t>ASEAN Import Value (Rs.Lacs) (ASEAN = INDO + MAL + THAI)</t>
  </si>
  <si>
    <t>Export Volumes (MTs)</t>
  </si>
  <si>
    <t>Export Value (Rs.Lacs)</t>
  </si>
  <si>
    <t>Cetyl alcohol</t>
  </si>
  <si>
    <t>Lauryl alcohol</t>
  </si>
  <si>
    <t>Stearyl alcohol</t>
  </si>
  <si>
    <t>Dodecan-1-ol (lauryl alcohol)</t>
  </si>
  <si>
    <t>HS Codes</t>
  </si>
  <si>
    <t>3823.70.10</t>
  </si>
  <si>
    <t>3823.70.20</t>
  </si>
  <si>
    <t>3823.70.40</t>
  </si>
  <si>
    <t>3823.70.90</t>
  </si>
  <si>
    <t>2905.17.00</t>
  </si>
  <si>
    <t>FTA Duties</t>
  </si>
  <si>
    <t>Safeguard duty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</si>
</sst>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₹&quot;\ #,##0;&quot;₹&quot;\ \-#,##0"/>
    <numFmt numFmtId="165" formatCode="_ &quot;₹&quot;\ * #,##0.00_ ;_ &quot;₹&quot;\ * \-#,##0.00_ ;_ &quot;₹&quot;\ * &quot;-&quot;??_ ;_ @_ "/>
    <numFmt numFmtId="166" formatCode="_ * #,##0.00_ ;_ * \-#,##0.00_ ;_ * &quot;-&quot;??_ ;_ @_ "/>
    <numFmt numFmtId="167" formatCode="_(* #,##0_);_(* \(#,##0\);_(* &quot;-&quot;??_);_(@_)"/>
    <numFmt numFmtId="168" formatCode="_ * #,##0_ ;_ * \-#,##0_ ;_ * &quot;-&quot;??_ ;_ @_ "/>
    <numFmt numFmtId="169" formatCode="&quot;Yes&quot;;&quot;Yes&quot;;&quot;No&quot;"/>
    <numFmt numFmtId="170" formatCode="_-[$$-409]* #,##0_ ;_-[$$-409]* \-#,##0\ ;_-[$$-409]* &quot;-&quot;??_ ;_-@_ "/>
    <numFmt numFmtId="171" formatCode="_(* #,##0.0_);_(* \(#,##0.0\);_(* &quot;-&quot;?_);_(@_)"/>
    <numFmt numFmtId="172" formatCode="0.000%"/>
    <numFmt numFmtId="173" formatCode="&quot;Rs.&quot;\ #,##0.00_);\(&quot;Rs.&quot;\ #,##0.00\)"/>
    <numFmt numFmtId="174" formatCode="_(&quot;Rs.&quot;\ * #,##0_);_(&quot;Rs.&quot;\ * \(#,##0\);_(&quot;Rs.&quot;\ * &quot;-&quot;_);_(@_)"/>
    <numFmt numFmtId="175" formatCode="&quot;$&quot;#,\);\(&quot;$&quot;#,##0\)"/>
    <numFmt numFmtId="176" formatCode="[$-409]mmm\-yy;@"/>
    <numFmt numFmtId="177" formatCode="_(* #,##0.00000_);_(* \(#,##0.00000\);_(* &quot;-&quot;??_);_(@_)"/>
    <numFmt numFmtId="178" formatCode="_-* #,##0_-;\-* #,##0_-;_-* &quot;-&quot;_-;_-@_-"/>
    <numFmt numFmtId="179" formatCode="_-&quot;£&quot;* #,##0_-;\-&quot;£&quot;* #,##0_-;_-&quot;£&quot;* &quot;-&quot;_-;_-@_-"/>
    <numFmt numFmtId="180" formatCode="_-&quot;£&quot;* #,##0.00_-;\-&quot;£&quot;* #,##0.00_-;_-&quot;£&quot;* &quot;-&quot;??_-;_-@_-"/>
    <numFmt numFmtId="181" formatCode="[$-409]General"/>
    <numFmt numFmtId="182" formatCode="_(* #,##0.0_);_(* \(#,##0.0\);_(* &quot;-&quot;??_);_(@_)"/>
    <numFmt numFmtId="183" formatCode="_ * #,##0.0_ ;_ * \-#,##0.0_ ;_ * &quot;-&quot;??_ ;_ @_ "/>
    <numFmt numFmtId="184" formatCode="#,##0.00000000000"/>
  </numFmts>
  <fonts count="7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indexed="20"/>
      <name val="Calibri"/>
      <family val="2"/>
    </font>
    <font>
      <sz val="12"/>
      <name val="Tms Rmn"/>
    </font>
    <font>
      <b/>
      <sz val="8"/>
      <color indexed="24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b/>
      <sz val="11"/>
      <color indexed="52"/>
      <name val="Calibri"/>
      <family val="2"/>
    </font>
    <font>
      <sz val="10"/>
      <name val="MS Sans Serif"/>
      <family val="2"/>
    </font>
    <font>
      <b/>
      <sz val="11"/>
      <color indexed="9"/>
      <name val="Calibri"/>
      <family val="2"/>
    </font>
    <font>
      <sz val="8"/>
      <name val="Arial Narrow"/>
      <family val="2"/>
    </font>
    <font>
      <sz val="10"/>
      <color theme="1"/>
      <name val="Bookman Old Style"/>
      <family val="2"/>
    </font>
    <font>
      <sz val="12"/>
      <name val="Helv"/>
    </font>
    <font>
      <sz val="10"/>
      <name val="Courier"/>
      <family val="3"/>
    </font>
    <font>
      <b/>
      <sz val="11"/>
      <color indexed="8"/>
      <name val="Calibri"/>
      <family val="2"/>
    </font>
    <font>
      <sz val="24"/>
      <color indexed="9"/>
      <name val="SWISS"/>
    </font>
    <font>
      <i/>
      <sz val="11"/>
      <color indexed="23"/>
      <name val="Calibri"/>
      <family val="2"/>
    </font>
    <font>
      <b/>
      <sz val="14"/>
      <name val="SWISS"/>
    </font>
    <font>
      <sz val="10"/>
      <color indexed="0"/>
      <name val="Arial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b/>
      <sz val="14"/>
      <name val="Helv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Century Gothic"/>
      <family val="2"/>
    </font>
    <font>
      <sz val="11"/>
      <color theme="1"/>
      <name val="Calibri"/>
      <family val="2"/>
      <charset val="1"/>
      <scheme val="minor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24"/>
      <color indexed="13"/>
      <name val="Helv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0"/>
      <color rgb="FFFFFF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u/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11"/>
    </font>
    <font>
      <b/>
      <sz val="9"/>
      <color rgb="FF0000CC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CC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CC"/>
      <name val="Calibri"/>
      <family val="2"/>
      <scheme val="minor"/>
    </font>
    <font>
      <b/>
      <sz val="10"/>
      <color rgb="FF0000CC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7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40"/>
      </patternFill>
    </fill>
    <fill>
      <patternFill patternType="solid">
        <fgColor indexed="51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1FFC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2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Dashed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 style="mediumDashed">
        <color theme="0" tint="-0.34998626667073579"/>
      </top>
      <bottom style="thin">
        <color indexed="64"/>
      </bottom>
      <diagonal/>
    </border>
    <border>
      <left style="thin">
        <color theme="1"/>
      </left>
      <right/>
      <top style="mediumDashed">
        <color theme="0" tint="-0.34998626667073579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</borders>
  <cellStyleXfs count="1263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0" borderId="0" applyNumberFormat="0" applyBorder="0" applyAlignment="0" applyProtection="0"/>
    <xf numFmtId="0" fontId="12" fillId="34" borderId="0" applyNumberFormat="0" applyBorder="0" applyAlignment="0" applyProtection="0"/>
    <xf numFmtId="0" fontId="12" fillId="27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3" fillId="0" borderId="2" applyBorder="0">
      <alignment horizontal="centerContinuous"/>
    </xf>
    <xf numFmtId="0" fontId="13" fillId="0" borderId="2" applyBorder="0">
      <alignment horizontal="centerContinuous"/>
    </xf>
    <xf numFmtId="0" fontId="13" fillId="0" borderId="2" applyBorder="0">
      <alignment horizontal="centerContinuous"/>
    </xf>
    <xf numFmtId="0" fontId="14" fillId="37" borderId="0" applyNumberFormat="0" applyBorder="0" applyAlignment="0" applyProtection="0"/>
    <xf numFmtId="0" fontId="15" fillId="0" borderId="0" applyNumberFormat="0" applyFill="0" applyBorder="0" applyAlignment="0" applyProtection="0"/>
    <xf numFmtId="49" fontId="16" fillId="0" borderId="0" applyFont="0" applyFill="0" applyBorder="0" applyAlignment="0" applyProtection="0">
      <alignment horizontal="left"/>
    </xf>
    <xf numFmtId="171" fontId="17" fillId="0" borderId="0" applyAlignment="0" applyProtection="0"/>
    <xf numFmtId="171" fontId="17" fillId="0" borderId="0" applyAlignment="0" applyProtection="0"/>
    <xf numFmtId="171" fontId="17" fillId="0" borderId="0" applyAlignment="0" applyProtection="0"/>
    <xf numFmtId="171" fontId="17" fillId="0" borderId="0" applyAlignment="0" applyProtection="0"/>
    <xf numFmtId="171" fontId="17" fillId="0" borderId="0" applyAlignment="0" applyProtection="0"/>
    <xf numFmtId="171" fontId="17" fillId="0" borderId="0" applyAlignment="0" applyProtection="0"/>
    <xf numFmtId="171" fontId="17" fillId="0" borderId="0" applyAlignment="0" applyProtection="0"/>
    <xf numFmtId="171" fontId="17" fillId="0" borderId="0" applyAlignment="0" applyProtection="0"/>
    <xf numFmtId="171" fontId="17" fillId="0" borderId="0" applyAlignment="0" applyProtection="0"/>
    <xf numFmtId="171" fontId="17" fillId="0" borderId="0" applyAlignment="0" applyProtection="0"/>
    <xf numFmtId="171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171" fontId="17" fillId="0" borderId="0" applyAlignment="0" applyProtection="0"/>
    <xf numFmtId="171" fontId="17" fillId="0" borderId="0" applyAlignment="0" applyProtection="0"/>
    <xf numFmtId="171" fontId="17" fillId="0" borderId="0" applyAlignment="0" applyProtection="0"/>
    <xf numFmtId="171" fontId="17" fillId="0" borderId="0" applyAlignment="0" applyProtection="0"/>
    <xf numFmtId="171" fontId="17" fillId="0" borderId="0" applyAlignment="0" applyProtection="0"/>
    <xf numFmtId="171" fontId="17" fillId="0" borderId="0" applyAlignment="0" applyProtection="0"/>
    <xf numFmtId="171" fontId="17" fillId="0" borderId="0" applyAlignment="0" applyProtection="0"/>
    <xf numFmtId="171" fontId="17" fillId="0" borderId="0" applyAlignment="0" applyProtection="0"/>
    <xf numFmtId="171" fontId="17" fillId="0" borderId="0" applyAlignment="0" applyProtection="0"/>
    <xf numFmtId="171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171" fontId="17" fillId="0" borderId="0" applyAlignment="0" applyProtection="0"/>
    <xf numFmtId="171" fontId="17" fillId="0" borderId="0" applyAlignment="0" applyProtection="0"/>
    <xf numFmtId="171" fontId="17" fillId="0" borderId="0" applyAlignment="0" applyProtection="0"/>
    <xf numFmtId="171" fontId="17" fillId="0" borderId="0" applyAlignment="0" applyProtection="0"/>
    <xf numFmtId="171" fontId="17" fillId="0" borderId="0" applyAlignment="0" applyProtection="0"/>
    <xf numFmtId="171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0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2" fontId="17" fillId="0" borderId="0" applyAlignment="0" applyProtection="0"/>
    <xf numFmtId="171" fontId="17" fillId="0" borderId="0" applyAlignment="0" applyProtection="0"/>
    <xf numFmtId="171" fontId="17" fillId="0" borderId="0" applyAlignment="0" applyProtection="0"/>
    <xf numFmtId="171" fontId="17" fillId="0" borderId="0" applyAlignment="0" applyProtection="0"/>
    <xf numFmtId="171" fontId="17" fillId="0" borderId="0" applyAlignment="0" applyProtection="0"/>
    <xf numFmtId="171" fontId="17" fillId="0" borderId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173" fontId="18" fillId="0" borderId="0" applyFill="0" applyBorder="0" applyAlignment="0" applyProtection="0"/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8" fillId="0" borderId="0" applyNumberFormat="0" applyAlignment="0" applyProtection="0">
      <alignment horizontal="left"/>
    </xf>
    <xf numFmtId="49" fontId="19" fillId="0" borderId="22" applyNumberFormat="0" applyAlignment="0" applyProtection="0">
      <alignment horizontal="left" wrapText="1"/>
    </xf>
    <xf numFmtId="49" fontId="19" fillId="0" borderId="0" applyNumberFormat="0" applyAlignment="0" applyProtection="0">
      <alignment horizontal="left" wrapText="1"/>
    </xf>
    <xf numFmtId="49" fontId="20" fillId="0" borderId="0" applyAlignment="0" applyProtection="0">
      <alignment horizontal="left"/>
    </xf>
    <xf numFmtId="0" fontId="21" fillId="38" borderId="23" applyNumberFormat="0" applyAlignment="0" applyProtection="0"/>
    <xf numFmtId="0" fontId="21" fillId="38" borderId="23" applyNumberFormat="0" applyAlignment="0" applyProtection="0"/>
    <xf numFmtId="0" fontId="21" fillId="38" borderId="23" applyNumberFormat="0" applyAlignment="0" applyProtection="0"/>
    <xf numFmtId="0" fontId="22" fillId="0" borderId="0"/>
    <xf numFmtId="0" fontId="23" fillId="39" borderId="24" applyNumberFormat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6" fillId="0" borderId="0"/>
    <xf numFmtId="0" fontId="26" fillId="0" borderId="25"/>
    <xf numFmtId="0" fontId="26" fillId="0" borderId="25"/>
    <xf numFmtId="0" fontId="26" fillId="0" borderId="25"/>
    <xf numFmtId="0" fontId="27" fillId="0" borderId="0"/>
    <xf numFmtId="0" fontId="27" fillId="0" borderId="25"/>
    <xf numFmtId="0" fontId="27" fillId="0" borderId="25"/>
    <xf numFmtId="0" fontId="27" fillId="0" borderId="25"/>
    <xf numFmtId="0" fontId="27" fillId="0" borderId="25"/>
    <xf numFmtId="0" fontId="27" fillId="0" borderId="25"/>
    <xf numFmtId="0" fontId="27" fillId="0" borderId="25"/>
    <xf numFmtId="0" fontId="28" fillId="40" borderId="0" applyNumberFormat="0" applyBorder="0" applyAlignment="0" applyProtection="0"/>
    <xf numFmtId="0" fontId="28" fillId="41" borderId="0" applyNumberFormat="0" applyBorder="0" applyAlignment="0" applyProtection="0"/>
    <xf numFmtId="0" fontId="28" fillId="42" borderId="0" applyNumberFormat="0" applyBorder="0" applyAlignment="0" applyProtection="0"/>
    <xf numFmtId="0" fontId="29" fillId="43" borderId="0"/>
    <xf numFmtId="0" fontId="30" fillId="0" borderId="0" applyNumberFormat="0" applyFill="0" applyBorder="0" applyAlignment="0" applyProtection="0"/>
    <xf numFmtId="0" fontId="31" fillId="0" borderId="26"/>
    <xf numFmtId="0" fontId="31" fillId="0" borderId="25"/>
    <xf numFmtId="0" fontId="31" fillId="0" borderId="25"/>
    <xf numFmtId="0" fontId="31" fillId="0" borderId="25"/>
    <xf numFmtId="0" fontId="31" fillId="44" borderId="25"/>
    <xf numFmtId="0" fontId="31" fillId="44" borderId="25"/>
    <xf numFmtId="0" fontId="31" fillId="44" borderId="25"/>
    <xf numFmtId="0" fontId="32" fillId="0" borderId="0"/>
    <xf numFmtId="0" fontId="33" fillId="45" borderId="0" applyNumberFormat="0" applyBorder="0" applyAlignment="0" applyProtection="0"/>
    <xf numFmtId="0" fontId="34" fillId="0" borderId="21" applyNumberFormat="0" applyAlignment="0" applyProtection="0">
      <alignment horizontal="left" vertical="center"/>
    </xf>
    <xf numFmtId="0" fontId="34" fillId="0" borderId="17">
      <alignment horizontal="left" vertical="center"/>
    </xf>
    <xf numFmtId="0" fontId="35" fillId="0" borderId="27" applyNumberFormat="0" applyFill="0" applyAlignment="0" applyProtection="0"/>
    <xf numFmtId="0" fontId="36" fillId="0" borderId="28" applyNumberFormat="0" applyFill="0" applyAlignment="0" applyProtection="0"/>
    <xf numFmtId="0" fontId="37" fillId="0" borderId="29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46" borderId="23" applyNumberFormat="0" applyAlignment="0" applyProtection="0"/>
    <xf numFmtId="0" fontId="39" fillId="46" borderId="23" applyNumberFormat="0" applyAlignment="0" applyProtection="0"/>
    <xf numFmtId="0" fontId="39" fillId="46" borderId="23" applyNumberFormat="0" applyAlignment="0" applyProtection="0"/>
    <xf numFmtId="0" fontId="40" fillId="47" borderId="25"/>
    <xf numFmtId="0" fontId="40" fillId="47" borderId="25"/>
    <xf numFmtId="0" fontId="40" fillId="47" borderId="25"/>
    <xf numFmtId="0" fontId="41" fillId="0" borderId="30" applyNumberFormat="0" applyFill="0" applyAlignment="0" applyProtection="0"/>
    <xf numFmtId="0" fontId="42" fillId="48" borderId="0" applyNumberFormat="0" applyBorder="0" applyAlignment="0" applyProtection="0"/>
    <xf numFmtId="37" fontId="43" fillId="0" borderId="0"/>
    <xf numFmtId="175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5" fillId="0" borderId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4" fillId="0" borderId="0"/>
    <xf numFmtId="0" fontId="25" fillId="0" borderId="0"/>
    <xf numFmtId="0" fontId="4" fillId="0" borderId="0"/>
    <xf numFmtId="0" fontId="46" fillId="38" borderId="31" applyNumberFormat="0" applyAlignment="0" applyProtection="0"/>
    <xf numFmtId="0" fontId="46" fillId="38" borderId="31" applyNumberFormat="0" applyAlignment="0" applyProtection="0"/>
    <xf numFmtId="0" fontId="46" fillId="38" borderId="31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/>
    <xf numFmtId="0" fontId="27" fillId="0" borderId="0"/>
    <xf numFmtId="4" fontId="47" fillId="48" borderId="32" applyNumberFormat="0" applyProtection="0">
      <alignment vertical="center"/>
    </xf>
    <xf numFmtId="4" fontId="47" fillId="48" borderId="32" applyNumberFormat="0" applyProtection="0">
      <alignment vertical="center"/>
    </xf>
    <xf numFmtId="4" fontId="47" fillId="48" borderId="32" applyNumberFormat="0" applyProtection="0">
      <alignment vertical="center"/>
    </xf>
    <xf numFmtId="4" fontId="48" fillId="48" borderId="32" applyNumberFormat="0" applyProtection="0">
      <alignment vertical="center"/>
    </xf>
    <xf numFmtId="4" fontId="48" fillId="48" borderId="32" applyNumberFormat="0" applyProtection="0">
      <alignment vertical="center"/>
    </xf>
    <xf numFmtId="4" fontId="48" fillId="48" borderId="32" applyNumberFormat="0" applyProtection="0">
      <alignment vertical="center"/>
    </xf>
    <xf numFmtId="4" fontId="47" fillId="48" borderId="32" applyNumberFormat="0" applyProtection="0">
      <alignment horizontal="left" vertical="center" indent="1"/>
    </xf>
    <xf numFmtId="4" fontId="47" fillId="48" borderId="32" applyNumberFormat="0" applyProtection="0">
      <alignment horizontal="left" vertical="center" indent="1"/>
    </xf>
    <xf numFmtId="4" fontId="47" fillId="48" borderId="32" applyNumberFormat="0" applyProtection="0">
      <alignment horizontal="left" vertical="center" indent="1"/>
    </xf>
    <xf numFmtId="0" fontId="47" fillId="48" borderId="32" applyNumberFormat="0" applyProtection="0">
      <alignment horizontal="left" vertical="top" indent="1"/>
    </xf>
    <xf numFmtId="0" fontId="47" fillId="48" borderId="32" applyNumberFormat="0" applyProtection="0">
      <alignment horizontal="left" vertical="top" indent="1"/>
    </xf>
    <xf numFmtId="0" fontId="47" fillId="48" borderId="32" applyNumberFormat="0" applyProtection="0">
      <alignment horizontal="left" vertical="top" indent="1"/>
    </xf>
    <xf numFmtId="4" fontId="47" fillId="49" borderId="0" applyNumberFormat="0" applyProtection="0">
      <alignment horizontal="left" vertical="center" indent="1"/>
    </xf>
    <xf numFmtId="4" fontId="49" fillId="37" borderId="32" applyNumberFormat="0" applyProtection="0">
      <alignment horizontal="right" vertical="center"/>
    </xf>
    <xf numFmtId="4" fontId="49" fillId="37" borderId="32" applyNumberFormat="0" applyProtection="0">
      <alignment horizontal="right" vertical="center"/>
    </xf>
    <xf numFmtId="4" fontId="49" fillId="37" borderId="32" applyNumberFormat="0" applyProtection="0">
      <alignment horizontal="right" vertical="center"/>
    </xf>
    <xf numFmtId="4" fontId="49" fillId="17" borderId="32" applyNumberFormat="0" applyProtection="0">
      <alignment horizontal="right" vertical="center"/>
    </xf>
    <xf numFmtId="4" fontId="49" fillId="17" borderId="32" applyNumberFormat="0" applyProtection="0">
      <alignment horizontal="right" vertical="center"/>
    </xf>
    <xf numFmtId="4" fontId="49" fillId="17" borderId="32" applyNumberFormat="0" applyProtection="0">
      <alignment horizontal="right" vertical="center"/>
    </xf>
    <xf numFmtId="4" fontId="49" fillId="29" borderId="32" applyNumberFormat="0" applyProtection="0">
      <alignment horizontal="right" vertical="center"/>
    </xf>
    <xf numFmtId="4" fontId="49" fillId="29" borderId="32" applyNumberFormat="0" applyProtection="0">
      <alignment horizontal="right" vertical="center"/>
    </xf>
    <xf numFmtId="4" fontId="49" fillId="29" borderId="32" applyNumberFormat="0" applyProtection="0">
      <alignment horizontal="right" vertical="center"/>
    </xf>
    <xf numFmtId="4" fontId="49" fillId="50" borderId="32" applyNumberFormat="0" applyProtection="0">
      <alignment horizontal="right" vertical="center"/>
    </xf>
    <xf numFmtId="4" fontId="49" fillId="50" borderId="32" applyNumberFormat="0" applyProtection="0">
      <alignment horizontal="right" vertical="center"/>
    </xf>
    <xf numFmtId="4" fontId="49" fillId="50" borderId="32" applyNumberFormat="0" applyProtection="0">
      <alignment horizontal="right" vertical="center"/>
    </xf>
    <xf numFmtId="4" fontId="49" fillId="21" borderId="32" applyNumberFormat="0" applyProtection="0">
      <alignment horizontal="right" vertical="center"/>
    </xf>
    <xf numFmtId="4" fontId="49" fillId="21" borderId="32" applyNumberFormat="0" applyProtection="0">
      <alignment horizontal="right" vertical="center"/>
    </xf>
    <xf numFmtId="4" fontId="49" fillId="21" borderId="32" applyNumberFormat="0" applyProtection="0">
      <alignment horizontal="right" vertical="center"/>
    </xf>
    <xf numFmtId="4" fontId="49" fillId="36" borderId="32" applyNumberFormat="0" applyProtection="0">
      <alignment horizontal="right" vertical="center"/>
    </xf>
    <xf numFmtId="4" fontId="49" fillId="36" borderId="32" applyNumberFormat="0" applyProtection="0">
      <alignment horizontal="right" vertical="center"/>
    </xf>
    <xf numFmtId="4" fontId="49" fillId="36" borderId="32" applyNumberFormat="0" applyProtection="0">
      <alignment horizontal="right" vertical="center"/>
    </xf>
    <xf numFmtId="4" fontId="49" fillId="33" borderId="32" applyNumberFormat="0" applyProtection="0">
      <alignment horizontal="right" vertical="center"/>
    </xf>
    <xf numFmtId="4" fontId="49" fillId="33" borderId="32" applyNumberFormat="0" applyProtection="0">
      <alignment horizontal="right" vertical="center"/>
    </xf>
    <xf numFmtId="4" fontId="49" fillId="33" borderId="32" applyNumberFormat="0" applyProtection="0">
      <alignment horizontal="right" vertical="center"/>
    </xf>
    <xf numFmtId="4" fontId="49" fillId="51" borderId="32" applyNumberFormat="0" applyProtection="0">
      <alignment horizontal="right" vertical="center"/>
    </xf>
    <xf numFmtId="4" fontId="49" fillId="51" borderId="32" applyNumberFormat="0" applyProtection="0">
      <alignment horizontal="right" vertical="center"/>
    </xf>
    <xf numFmtId="4" fontId="49" fillId="51" borderId="32" applyNumberFormat="0" applyProtection="0">
      <alignment horizontal="right" vertical="center"/>
    </xf>
    <xf numFmtId="4" fontId="49" fillId="18" borderId="32" applyNumberFormat="0" applyProtection="0">
      <alignment horizontal="right" vertical="center"/>
    </xf>
    <xf numFmtId="4" fontId="49" fillId="18" borderId="32" applyNumberFormat="0" applyProtection="0">
      <alignment horizontal="right" vertical="center"/>
    </xf>
    <xf numFmtId="4" fontId="49" fillId="18" borderId="32" applyNumberFormat="0" applyProtection="0">
      <alignment horizontal="right" vertical="center"/>
    </xf>
    <xf numFmtId="4" fontId="47" fillId="52" borderId="33" applyNumberFormat="0" applyProtection="0">
      <alignment horizontal="left" vertical="center" indent="1"/>
    </xf>
    <xf numFmtId="4" fontId="49" fillId="53" borderId="0" applyNumberFormat="0" applyProtection="0">
      <alignment horizontal="left" vertical="center" indent="1"/>
    </xf>
    <xf numFmtId="4" fontId="50" fillId="54" borderId="0" applyNumberFormat="0" applyProtection="0">
      <alignment horizontal="left" vertical="center" indent="1"/>
    </xf>
    <xf numFmtId="4" fontId="49" fillId="49" borderId="32" applyNumberFormat="0" applyProtection="0">
      <alignment horizontal="right" vertical="center"/>
    </xf>
    <xf numFmtId="4" fontId="49" fillId="49" borderId="32" applyNumberFormat="0" applyProtection="0">
      <alignment horizontal="right" vertical="center"/>
    </xf>
    <xf numFmtId="4" fontId="49" fillId="49" borderId="32" applyNumberFormat="0" applyProtection="0">
      <alignment horizontal="right" vertical="center"/>
    </xf>
    <xf numFmtId="4" fontId="49" fillId="53" borderId="0" applyNumberFormat="0" applyProtection="0">
      <alignment horizontal="left" vertical="center" indent="1"/>
    </xf>
    <xf numFmtId="4" fontId="49" fillId="49" borderId="0" applyNumberFormat="0" applyProtection="0">
      <alignment horizontal="left" vertical="center" indent="1"/>
    </xf>
    <xf numFmtId="0" fontId="4" fillId="54" borderId="32" applyNumberFormat="0" applyProtection="0">
      <alignment horizontal="left" vertical="center" indent="1"/>
    </xf>
    <xf numFmtId="0" fontId="4" fillId="54" borderId="32" applyNumberFormat="0" applyProtection="0">
      <alignment horizontal="left" vertical="center" indent="1"/>
    </xf>
    <xf numFmtId="0" fontId="4" fillId="54" borderId="32" applyNumberFormat="0" applyProtection="0">
      <alignment horizontal="left" vertical="center" indent="1"/>
    </xf>
    <xf numFmtId="0" fontId="4" fillId="54" borderId="32" applyNumberFormat="0" applyProtection="0">
      <alignment horizontal="left" vertical="top" indent="1"/>
    </xf>
    <xf numFmtId="0" fontId="4" fillId="54" borderId="32" applyNumberFormat="0" applyProtection="0">
      <alignment horizontal="left" vertical="top" indent="1"/>
    </xf>
    <xf numFmtId="0" fontId="4" fillId="54" borderId="32" applyNumberFormat="0" applyProtection="0">
      <alignment horizontal="left" vertical="top" indent="1"/>
    </xf>
    <xf numFmtId="0" fontId="4" fillId="49" borderId="32" applyNumberFormat="0" applyProtection="0">
      <alignment horizontal="left" vertical="center" indent="1"/>
    </xf>
    <xf numFmtId="0" fontId="4" fillId="49" borderId="32" applyNumberFormat="0" applyProtection="0">
      <alignment horizontal="left" vertical="center" indent="1"/>
    </xf>
    <xf numFmtId="0" fontId="4" fillId="49" borderId="32" applyNumberFormat="0" applyProtection="0">
      <alignment horizontal="left" vertical="center" indent="1"/>
    </xf>
    <xf numFmtId="0" fontId="4" fillId="49" borderId="32" applyNumberFormat="0" applyProtection="0">
      <alignment horizontal="left" vertical="top" indent="1"/>
    </xf>
    <xf numFmtId="0" fontId="4" fillId="49" borderId="32" applyNumberFormat="0" applyProtection="0">
      <alignment horizontal="left" vertical="top" indent="1"/>
    </xf>
    <xf numFmtId="0" fontId="4" fillId="49" borderId="32" applyNumberFormat="0" applyProtection="0">
      <alignment horizontal="left" vertical="top" indent="1"/>
    </xf>
    <xf numFmtId="0" fontId="4" fillId="55" borderId="32" applyNumberFormat="0" applyProtection="0">
      <alignment horizontal="left" vertical="center" indent="1"/>
    </xf>
    <xf numFmtId="0" fontId="4" fillId="55" borderId="32" applyNumberFormat="0" applyProtection="0">
      <alignment horizontal="left" vertical="center" indent="1"/>
    </xf>
    <xf numFmtId="0" fontId="4" fillId="55" borderId="32" applyNumberFormat="0" applyProtection="0">
      <alignment horizontal="left" vertical="center" indent="1"/>
    </xf>
    <xf numFmtId="0" fontId="4" fillId="55" borderId="32" applyNumberFormat="0" applyProtection="0">
      <alignment horizontal="left" vertical="top" indent="1"/>
    </xf>
    <xf numFmtId="0" fontId="4" fillId="55" borderId="32" applyNumberFormat="0" applyProtection="0">
      <alignment horizontal="left" vertical="top" indent="1"/>
    </xf>
    <xf numFmtId="0" fontId="4" fillId="55" borderId="32" applyNumberFormat="0" applyProtection="0">
      <alignment horizontal="left" vertical="top" indent="1"/>
    </xf>
    <xf numFmtId="0" fontId="4" fillId="53" borderId="32" applyNumberFormat="0" applyProtection="0">
      <alignment horizontal="left" vertical="center" indent="1"/>
    </xf>
    <xf numFmtId="0" fontId="4" fillId="53" borderId="32" applyNumberFormat="0" applyProtection="0">
      <alignment horizontal="left" vertical="center" indent="1"/>
    </xf>
    <xf numFmtId="0" fontId="4" fillId="53" borderId="32" applyNumberFormat="0" applyProtection="0">
      <alignment horizontal="left" vertical="center" indent="1"/>
    </xf>
    <xf numFmtId="0" fontId="4" fillId="53" borderId="32" applyNumberFormat="0" applyProtection="0">
      <alignment horizontal="left" vertical="top" indent="1"/>
    </xf>
    <xf numFmtId="0" fontId="4" fillId="53" borderId="32" applyNumberFormat="0" applyProtection="0">
      <alignment horizontal="left" vertical="top" indent="1"/>
    </xf>
    <xf numFmtId="0" fontId="4" fillId="53" borderId="32" applyNumberFormat="0" applyProtection="0">
      <alignment horizontal="left" vertical="top" indent="1"/>
    </xf>
    <xf numFmtId="0" fontId="4" fillId="56" borderId="10" applyNumberFormat="0">
      <protection locked="0"/>
    </xf>
    <xf numFmtId="4" fontId="49" fillId="57" borderId="32" applyNumberFormat="0" applyProtection="0">
      <alignment vertical="center"/>
    </xf>
    <xf numFmtId="4" fontId="49" fillId="57" borderId="32" applyNumberFormat="0" applyProtection="0">
      <alignment vertical="center"/>
    </xf>
    <xf numFmtId="4" fontId="49" fillId="57" borderId="32" applyNumberFormat="0" applyProtection="0">
      <alignment vertical="center"/>
    </xf>
    <xf numFmtId="4" fontId="51" fillId="57" borderId="32" applyNumberFormat="0" applyProtection="0">
      <alignment vertical="center"/>
    </xf>
    <xf numFmtId="4" fontId="51" fillId="57" borderId="32" applyNumberFormat="0" applyProtection="0">
      <alignment vertical="center"/>
    </xf>
    <xf numFmtId="4" fontId="51" fillId="57" borderId="32" applyNumberFormat="0" applyProtection="0">
      <alignment vertical="center"/>
    </xf>
    <xf numFmtId="4" fontId="49" fillId="57" borderId="32" applyNumberFormat="0" applyProtection="0">
      <alignment horizontal="left" vertical="center" indent="1"/>
    </xf>
    <xf numFmtId="4" fontId="49" fillId="57" borderId="32" applyNumberFormat="0" applyProtection="0">
      <alignment horizontal="left" vertical="center" indent="1"/>
    </xf>
    <xf numFmtId="4" fontId="49" fillId="57" borderId="32" applyNumberFormat="0" applyProtection="0">
      <alignment horizontal="left" vertical="center" indent="1"/>
    </xf>
    <xf numFmtId="0" fontId="49" fillId="57" borderId="32" applyNumberFormat="0" applyProtection="0">
      <alignment horizontal="left" vertical="top" indent="1"/>
    </xf>
    <xf numFmtId="0" fontId="49" fillId="57" borderId="32" applyNumberFormat="0" applyProtection="0">
      <alignment horizontal="left" vertical="top" indent="1"/>
    </xf>
    <xf numFmtId="0" fontId="49" fillId="57" borderId="32" applyNumberFormat="0" applyProtection="0">
      <alignment horizontal="left" vertical="top" indent="1"/>
    </xf>
    <xf numFmtId="4" fontId="49" fillId="53" borderId="32" applyNumberFormat="0" applyProtection="0">
      <alignment horizontal="right" vertical="center"/>
    </xf>
    <xf numFmtId="4" fontId="49" fillId="53" borderId="32" applyNumberFormat="0" applyProtection="0">
      <alignment horizontal="right" vertical="center"/>
    </xf>
    <xf numFmtId="4" fontId="49" fillId="53" borderId="32" applyNumberFormat="0" applyProtection="0">
      <alignment horizontal="right" vertical="center"/>
    </xf>
    <xf numFmtId="4" fontId="51" fillId="53" borderId="32" applyNumberFormat="0" applyProtection="0">
      <alignment horizontal="right" vertical="center"/>
    </xf>
    <xf numFmtId="4" fontId="51" fillId="53" borderId="32" applyNumberFormat="0" applyProtection="0">
      <alignment horizontal="right" vertical="center"/>
    </xf>
    <xf numFmtId="4" fontId="51" fillId="53" borderId="32" applyNumberFormat="0" applyProtection="0">
      <alignment horizontal="right" vertical="center"/>
    </xf>
    <xf numFmtId="4" fontId="49" fillId="49" borderId="32" applyNumberFormat="0" applyProtection="0">
      <alignment horizontal="left" vertical="center" indent="1"/>
    </xf>
    <xf numFmtId="4" fontId="49" fillId="49" borderId="32" applyNumberFormat="0" applyProtection="0">
      <alignment horizontal="left" vertical="center" indent="1"/>
    </xf>
    <xf numFmtId="4" fontId="49" fillId="49" borderId="32" applyNumberFormat="0" applyProtection="0">
      <alignment horizontal="left" vertical="center" indent="1"/>
    </xf>
    <xf numFmtId="0" fontId="49" fillId="49" borderId="32" applyNumberFormat="0" applyProtection="0">
      <alignment horizontal="left" vertical="top" indent="1"/>
    </xf>
    <xf numFmtId="0" fontId="49" fillId="49" borderId="32" applyNumberFormat="0" applyProtection="0">
      <alignment horizontal="left" vertical="top" indent="1"/>
    </xf>
    <xf numFmtId="0" fontId="49" fillId="49" borderId="32" applyNumberFormat="0" applyProtection="0">
      <alignment horizontal="left" vertical="top" indent="1"/>
    </xf>
    <xf numFmtId="4" fontId="52" fillId="58" borderId="0" applyNumberFormat="0" applyProtection="0">
      <alignment horizontal="left" vertical="center" indent="1"/>
    </xf>
    <xf numFmtId="4" fontId="53" fillId="53" borderId="32" applyNumberFormat="0" applyProtection="0">
      <alignment horizontal="right" vertical="center"/>
    </xf>
    <xf numFmtId="4" fontId="53" fillId="53" borderId="32" applyNumberFormat="0" applyProtection="0">
      <alignment horizontal="right" vertical="center"/>
    </xf>
    <xf numFmtId="4" fontId="53" fillId="53" borderId="32" applyNumberFormat="0" applyProtection="0">
      <alignment horizontal="right" vertical="center"/>
    </xf>
    <xf numFmtId="0" fontId="5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10">
      <alignment horizontal="centerContinuous"/>
    </xf>
    <xf numFmtId="0" fontId="26" fillId="0" borderId="25"/>
    <xf numFmtId="0" fontId="26" fillId="0" borderId="25"/>
    <xf numFmtId="0" fontId="26" fillId="0" borderId="25"/>
    <xf numFmtId="0" fontId="55" fillId="59" borderId="0"/>
    <xf numFmtId="0" fontId="56" fillId="0" borderId="0" applyNumberFormat="0" applyFill="0" applyBorder="0" applyAlignment="0" applyProtection="0"/>
    <xf numFmtId="0" fontId="28" fillId="0" borderId="34" applyNumberFormat="0" applyFill="0" applyAlignment="0" applyProtection="0"/>
    <xf numFmtId="0" fontId="28" fillId="0" borderId="34" applyNumberFormat="0" applyFill="0" applyAlignment="0" applyProtection="0"/>
    <xf numFmtId="0" fontId="28" fillId="0" borderId="34" applyNumberFormat="0" applyFill="0" applyAlignment="0" applyProtection="0"/>
    <xf numFmtId="0" fontId="40" fillId="0" borderId="26"/>
    <xf numFmtId="0" fontId="40" fillId="0" borderId="25"/>
    <xf numFmtId="0" fontId="40" fillId="0" borderId="25"/>
    <xf numFmtId="0" fontId="40" fillId="0" borderId="25"/>
    <xf numFmtId="0" fontId="57" fillId="0" borderId="0" applyNumberFormat="0" applyFill="0" applyBorder="0" applyAlignment="0" applyProtection="0"/>
    <xf numFmtId="0" fontId="13" fillId="0" borderId="36" applyBorder="0">
      <alignment horizontal="centerContinuous"/>
    </xf>
    <xf numFmtId="0" fontId="13" fillId="0" borderId="36" applyBorder="0">
      <alignment horizontal="centerContinuous"/>
    </xf>
    <xf numFmtId="0" fontId="13" fillId="0" borderId="36" applyBorder="0">
      <alignment horizontal="centerContinuous"/>
    </xf>
    <xf numFmtId="0" fontId="34" fillId="0" borderId="35">
      <alignment horizontal="left" vertical="center"/>
    </xf>
    <xf numFmtId="0" fontId="46" fillId="38" borderId="37" applyNumberFormat="0" applyAlignment="0" applyProtection="0"/>
    <xf numFmtId="0" fontId="46" fillId="38" borderId="37" applyNumberFormat="0" applyAlignment="0" applyProtection="0"/>
    <xf numFmtId="0" fontId="46" fillId="38" borderId="37" applyNumberFormat="0" applyAlignment="0" applyProtection="0"/>
    <xf numFmtId="0" fontId="4" fillId="56" borderId="38" applyNumberFormat="0">
      <protection locked="0"/>
    </xf>
    <xf numFmtId="0" fontId="22" fillId="0" borderId="38">
      <alignment horizontal="centerContinuous"/>
    </xf>
    <xf numFmtId="0" fontId="4" fillId="0" borderId="0"/>
    <xf numFmtId="165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61" fillId="0" borderId="0"/>
    <xf numFmtId="4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2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2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80" fontId="12" fillId="0" borderId="0" applyFont="0" applyFill="0" applyBorder="0" applyAlignment="0" applyProtection="0"/>
    <xf numFmtId="181" fontId="64" fillId="0" borderId="0" applyBorder="0" applyProtection="0"/>
    <xf numFmtId="0" fontId="4" fillId="0" borderId="0"/>
    <xf numFmtId="0" fontId="22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46">
    <xf numFmtId="0" fontId="0" fillId="0" borderId="0" xfId="0"/>
    <xf numFmtId="0" fontId="2" fillId="0" borderId="0" xfId="0" applyFont="1"/>
    <xf numFmtId="167" fontId="2" fillId="0" borderId="0" xfId="1" applyNumberFormat="1" applyFont="1"/>
    <xf numFmtId="0" fontId="3" fillId="0" borderId="1" xfId="0" applyFont="1" applyBorder="1"/>
    <xf numFmtId="167" fontId="3" fillId="0" borderId="2" xfId="1" applyNumberFormat="1" applyFont="1" applyBorder="1"/>
    <xf numFmtId="0" fontId="3" fillId="0" borderId="4" xfId="0" applyFont="1" applyBorder="1"/>
    <xf numFmtId="167" fontId="3" fillId="0" borderId="3" xfId="1" applyNumberFormat="1" applyFont="1" applyBorder="1"/>
    <xf numFmtId="167" fontId="3" fillId="0" borderId="5" xfId="1" applyNumberFormat="1" applyFont="1" applyBorder="1"/>
    <xf numFmtId="0" fontId="2" fillId="0" borderId="8" xfId="0" applyFont="1" applyBorder="1"/>
    <xf numFmtId="17" fontId="2" fillId="0" borderId="6" xfId="0" applyNumberFormat="1" applyFont="1" applyBorder="1"/>
    <xf numFmtId="167" fontId="2" fillId="0" borderId="0" xfId="0" applyNumberFormat="1" applyFont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167" fontId="2" fillId="0" borderId="0" xfId="0" applyNumberFormat="1" applyFont="1" applyFill="1"/>
    <xf numFmtId="167" fontId="2" fillId="0" borderId="0" xfId="0" applyNumberFormat="1" applyFont="1" applyFill="1" applyAlignment="1">
      <alignment horizontal="left"/>
    </xf>
    <xf numFmtId="17" fontId="2" fillId="0" borderId="0" xfId="0" applyNumberFormat="1" applyFont="1" applyFill="1"/>
    <xf numFmtId="0" fontId="3" fillId="0" borderId="1" xfId="0" applyFont="1" applyFill="1" applyBorder="1"/>
    <xf numFmtId="167" fontId="3" fillId="0" borderId="2" xfId="0" applyNumberFormat="1" applyFont="1" applyFill="1" applyBorder="1"/>
    <xf numFmtId="0" fontId="3" fillId="0" borderId="4" xfId="0" applyFont="1" applyFill="1" applyBorder="1"/>
    <xf numFmtId="167" fontId="2" fillId="0" borderId="3" xfId="0" applyNumberFormat="1" applyFont="1" applyFill="1" applyBorder="1"/>
    <xf numFmtId="167" fontId="3" fillId="0" borderId="5" xfId="0" applyNumberFormat="1" applyFont="1" applyFill="1" applyBorder="1"/>
    <xf numFmtId="17" fontId="2" fillId="0" borderId="6" xfId="0" applyNumberFormat="1" applyFont="1" applyFill="1" applyBorder="1"/>
    <xf numFmtId="0" fontId="3" fillId="0" borderId="8" xfId="0" applyFont="1" applyFill="1" applyBorder="1" applyAlignment="1">
      <alignment horizontal="left"/>
    </xf>
    <xf numFmtId="0" fontId="2" fillId="0" borderId="0" xfId="0" applyFont="1" applyFill="1" applyBorder="1"/>
    <xf numFmtId="167" fontId="3" fillId="0" borderId="3" xfId="0" applyNumberFormat="1" applyFont="1" applyFill="1" applyBorder="1"/>
    <xf numFmtId="0" fontId="3" fillId="2" borderId="7" xfId="0" applyFont="1" applyFill="1" applyBorder="1"/>
    <xf numFmtId="167" fontId="3" fillId="0" borderId="4" xfId="0" applyNumberFormat="1" applyFont="1" applyFill="1" applyBorder="1"/>
    <xf numFmtId="0" fontId="3" fillId="0" borderId="4" xfId="0" applyFont="1" applyBorder="1" applyAlignment="1">
      <alignment horizontal="center"/>
    </xf>
    <xf numFmtId="0" fontId="3" fillId="0" borderId="8" xfId="0" applyFont="1" applyBorder="1"/>
    <xf numFmtId="0" fontId="3" fillId="0" borderId="0" xfId="0" applyFont="1" applyBorder="1"/>
    <xf numFmtId="167" fontId="3" fillId="0" borderId="0" xfId="1" applyNumberFormat="1" applyFont="1" applyBorder="1"/>
    <xf numFmtId="17" fontId="2" fillId="0" borderId="0" xfId="0" applyNumberFormat="1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43" fontId="2" fillId="0" borderId="0" xfId="1" applyFont="1"/>
    <xf numFmtId="0" fontId="10" fillId="0" borderId="0" xfId="0" applyFont="1"/>
    <xf numFmtId="0" fontId="10" fillId="0" borderId="0" xfId="0" applyFont="1" applyFill="1"/>
    <xf numFmtId="0" fontId="7" fillId="0" borderId="0" xfId="0" applyFont="1"/>
    <xf numFmtId="167" fontId="2" fillId="2" borderId="0" xfId="1" applyNumberFormat="1" applyFont="1" applyFill="1" applyBorder="1"/>
    <xf numFmtId="0" fontId="0" fillId="0" borderId="0" xfId="0"/>
    <xf numFmtId="0" fontId="2" fillId="0" borderId="0" xfId="0" applyFont="1"/>
    <xf numFmtId="167" fontId="2" fillId="0" borderId="0" xfId="1" applyNumberFormat="1" applyFont="1"/>
    <xf numFmtId="167" fontId="2" fillId="0" borderId="0" xfId="0" applyNumberFormat="1" applyFont="1"/>
    <xf numFmtId="167" fontId="2" fillId="0" borderId="0" xfId="1" applyNumberFormat="1" applyFont="1" applyBorder="1"/>
    <xf numFmtId="167" fontId="10" fillId="0" borderId="0" xfId="1" applyNumberFormat="1" applyFont="1"/>
    <xf numFmtId="167" fontId="10" fillId="0" borderId="0" xfId="0" applyNumberFormat="1" applyFont="1"/>
    <xf numFmtId="167" fontId="9" fillId="0" borderId="0" xfId="1" applyNumberFormat="1" applyFont="1" applyBorder="1"/>
    <xf numFmtId="0" fontId="9" fillId="0" borderId="0" xfId="0" applyFont="1"/>
    <xf numFmtId="0" fontId="6" fillId="0" borderId="0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2" xfId="0" applyFont="1" applyBorder="1" applyAlignment="1">
      <alignment vertical="center"/>
    </xf>
    <xf numFmtId="0" fontId="5" fillId="0" borderId="40" xfId="0" applyFont="1" applyBorder="1" applyAlignment="1">
      <alignment vertical="center"/>
    </xf>
    <xf numFmtId="167" fontId="6" fillId="0" borderId="3" xfId="1" applyNumberFormat="1" applyFont="1" applyBorder="1" applyAlignment="1">
      <alignment horizontal="right" vertical="center"/>
    </xf>
    <xf numFmtId="43" fontId="6" fillId="0" borderId="0" xfId="1" applyFont="1" applyBorder="1" applyAlignment="1">
      <alignment horizontal="right" vertical="center"/>
    </xf>
    <xf numFmtId="43" fontId="6" fillId="0" borderId="3" xfId="1" applyFont="1" applyBorder="1" applyAlignment="1">
      <alignment horizontal="right" vertical="center"/>
    </xf>
    <xf numFmtId="43" fontId="6" fillId="0" borderId="6" xfId="1" applyFont="1" applyBorder="1" applyAlignment="1">
      <alignment horizontal="right" vertical="center"/>
    </xf>
    <xf numFmtId="167" fontId="6" fillId="0" borderId="0" xfId="1" applyNumberFormat="1" applyFont="1" applyBorder="1" applyAlignment="1">
      <alignment horizontal="right" vertical="center"/>
    </xf>
    <xf numFmtId="43" fontId="2" fillId="0" borderId="0" xfId="1" applyFont="1" applyBorder="1" applyAlignment="1">
      <alignment horizontal="right" vertical="top"/>
    </xf>
    <xf numFmtId="0" fontId="5" fillId="0" borderId="43" xfId="0" applyFont="1" applyBorder="1" applyAlignment="1">
      <alignment vertical="center"/>
    </xf>
    <xf numFmtId="167" fontId="5" fillId="0" borderId="44" xfId="1" applyNumberFormat="1" applyFont="1" applyBorder="1" applyAlignment="1">
      <alignment horizontal="right" vertical="center"/>
    </xf>
    <xf numFmtId="43" fontId="5" fillId="0" borderId="43" xfId="1" applyFont="1" applyBorder="1" applyAlignment="1">
      <alignment horizontal="right" vertical="center"/>
    </xf>
    <xf numFmtId="167" fontId="5" fillId="0" borderId="42" xfId="1" applyNumberFormat="1" applyFont="1" applyBorder="1" applyAlignment="1">
      <alignment vertical="center"/>
    </xf>
    <xf numFmtId="167" fontId="6" fillId="0" borderId="3" xfId="1" applyNumberFormat="1" applyFont="1" applyBorder="1" applyAlignment="1">
      <alignment horizontal="right" vertical="center" wrapText="1"/>
    </xf>
    <xf numFmtId="43" fontId="6" fillId="0" borderId="0" xfId="1" applyFont="1" applyBorder="1" applyAlignment="1">
      <alignment horizontal="right" vertical="center" wrapText="1"/>
    </xf>
    <xf numFmtId="167" fontId="6" fillId="0" borderId="3" xfId="1" applyNumberFormat="1" applyFont="1" applyBorder="1" applyAlignment="1">
      <alignment horizontal="center" vertical="center"/>
    </xf>
    <xf numFmtId="43" fontId="6" fillId="0" borderId="0" xfId="1" applyFont="1" applyBorder="1" applyAlignment="1">
      <alignment horizontal="center" vertical="center"/>
    </xf>
    <xf numFmtId="43" fontId="6" fillId="0" borderId="6" xfId="1" applyFont="1" applyBorder="1" applyAlignment="1">
      <alignment horizontal="center" vertical="center"/>
    </xf>
    <xf numFmtId="167" fontId="6" fillId="0" borderId="0" xfId="1" applyNumberFormat="1" applyFont="1" applyBorder="1" applyAlignment="1">
      <alignment horizontal="center" vertical="center"/>
    </xf>
    <xf numFmtId="167" fontId="6" fillId="0" borderId="3" xfId="1" applyNumberFormat="1" applyFont="1" applyBorder="1" applyAlignment="1">
      <alignment horizontal="center" vertical="center" wrapText="1"/>
    </xf>
    <xf numFmtId="43" fontId="6" fillId="0" borderId="0" xfId="1" applyFont="1" applyBorder="1" applyAlignment="1">
      <alignment horizontal="center" vertical="center" wrapText="1"/>
    </xf>
    <xf numFmtId="0" fontId="5" fillId="0" borderId="42" xfId="0" applyFont="1" applyBorder="1" applyAlignment="1">
      <alignment vertical="center" wrapText="1"/>
    </xf>
    <xf numFmtId="167" fontId="5" fillId="0" borderId="40" xfId="1" applyNumberFormat="1" applyFont="1" applyBorder="1" applyAlignment="1">
      <alignment horizontal="center" vertical="center"/>
    </xf>
    <xf numFmtId="167" fontId="0" fillId="0" borderId="0" xfId="1" applyNumberFormat="1" applyFont="1"/>
    <xf numFmtId="167" fontId="3" fillId="0" borderId="0" xfId="1" applyNumberFormat="1" applyFont="1"/>
    <xf numFmtId="0" fontId="0" fillId="0" borderId="0" xfId="0" applyFont="1"/>
    <xf numFmtId="0" fontId="3" fillId="2" borderId="0" xfId="0" applyFont="1" applyFill="1"/>
    <xf numFmtId="43" fontId="0" fillId="0" borderId="0" xfId="1" applyFont="1"/>
    <xf numFmtId="167" fontId="5" fillId="0" borderId="4" xfId="1" applyNumberFormat="1" applyFont="1" applyBorder="1" applyAlignment="1">
      <alignment horizontal="center" vertical="center" wrapText="1"/>
    </xf>
    <xf numFmtId="167" fontId="5" fillId="0" borderId="40" xfId="1" applyNumberFormat="1" applyFont="1" applyBorder="1" applyAlignment="1">
      <alignment vertical="center"/>
    </xf>
    <xf numFmtId="167" fontId="5" fillId="0" borderId="45" xfId="1" applyNumberFormat="1" applyFont="1" applyBorder="1" applyAlignment="1">
      <alignment horizontal="right" vertical="center"/>
    </xf>
    <xf numFmtId="43" fontId="5" fillId="0" borderId="45" xfId="1" applyFont="1" applyBorder="1" applyAlignment="1">
      <alignment horizontal="right" vertical="center"/>
    </xf>
    <xf numFmtId="43" fontId="5" fillId="0" borderId="7" xfId="1" applyFont="1" applyBorder="1" applyAlignment="1">
      <alignment horizontal="center" vertical="center" wrapText="1"/>
    </xf>
    <xf numFmtId="43" fontId="5" fillId="0" borderId="41" xfId="1" applyFont="1" applyBorder="1" applyAlignment="1">
      <alignment vertical="center"/>
    </xf>
    <xf numFmtId="43" fontId="5" fillId="0" borderId="42" xfId="1" applyFont="1" applyBorder="1" applyAlignment="1">
      <alignment horizontal="center" vertical="center"/>
    </xf>
    <xf numFmtId="43" fontId="5" fillId="0" borderId="1" xfId="1" applyFont="1" applyBorder="1" applyAlignment="1">
      <alignment horizontal="center" vertical="center" wrapText="1"/>
    </xf>
    <xf numFmtId="43" fontId="5" fillId="0" borderId="42" xfId="1" applyFont="1" applyBorder="1" applyAlignment="1">
      <alignment vertical="center"/>
    </xf>
    <xf numFmtId="167" fontId="2" fillId="0" borderId="3" xfId="1" applyNumberFormat="1" applyFont="1" applyBorder="1"/>
    <xf numFmtId="43" fontId="2" fillId="0" borderId="0" xfId="0" applyNumberFormat="1" applyFont="1"/>
    <xf numFmtId="0" fontId="3" fillId="0" borderId="1" xfId="0" applyFont="1" applyBorder="1" applyAlignment="1">
      <alignment horizontal="center"/>
    </xf>
    <xf numFmtId="167" fontId="3" fillId="0" borderId="51" xfId="1" applyNumberFormat="1" applyFont="1" applyBorder="1"/>
    <xf numFmtId="170" fontId="2" fillId="0" borderId="0" xfId="1238" applyNumberFormat="1" applyFont="1"/>
    <xf numFmtId="0" fontId="3" fillId="0" borderId="51" xfId="0" applyFont="1" applyBorder="1"/>
    <xf numFmtId="0" fontId="59" fillId="0" borderId="0" xfId="1240" applyFont="1" applyFill="1" applyBorder="1"/>
    <xf numFmtId="0" fontId="59" fillId="0" borderId="6" xfId="1240" applyFont="1" applyBorder="1"/>
    <xf numFmtId="0" fontId="60" fillId="0" borderId="0" xfId="1240" applyFont="1" applyFill="1" applyBorder="1" applyAlignment="1">
      <alignment vertical="top" wrapText="1"/>
    </xf>
    <xf numFmtId="0" fontId="60" fillId="0" borderId="0" xfId="1240" applyFont="1" applyFill="1" applyBorder="1"/>
    <xf numFmtId="167" fontId="60" fillId="0" borderId="4" xfId="889" applyNumberFormat="1" applyFont="1" applyBorder="1" applyAlignment="1">
      <alignment horizontal="right"/>
    </xf>
    <xf numFmtId="0" fontId="60" fillId="0" borderId="7" xfId="1240" applyFont="1" applyBorder="1" applyAlignment="1">
      <alignment horizontal="right"/>
    </xf>
    <xf numFmtId="167" fontId="60" fillId="0" borderId="1" xfId="889" applyNumberFormat="1" applyFont="1" applyBorder="1" applyAlignment="1">
      <alignment horizontal="right"/>
    </xf>
    <xf numFmtId="0" fontId="60" fillId="0" borderId="1" xfId="1240" applyFont="1" applyBorder="1" applyAlignment="1">
      <alignment horizontal="right"/>
    </xf>
    <xf numFmtId="167" fontId="60" fillId="61" borderId="4" xfId="889" applyNumberFormat="1" applyFont="1" applyFill="1" applyBorder="1" applyAlignment="1">
      <alignment horizontal="right"/>
    </xf>
    <xf numFmtId="0" fontId="60" fillId="61" borderId="7" xfId="1240" applyFont="1" applyFill="1" applyBorder="1" applyAlignment="1">
      <alignment horizontal="right"/>
    </xf>
    <xf numFmtId="167" fontId="60" fillId="2" borderId="1" xfId="889" applyNumberFormat="1" applyFont="1" applyFill="1" applyBorder="1" applyAlignment="1">
      <alignment horizontal="right"/>
    </xf>
    <xf numFmtId="0" fontId="60" fillId="2" borderId="1" xfId="1240" applyFont="1" applyFill="1" applyBorder="1" applyAlignment="1">
      <alignment horizontal="right"/>
    </xf>
    <xf numFmtId="0" fontId="60" fillId="0" borderId="7" xfId="1240" applyFont="1" applyBorder="1" applyAlignment="1">
      <alignment horizontal="center"/>
    </xf>
    <xf numFmtId="167" fontId="60" fillId="0" borderId="42" xfId="889" applyNumberFormat="1" applyFont="1" applyBorder="1" applyAlignment="1">
      <alignment horizontal="right"/>
    </xf>
    <xf numFmtId="0" fontId="60" fillId="0" borderId="42" xfId="1240" applyFont="1" applyBorder="1" applyAlignment="1">
      <alignment horizontal="right"/>
    </xf>
    <xf numFmtId="0" fontId="60" fillId="0" borderId="42" xfId="1240" applyFont="1" applyFill="1" applyBorder="1" applyAlignment="1">
      <alignment horizontal="center"/>
    </xf>
    <xf numFmtId="17" fontId="59" fillId="0" borderId="0" xfId="1240" applyNumberFormat="1" applyFont="1" applyFill="1" applyBorder="1"/>
    <xf numFmtId="167" fontId="59" fillId="0" borderId="3" xfId="889" applyNumberFormat="1" applyFont="1" applyFill="1" applyBorder="1"/>
    <xf numFmtId="167" fontId="59" fillId="0" borderId="6" xfId="889" applyNumberFormat="1" applyFont="1" applyFill="1" applyBorder="1" applyAlignment="1">
      <alignment horizontal="right"/>
    </xf>
    <xf numFmtId="167" fontId="59" fillId="0" borderId="0" xfId="889" applyNumberFormat="1" applyFont="1" applyFill="1" applyBorder="1"/>
    <xf numFmtId="167" fontId="59" fillId="0" borderId="0" xfId="889" applyNumberFormat="1" applyFont="1" applyFill="1" applyBorder="1" applyAlignment="1">
      <alignment horizontal="right"/>
    </xf>
    <xf numFmtId="167" fontId="59" fillId="61" borderId="3" xfId="889" applyNumberFormat="1" applyFont="1" applyFill="1" applyBorder="1"/>
    <xf numFmtId="167" fontId="59" fillId="61" borderId="6" xfId="889" applyNumberFormat="1" applyFont="1" applyFill="1" applyBorder="1" applyAlignment="1">
      <alignment horizontal="right"/>
    </xf>
    <xf numFmtId="167" fontId="60" fillId="2" borderId="0" xfId="889" applyNumberFormat="1" applyFont="1" applyFill="1" applyBorder="1"/>
    <xf numFmtId="167" fontId="60" fillId="2" borderId="0" xfId="889" applyNumberFormat="1" applyFont="1" applyFill="1" applyBorder="1" applyAlignment="1">
      <alignment horizontal="right"/>
    </xf>
    <xf numFmtId="176" fontId="59" fillId="0" borderId="6" xfId="1240" applyNumberFormat="1" applyFont="1" applyBorder="1"/>
    <xf numFmtId="167" fontId="59" fillId="0" borderId="0" xfId="1240" applyNumberFormat="1" applyFont="1" applyFill="1" applyBorder="1"/>
    <xf numFmtId="167" fontId="59" fillId="0" borderId="3" xfId="1240" applyNumberFormat="1" applyFont="1" applyFill="1" applyBorder="1"/>
    <xf numFmtId="167" fontId="59" fillId="0" borderId="6" xfId="1240" applyNumberFormat="1" applyFont="1" applyFill="1" applyBorder="1"/>
    <xf numFmtId="9" fontId="63" fillId="0" borderId="0" xfId="1240" applyNumberFormat="1" applyFont="1" applyBorder="1" applyAlignment="1">
      <alignment horizontal="center" vertical="center"/>
    </xf>
    <xf numFmtId="9" fontId="59" fillId="0" borderId="0" xfId="1060" applyFont="1" applyFill="1" applyBorder="1"/>
    <xf numFmtId="176" fontId="59" fillId="0" borderId="0" xfId="1240" applyNumberFormat="1" applyFont="1"/>
    <xf numFmtId="0" fontId="59" fillId="0" borderId="0" xfId="1240" applyFont="1"/>
    <xf numFmtId="167" fontId="3" fillId="0" borderId="52" xfId="1" applyNumberFormat="1" applyFont="1" applyBorder="1"/>
    <xf numFmtId="0" fontId="3" fillId="0" borderId="53" xfId="0" applyFont="1" applyBorder="1"/>
    <xf numFmtId="167" fontId="2" fillId="0" borderId="51" xfId="1" applyNumberFormat="1" applyFont="1" applyBorder="1"/>
    <xf numFmtId="167" fontId="2" fillId="0" borderId="52" xfId="1" applyNumberFormat="1" applyFont="1" applyBorder="1"/>
    <xf numFmtId="167" fontId="3" fillId="0" borderId="51" xfId="0" applyNumberFormat="1" applyFont="1" applyBorder="1"/>
    <xf numFmtId="43" fontId="10" fillId="0" borderId="0" xfId="1" applyFont="1"/>
    <xf numFmtId="166" fontId="2" fillId="0" borderId="0" xfId="0" applyNumberFormat="1" applyFont="1"/>
    <xf numFmtId="168" fontId="10" fillId="0" borderId="0" xfId="0" applyNumberFormat="1" applyFont="1"/>
    <xf numFmtId="0" fontId="10" fillId="0" borderId="0" xfId="0" applyFont="1" applyBorder="1"/>
    <xf numFmtId="0" fontId="10" fillId="0" borderId="0" xfId="0" applyFont="1" applyFill="1" applyBorder="1"/>
    <xf numFmtId="43" fontId="10" fillId="0" borderId="0" xfId="1" applyFont="1" applyBorder="1"/>
    <xf numFmtId="167" fontId="10" fillId="0" borderId="0" xfId="1" applyNumberFormat="1" applyFont="1" applyBorder="1"/>
    <xf numFmtId="0" fontId="3" fillId="0" borderId="1" xfId="0" applyFont="1" applyBorder="1" applyAlignment="1">
      <alignment horizontal="center"/>
    </xf>
    <xf numFmtId="17" fontId="3" fillId="0" borderId="7" xfId="0" applyNumberFormat="1" applyFont="1" applyBorder="1"/>
    <xf numFmtId="0" fontId="3" fillId="0" borderId="53" xfId="0" applyFont="1" applyBorder="1" applyAlignment="1">
      <alignment horizontal="right"/>
    </xf>
    <xf numFmtId="167" fontId="9" fillId="0" borderId="0" xfId="1" applyNumberFormat="1" applyFont="1"/>
    <xf numFmtId="167" fontId="9" fillId="0" borderId="0" xfId="0" applyNumberFormat="1" applyFont="1"/>
    <xf numFmtId="0" fontId="65" fillId="0" borderId="0" xfId="0" applyFont="1"/>
    <xf numFmtId="0" fontId="9" fillId="0" borderId="0" xfId="0" applyFont="1" applyFill="1"/>
    <xf numFmtId="0" fontId="10" fillId="0" borderId="38" xfId="0" applyFont="1" applyBorder="1"/>
    <xf numFmtId="167" fontId="10" fillId="0" borderId="38" xfId="1" applyNumberFormat="1" applyFont="1" applyBorder="1"/>
    <xf numFmtId="167" fontId="10" fillId="0" borderId="38" xfId="1" applyNumberFormat="1" applyFont="1" applyFill="1" applyBorder="1"/>
    <xf numFmtId="0" fontId="65" fillId="0" borderId="0" xfId="0" applyFont="1" applyFill="1" applyBorder="1"/>
    <xf numFmtId="0" fontId="3" fillId="0" borderId="1" xfId="0" applyFont="1" applyBorder="1" applyAlignment="1">
      <alignment horizontal="center"/>
    </xf>
    <xf numFmtId="17" fontId="2" fillId="0" borderId="6" xfId="0" quotePrefix="1" applyNumberFormat="1" applyFont="1" applyBorder="1" applyAlignment="1">
      <alignment horizontal="right"/>
    </xf>
    <xf numFmtId="0" fontId="10" fillId="0" borderId="0" xfId="0" applyFont="1" applyAlignment="1">
      <alignment wrapText="1"/>
    </xf>
    <xf numFmtId="0" fontId="9" fillId="0" borderId="38" xfId="0" applyFont="1" applyBorder="1"/>
    <xf numFmtId="166" fontId="10" fillId="0" borderId="0" xfId="0" applyNumberFormat="1" applyFont="1"/>
    <xf numFmtId="0" fontId="10" fillId="0" borderId="38" xfId="0" applyFont="1" applyFill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7" fontId="58" fillId="60" borderId="0" xfId="0" applyNumberFormat="1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38" xfId="0" applyFont="1" applyFill="1" applyBorder="1"/>
    <xf numFmtId="0" fontId="9" fillId="0" borderId="38" xfId="0" applyFont="1" applyFill="1" applyBorder="1" applyAlignment="1">
      <alignment horizontal="center"/>
    </xf>
    <xf numFmtId="168" fontId="9" fillId="0" borderId="38" xfId="890" applyNumberFormat="1" applyFont="1" applyFill="1" applyBorder="1" applyAlignment="1">
      <alignment horizontal="center"/>
    </xf>
    <xf numFmtId="0" fontId="9" fillId="0" borderId="38" xfId="0" applyFont="1" applyFill="1" applyBorder="1" applyAlignment="1">
      <alignment horizontal="center" wrapText="1"/>
    </xf>
    <xf numFmtId="0" fontId="10" fillId="0" borderId="38" xfId="0" applyFont="1" applyFill="1" applyBorder="1" applyAlignment="1">
      <alignment wrapText="1"/>
    </xf>
    <xf numFmtId="168" fontId="10" fillId="0" borderId="38" xfId="890" applyNumberFormat="1" applyFont="1" applyBorder="1"/>
    <xf numFmtId="0" fontId="66" fillId="0" borderId="38" xfId="0" applyFont="1" applyBorder="1" applyAlignment="1">
      <alignment wrapText="1"/>
    </xf>
    <xf numFmtId="0" fontId="9" fillId="0" borderId="38" xfId="0" applyFont="1" applyFill="1" applyBorder="1" applyAlignment="1"/>
    <xf numFmtId="0" fontId="10" fillId="0" borderId="38" xfId="0" applyFont="1" applyFill="1" applyBorder="1" applyAlignment="1"/>
    <xf numFmtId="0" fontId="9" fillId="0" borderId="38" xfId="0" applyFont="1" applyBorder="1" applyAlignment="1">
      <alignment horizontal="center" wrapText="1"/>
    </xf>
    <xf numFmtId="168" fontId="9" fillId="0" borderId="38" xfId="890" applyNumberFormat="1" applyFont="1" applyBorder="1"/>
    <xf numFmtId="0" fontId="65" fillId="0" borderId="16" xfId="0" applyFont="1" applyFill="1" applyBorder="1"/>
    <xf numFmtId="168" fontId="65" fillId="0" borderId="0" xfId="0" applyNumberFormat="1" applyFont="1"/>
    <xf numFmtId="168" fontId="9" fillId="0" borderId="0" xfId="890" applyNumberFormat="1" applyFont="1" applyBorder="1"/>
    <xf numFmtId="183" fontId="10" fillId="0" borderId="0" xfId="890" applyNumberFormat="1" applyFont="1"/>
    <xf numFmtId="0" fontId="10" fillId="60" borderId="0" xfId="0" applyFont="1" applyFill="1"/>
    <xf numFmtId="0" fontId="9" fillId="2" borderId="12" xfId="0" applyFont="1" applyFill="1" applyBorder="1"/>
    <xf numFmtId="0" fontId="9" fillId="60" borderId="0" xfId="0" applyFont="1" applyFill="1" applyBorder="1" applyAlignment="1">
      <alignment horizontal="center"/>
    </xf>
    <xf numFmtId="0" fontId="9" fillId="0" borderId="39" xfId="0" applyFont="1" applyBorder="1" applyAlignment="1"/>
    <xf numFmtId="0" fontId="9" fillId="0" borderId="21" xfId="0" applyFont="1" applyBorder="1" applyAlignment="1"/>
    <xf numFmtId="0" fontId="9" fillId="0" borderId="13" xfId="0" applyFont="1" applyBorder="1" applyAlignment="1"/>
    <xf numFmtId="0" fontId="9" fillId="0" borderId="46" xfId="0" applyFont="1" applyBorder="1"/>
    <xf numFmtId="0" fontId="9" fillId="0" borderId="46" xfId="0" applyFont="1" applyBorder="1" applyAlignment="1">
      <alignment horizontal="center"/>
    </xf>
    <xf numFmtId="0" fontId="9" fillId="0" borderId="20" xfId="0" applyFont="1" applyBorder="1"/>
    <xf numFmtId="0" fontId="9" fillId="0" borderId="3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0" fillId="0" borderId="14" xfId="0" applyFont="1" applyBorder="1"/>
    <xf numFmtId="167" fontId="10" fillId="0" borderId="0" xfId="1" applyNumberFormat="1" applyFont="1" applyBorder="1" applyAlignment="1">
      <alignment horizontal="center"/>
    </xf>
    <xf numFmtId="43" fontId="10" fillId="0" borderId="0" xfId="1" applyFont="1" applyBorder="1" applyAlignment="1">
      <alignment horizontal="center"/>
    </xf>
    <xf numFmtId="182" fontId="10" fillId="0" borderId="0" xfId="1" applyNumberFormat="1" applyFont="1" applyBorder="1" applyAlignment="1">
      <alignment horizontal="center"/>
    </xf>
    <xf numFmtId="167" fontId="10" fillId="0" borderId="14" xfId="1" applyNumberFormat="1" applyFont="1" applyBorder="1"/>
    <xf numFmtId="167" fontId="9" fillId="0" borderId="14" xfId="1" applyNumberFormat="1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19" xfId="0" applyFont="1" applyBorder="1"/>
    <xf numFmtId="43" fontId="10" fillId="0" borderId="14" xfId="1" applyFont="1" applyBorder="1"/>
    <xf numFmtId="167" fontId="10" fillId="60" borderId="0" xfId="1" applyNumberFormat="1" applyFont="1" applyFill="1" applyBorder="1"/>
    <xf numFmtId="167" fontId="10" fillId="0" borderId="19" xfId="1" applyNumberFormat="1" applyFont="1" applyBorder="1"/>
    <xf numFmtId="167" fontId="9" fillId="0" borderId="14" xfId="1" applyNumberFormat="1" applyFont="1" applyBorder="1"/>
    <xf numFmtId="0" fontId="10" fillId="0" borderId="19" xfId="0" applyFont="1" applyBorder="1"/>
    <xf numFmtId="0" fontId="9" fillId="0" borderId="12" xfId="0" applyFont="1" applyBorder="1"/>
    <xf numFmtId="167" fontId="10" fillId="0" borderId="21" xfId="1" applyNumberFormat="1" applyFont="1" applyBorder="1"/>
    <xf numFmtId="167" fontId="9" fillId="0" borderId="21" xfId="1" applyNumberFormat="1" applyFont="1" applyBorder="1"/>
    <xf numFmtId="167" fontId="9" fillId="0" borderId="12" xfId="1" applyNumberFormat="1" applyFont="1" applyBorder="1"/>
    <xf numFmtId="167" fontId="9" fillId="60" borderId="0" xfId="1" applyNumberFormat="1" applyFont="1" applyFill="1" applyBorder="1"/>
    <xf numFmtId="167" fontId="9" fillId="0" borderId="39" xfId="1" applyNumberFormat="1" applyFont="1" applyBorder="1"/>
    <xf numFmtId="0" fontId="9" fillId="0" borderId="39" xfId="0" applyFont="1" applyBorder="1"/>
    <xf numFmtId="1" fontId="9" fillId="0" borderId="0" xfId="0" applyNumberFormat="1" applyFont="1"/>
    <xf numFmtId="43" fontId="9" fillId="0" borderId="21" xfId="1" applyFont="1" applyBorder="1"/>
    <xf numFmtId="43" fontId="9" fillId="0" borderId="12" xfId="1" applyFont="1" applyBorder="1"/>
    <xf numFmtId="0" fontId="9" fillId="0" borderId="18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9" fillId="0" borderId="47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7" fontId="10" fillId="0" borderId="0" xfId="1" applyNumberFormat="1" applyFont="1" applyFill="1" applyBorder="1"/>
    <xf numFmtId="43" fontId="10" fillId="0" borderId="0" xfId="1" applyFont="1" applyFill="1" applyBorder="1"/>
    <xf numFmtId="43" fontId="10" fillId="60" borderId="0" xfId="1" applyFont="1" applyFill="1" applyBorder="1"/>
    <xf numFmtId="177" fontId="10" fillId="0" borderId="0" xfId="1" applyNumberFormat="1" applyFont="1"/>
    <xf numFmtId="1" fontId="10" fillId="0" borderId="0" xfId="0" applyNumberFormat="1" applyFont="1"/>
    <xf numFmtId="0" fontId="9" fillId="0" borderId="50" xfId="0" applyFont="1" applyBorder="1" applyAlignment="1">
      <alignment horizontal="center"/>
    </xf>
    <xf numFmtId="0" fontId="9" fillId="0" borderId="14" xfId="0" applyFont="1" applyBorder="1"/>
    <xf numFmtId="167" fontId="10" fillId="60" borderId="14" xfId="1" applyNumberFormat="1" applyFont="1" applyFill="1" applyBorder="1"/>
    <xf numFmtId="167" fontId="65" fillId="0" borderId="0" xfId="1" applyNumberFormat="1" applyFont="1"/>
    <xf numFmtId="0" fontId="9" fillId="0" borderId="0" xfId="0" applyFont="1" applyFill="1" applyBorder="1"/>
    <xf numFmtId="0" fontId="9" fillId="0" borderId="38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1261" applyFont="1" applyBorder="1"/>
    <xf numFmtId="0" fontId="9" fillId="0" borderId="0" xfId="1261" applyFont="1" applyBorder="1"/>
    <xf numFmtId="167" fontId="10" fillId="0" borderId="0" xfId="1262" applyNumberFormat="1" applyFont="1" applyBorder="1"/>
    <xf numFmtId="43" fontId="10" fillId="0" borderId="0" xfId="1262" applyFont="1" applyBorder="1"/>
    <xf numFmtId="0" fontId="9" fillId="0" borderId="51" xfId="1261" applyFont="1" applyBorder="1"/>
    <xf numFmtId="0" fontId="9" fillId="0" borderId="1" xfId="1261" applyFont="1" applyBorder="1"/>
    <xf numFmtId="0" fontId="9" fillId="0" borderId="1" xfId="1261" applyFont="1" applyBorder="1" applyAlignment="1">
      <alignment horizontal="right"/>
    </xf>
    <xf numFmtId="43" fontId="10" fillId="0" borderId="0" xfId="1262" applyFont="1" applyBorder="1" applyAlignment="1">
      <alignment horizontal="right"/>
    </xf>
    <xf numFmtId="167" fontId="9" fillId="0" borderId="0" xfId="1262" applyNumberFormat="1" applyFont="1" applyBorder="1"/>
    <xf numFmtId="0" fontId="10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10" fillId="0" borderId="51" xfId="0" applyFont="1" applyBorder="1" applyAlignment="1">
      <alignment horizontal="left" vertical="center"/>
    </xf>
    <xf numFmtId="0" fontId="68" fillId="0" borderId="0" xfId="0" applyFont="1" applyBorder="1" applyAlignment="1">
      <alignment horizontal="left" vertical="center"/>
    </xf>
    <xf numFmtId="0" fontId="67" fillId="0" borderId="0" xfId="0" applyFont="1" applyBorder="1" applyAlignment="1">
      <alignment horizontal="left" vertical="center"/>
    </xf>
    <xf numFmtId="43" fontId="10" fillId="0" borderId="0" xfId="0" applyNumberFormat="1" applyFont="1"/>
    <xf numFmtId="43" fontId="9" fillId="0" borderId="0" xfId="0" applyNumberFormat="1" applyFont="1"/>
    <xf numFmtId="9" fontId="10" fillId="0" borderId="0" xfId="1260" applyFont="1"/>
    <xf numFmtId="43" fontId="9" fillId="0" borderId="0" xfId="1" applyFont="1"/>
    <xf numFmtId="0" fontId="9" fillId="0" borderId="0" xfId="0" applyFont="1" applyAlignment="1">
      <alignment horizontal="right"/>
    </xf>
    <xf numFmtId="0" fontId="9" fillId="0" borderId="51" xfId="0" applyFont="1" applyBorder="1"/>
    <xf numFmtId="167" fontId="9" fillId="0" borderId="51" xfId="1" applyNumberFormat="1" applyFont="1" applyBorder="1"/>
    <xf numFmtId="167" fontId="10" fillId="0" borderId="3" xfId="1" applyNumberFormat="1" applyFont="1" applyBorder="1"/>
    <xf numFmtId="167" fontId="9" fillId="0" borderId="52" xfId="1" applyNumberFormat="1" applyFont="1" applyBorder="1"/>
    <xf numFmtId="167" fontId="9" fillId="0" borderId="3" xfId="1" applyNumberFormat="1" applyFont="1" applyBorder="1"/>
    <xf numFmtId="0" fontId="9" fillId="0" borderId="1" xfId="0" applyFont="1" applyBorder="1"/>
    <xf numFmtId="0" fontId="9" fillId="0" borderId="40" xfId="0" applyFont="1" applyBorder="1"/>
    <xf numFmtId="0" fontId="9" fillId="0" borderId="42" xfId="0" applyFont="1" applyBorder="1"/>
    <xf numFmtId="43" fontId="68" fillId="0" borderId="0" xfId="1" applyFont="1" applyBorder="1" applyAlignment="1">
      <alignment horizontal="center" vertical="center"/>
    </xf>
    <xf numFmtId="167" fontId="68" fillId="0" borderId="0" xfId="1" applyNumberFormat="1" applyFont="1" applyBorder="1" applyAlignment="1">
      <alignment horizontal="center" vertical="center"/>
    </xf>
    <xf numFmtId="43" fontId="9" fillId="0" borderId="42" xfId="1" applyFont="1" applyBorder="1"/>
    <xf numFmtId="43" fontId="9" fillId="0" borderId="40" xfId="1" applyFont="1" applyBorder="1"/>
    <xf numFmtId="43" fontId="9" fillId="0" borderId="3" xfId="1" applyFont="1" applyBorder="1"/>
    <xf numFmtId="43" fontId="9" fillId="0" borderId="51" xfId="1" applyFont="1" applyBorder="1"/>
    <xf numFmtId="43" fontId="9" fillId="0" borderId="52" xfId="1" applyFont="1" applyBorder="1"/>
    <xf numFmtId="167" fontId="67" fillId="0" borderId="0" xfId="1" applyNumberFormat="1" applyFont="1" applyBorder="1" applyAlignment="1">
      <alignment horizontal="center" vertical="center"/>
    </xf>
    <xf numFmtId="43" fontId="67" fillId="0" borderId="0" xfId="1" applyFont="1" applyBorder="1" applyAlignment="1">
      <alignment horizontal="center" vertical="center"/>
    </xf>
    <xf numFmtId="0" fontId="67" fillId="0" borderId="42" xfId="0" applyFont="1" applyBorder="1" applyAlignment="1">
      <alignment vertical="center"/>
    </xf>
    <xf numFmtId="0" fontId="65" fillId="0" borderId="42" xfId="0" applyFont="1" applyBorder="1" applyAlignment="1">
      <alignment vertical="center"/>
    </xf>
    <xf numFmtId="167" fontId="65" fillId="0" borderId="0" xfId="1" applyNumberFormat="1" applyFont="1" applyBorder="1" applyAlignment="1">
      <alignment horizontal="center" vertical="center"/>
    </xf>
    <xf numFmtId="43" fontId="65" fillId="0" borderId="0" xfId="1" applyFont="1" applyBorder="1" applyAlignment="1">
      <alignment horizontal="center" vertical="center"/>
    </xf>
    <xf numFmtId="0" fontId="65" fillId="0" borderId="0" xfId="0" applyFont="1" applyBorder="1" applyAlignment="1">
      <alignment horizontal="left" vertical="center"/>
    </xf>
    <xf numFmtId="0" fontId="68" fillId="0" borderId="0" xfId="0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5" fillId="0" borderId="0" xfId="0" applyFont="1" applyBorder="1" applyAlignment="1">
      <alignment vertical="center"/>
    </xf>
    <xf numFmtId="0" fontId="65" fillId="0" borderId="54" xfId="0" applyFont="1" applyBorder="1" applyAlignment="1">
      <alignment horizontal="left" vertical="center"/>
    </xf>
    <xf numFmtId="167" fontId="65" fillId="0" borderId="54" xfId="1" applyNumberFormat="1" applyFont="1" applyBorder="1" applyAlignment="1">
      <alignment horizontal="center" vertical="center"/>
    </xf>
    <xf numFmtId="43" fontId="65" fillId="0" borderId="54" xfId="1" applyFont="1" applyBorder="1" applyAlignment="1">
      <alignment horizontal="center" vertical="center"/>
    </xf>
    <xf numFmtId="0" fontId="67" fillId="0" borderId="42" xfId="0" applyFont="1" applyBorder="1" applyAlignment="1">
      <alignment horizontal="center" vertical="center"/>
    </xf>
    <xf numFmtId="43" fontId="10" fillId="0" borderId="0" xfId="0" applyNumberFormat="1" applyFont="1" applyBorder="1"/>
    <xf numFmtId="167" fontId="69" fillId="0" borderId="0" xfId="1" applyNumberFormat="1" applyFont="1" applyBorder="1" applyAlignment="1">
      <alignment horizontal="center" vertical="center"/>
    </xf>
    <xf numFmtId="0" fontId="68" fillId="0" borderId="0" xfId="0" applyFont="1" applyBorder="1" applyAlignment="1">
      <alignment vertical="center" wrapText="1"/>
    </xf>
    <xf numFmtId="9" fontId="10" fillId="0" borderId="0" xfId="1260" applyFont="1" applyBorder="1"/>
    <xf numFmtId="0" fontId="68" fillId="0" borderId="0" xfId="0" applyFont="1" applyBorder="1" applyAlignment="1">
      <alignment horizontal="right" vertical="center"/>
    </xf>
    <xf numFmtId="1" fontId="68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167" fontId="68" fillId="0" borderId="0" xfId="1" applyNumberFormat="1" applyFont="1" applyBorder="1" applyAlignment="1">
      <alignment horizontal="right" vertical="center"/>
    </xf>
    <xf numFmtId="9" fontId="68" fillId="0" borderId="0" xfId="0" applyNumberFormat="1" applyFont="1" applyBorder="1" applyAlignment="1">
      <alignment horizontal="right" vertical="center"/>
    </xf>
    <xf numFmtId="0" fontId="10" fillId="0" borderId="0" xfId="0" applyFont="1" applyBorder="1" applyAlignment="1">
      <alignment horizontal="right"/>
    </xf>
    <xf numFmtId="9" fontId="10" fillId="0" borderId="0" xfId="1260" applyFont="1" applyBorder="1" applyAlignment="1">
      <alignment horizontal="right"/>
    </xf>
    <xf numFmtId="167" fontId="10" fillId="0" borderId="0" xfId="1" applyNumberFormat="1" applyFont="1" applyBorder="1" applyAlignment="1">
      <alignment horizontal="right"/>
    </xf>
    <xf numFmtId="3" fontId="68" fillId="0" borderId="0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 vertical="top" wrapText="1"/>
    </xf>
    <xf numFmtId="0" fontId="65" fillId="0" borderId="0" xfId="0" applyFont="1" applyBorder="1"/>
    <xf numFmtId="0" fontId="10" fillId="0" borderId="0" xfId="0" applyFont="1" applyAlignment="1">
      <alignment horizontal="right"/>
    </xf>
    <xf numFmtId="0" fontId="70" fillId="0" borderId="0" xfId="0" applyFont="1"/>
    <xf numFmtId="167" fontId="9" fillId="0" borderId="38" xfId="0" applyNumberFormat="1" applyFont="1" applyBorder="1"/>
    <xf numFmtId="167" fontId="10" fillId="0" borderId="38" xfId="0" applyNumberFormat="1" applyFont="1" applyBorder="1"/>
    <xf numFmtId="0" fontId="65" fillId="62" borderId="0" xfId="0" applyFont="1" applyFill="1"/>
    <xf numFmtId="0" fontId="10" fillId="62" borderId="0" xfId="0" applyFont="1" applyFill="1"/>
    <xf numFmtId="0" fontId="9" fillId="62" borderId="0" xfId="0" applyFont="1" applyFill="1"/>
    <xf numFmtId="167" fontId="9" fillId="62" borderId="0" xfId="0" applyNumberFormat="1" applyFont="1" applyFill="1"/>
    <xf numFmtId="0" fontId="10" fillId="62" borderId="0" xfId="0" applyFont="1" applyFill="1" applyAlignment="1">
      <alignment horizontal="right"/>
    </xf>
    <xf numFmtId="167" fontId="10" fillId="62" borderId="0" xfId="1" applyNumberFormat="1" applyFont="1" applyFill="1"/>
    <xf numFmtId="0" fontId="71" fillId="60" borderId="0" xfId="0" applyFont="1" applyFill="1" applyAlignment="1">
      <alignment horizontal="right"/>
    </xf>
    <xf numFmtId="167" fontId="71" fillId="60" borderId="0" xfId="1" applyNumberFormat="1" applyFont="1" applyFill="1"/>
    <xf numFmtId="0" fontId="68" fillId="62" borderId="0" xfId="0" applyFont="1" applyFill="1" applyBorder="1" applyAlignment="1">
      <alignment horizontal="right" vertical="center"/>
    </xf>
    <xf numFmtId="10" fontId="10" fillId="62" borderId="0" xfId="1260" applyNumberFormat="1" applyFont="1" applyFill="1" applyBorder="1"/>
    <xf numFmtId="0" fontId="10" fillId="62" borderId="0" xfId="0" applyFont="1" applyFill="1" applyBorder="1"/>
    <xf numFmtId="167" fontId="68" fillId="62" borderId="0" xfId="1" applyNumberFormat="1" applyFont="1" applyFill="1" applyBorder="1" applyAlignment="1">
      <alignment horizontal="right" vertical="center"/>
    </xf>
    <xf numFmtId="172" fontId="10" fillId="62" borderId="0" xfId="1260" applyNumberFormat="1" applyFont="1" applyFill="1" applyBorder="1"/>
    <xf numFmtId="184" fontId="10" fillId="0" borderId="0" xfId="0" applyNumberFormat="1" applyFont="1" applyBorder="1"/>
    <xf numFmtId="167" fontId="68" fillId="0" borderId="0" xfId="1" applyNumberFormat="1" applyFont="1" applyFill="1" applyBorder="1" applyAlignment="1">
      <alignment horizontal="right" vertical="center"/>
    </xf>
    <xf numFmtId="0" fontId="68" fillId="0" borderId="0" xfId="0" applyFont="1" applyFill="1" applyBorder="1" applyAlignment="1">
      <alignment horizontal="right" vertical="center"/>
    </xf>
    <xf numFmtId="3" fontId="68" fillId="0" borderId="0" xfId="0" applyNumberFormat="1" applyFont="1" applyFill="1" applyBorder="1" applyAlignment="1">
      <alignment horizontal="right" vertical="center"/>
    </xf>
    <xf numFmtId="0" fontId="68" fillId="0" borderId="0" xfId="0" applyFont="1" applyFill="1" applyBorder="1" applyAlignment="1">
      <alignment vertical="center"/>
    </xf>
    <xf numFmtId="0" fontId="67" fillId="0" borderId="0" xfId="0" applyFont="1" applyFill="1" applyBorder="1" applyAlignment="1">
      <alignment vertical="center"/>
    </xf>
    <xf numFmtId="9" fontId="68" fillId="0" borderId="0" xfId="0" applyNumberFormat="1" applyFont="1" applyFill="1" applyBorder="1" applyAlignment="1">
      <alignment horizontal="right" vertical="center"/>
    </xf>
    <xf numFmtId="167" fontId="10" fillId="62" borderId="0" xfId="1" applyNumberFormat="1" applyFont="1" applyFill="1" applyBorder="1"/>
    <xf numFmtId="38" fontId="68" fillId="0" borderId="0" xfId="1" applyNumberFormat="1" applyFont="1" applyFill="1" applyBorder="1" applyAlignment="1">
      <alignment horizontal="right" vertical="center"/>
    </xf>
    <xf numFmtId="38" fontId="68" fillId="0" borderId="0" xfId="1" applyNumberFormat="1" applyFont="1" applyBorder="1" applyAlignment="1">
      <alignment horizontal="right" vertical="center"/>
    </xf>
    <xf numFmtId="167" fontId="68" fillId="0" borderId="0" xfId="1" applyNumberFormat="1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left" vertical="center"/>
    </xf>
    <xf numFmtId="0" fontId="67" fillId="0" borderId="4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63" borderId="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63" borderId="0" xfId="0" applyFont="1" applyFill="1" applyBorder="1" applyAlignment="1">
      <alignment horizontal="center"/>
    </xf>
    <xf numFmtId="167" fontId="10" fillId="0" borderId="0" xfId="0" applyNumberFormat="1" applyFont="1" applyBorder="1"/>
    <xf numFmtId="0" fontId="10" fillId="0" borderId="0" xfId="0" quotePrefix="1" applyFont="1" applyBorder="1"/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67" fillId="0" borderId="0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/>
    </xf>
    <xf numFmtId="167" fontId="9" fillId="0" borderId="38" xfId="1" applyNumberFormat="1" applyFont="1" applyBorder="1"/>
    <xf numFmtId="167" fontId="10" fillId="0" borderId="0" xfId="1" applyNumberFormat="1" applyFont="1" applyFill="1"/>
    <xf numFmtId="167" fontId="10" fillId="2" borderId="0" xfId="1" applyNumberFormat="1" applyFont="1" applyFill="1" applyBorder="1"/>
    <xf numFmtId="167" fontId="10" fillId="0" borderId="0" xfId="1261" applyNumberFormat="1" applyFont="1" applyBorder="1"/>
    <xf numFmtId="167" fontId="69" fillId="0" borderId="0" xfId="1" applyNumberFormat="1" applyFont="1"/>
    <xf numFmtId="17" fontId="10" fillId="0" borderId="0" xfId="0" applyNumberFormat="1" applyFont="1"/>
    <xf numFmtId="0" fontId="9" fillId="0" borderId="38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17" fontId="2" fillId="64" borderId="0" xfId="0" applyNumberFormat="1" applyFont="1" applyFill="1"/>
    <xf numFmtId="167" fontId="2" fillId="64" borderId="0" xfId="1" applyNumberFormat="1" applyFont="1" applyFill="1"/>
    <xf numFmtId="0" fontId="2" fillId="64" borderId="0" xfId="0" applyFont="1" applyFill="1"/>
    <xf numFmtId="167" fontId="74" fillId="64" borderId="0" xfId="1" applyNumberFormat="1" applyFont="1" applyFill="1"/>
    <xf numFmtId="17" fontId="2" fillId="65" borderId="0" xfId="0" applyNumberFormat="1" applyFont="1" applyFill="1"/>
    <xf numFmtId="167" fontId="2" fillId="65" borderId="0" xfId="1" applyNumberFormat="1" applyFont="1" applyFill="1"/>
    <xf numFmtId="167" fontId="74" fillId="65" borderId="0" xfId="1" applyNumberFormat="1" applyFont="1" applyFill="1"/>
    <xf numFmtId="0" fontId="3" fillId="0" borderId="1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3" fillId="0" borderId="0" xfId="0" applyFont="1" applyFill="1"/>
    <xf numFmtId="167" fontId="3" fillId="0" borderId="0" xfId="1" applyNumberFormat="1" applyFont="1" applyFill="1"/>
    <xf numFmtId="0" fontId="75" fillId="0" borderId="0" xfId="0" applyFont="1" applyFill="1" applyAlignment="1">
      <alignment horizontal="center"/>
    </xf>
    <xf numFmtId="0" fontId="74" fillId="0" borderId="0" xfId="0" applyFont="1" applyFill="1"/>
    <xf numFmtId="0" fontId="75" fillId="0" borderId="0" xfId="0" applyFont="1" applyFill="1"/>
    <xf numFmtId="167" fontId="75" fillId="0" borderId="0" xfId="1" applyNumberFormat="1" applyFont="1" applyFill="1"/>
    <xf numFmtId="167" fontId="3" fillId="0" borderId="0" xfId="0" applyNumberFormat="1" applyFont="1" applyFill="1"/>
    <xf numFmtId="0" fontId="3" fillId="0" borderId="0" xfId="0" applyFont="1" applyFill="1" applyAlignment="1">
      <alignment horizontal="center" vertical="center" wrapText="1"/>
    </xf>
    <xf numFmtId="0" fontId="75" fillId="0" borderId="1" xfId="0" applyFont="1" applyFill="1" applyBorder="1" applyAlignment="1">
      <alignment horizontal="center" vertical="top" wrapText="1"/>
    </xf>
    <xf numFmtId="0" fontId="9" fillId="66" borderId="55" xfId="0" applyFont="1" applyFill="1" applyBorder="1" applyAlignment="1">
      <alignment horizontal="center"/>
    </xf>
    <xf numFmtId="0" fontId="9" fillId="66" borderId="0" xfId="0" applyFont="1" applyFill="1" applyBorder="1"/>
    <xf numFmtId="0" fontId="9" fillId="66" borderId="55" xfId="0" applyFont="1" applyFill="1" applyBorder="1"/>
    <xf numFmtId="0" fontId="9" fillId="66" borderId="56" xfId="0" applyFont="1" applyFill="1" applyBorder="1"/>
    <xf numFmtId="167" fontId="9" fillId="66" borderId="0" xfId="1" applyNumberFormat="1" applyFont="1" applyFill="1" applyBorder="1"/>
    <xf numFmtId="176" fontId="10" fillId="0" borderId="0" xfId="0" applyNumberFormat="1" applyFont="1" applyAlignment="1">
      <alignment horizontal="left"/>
    </xf>
    <xf numFmtId="167" fontId="10" fillId="0" borderId="3" xfId="1" applyNumberFormat="1" applyFont="1" applyFill="1" applyBorder="1"/>
    <xf numFmtId="167" fontId="10" fillId="0" borderId="6" xfId="1" applyNumberFormat="1" applyFont="1" applyFill="1" applyBorder="1"/>
    <xf numFmtId="43" fontId="10" fillId="0" borderId="3" xfId="1" applyFont="1" applyFill="1" applyBorder="1"/>
    <xf numFmtId="43" fontId="10" fillId="0" borderId="6" xfId="1" applyFont="1" applyFill="1" applyBorder="1"/>
    <xf numFmtId="167" fontId="10" fillId="0" borderId="3" xfId="0" applyNumberFormat="1" applyFont="1" applyBorder="1"/>
    <xf numFmtId="167" fontId="10" fillId="0" borderId="6" xfId="0" applyNumberFormat="1" applyFont="1" applyBorder="1"/>
    <xf numFmtId="0" fontId="9" fillId="66" borderId="57" xfId="0" applyFont="1" applyFill="1" applyBorder="1" applyAlignment="1">
      <alignment horizontal="left"/>
    </xf>
    <xf numFmtId="167" fontId="9" fillId="66" borderId="58" xfId="0" applyNumberFormat="1" applyFont="1" applyFill="1" applyBorder="1"/>
    <xf numFmtId="167" fontId="9" fillId="66" borderId="59" xfId="0" applyNumberFormat="1" applyFont="1" applyFill="1" applyBorder="1"/>
    <xf numFmtId="167" fontId="9" fillId="66" borderId="0" xfId="0" applyNumberFormat="1" applyFont="1" applyFill="1" applyBorder="1"/>
    <xf numFmtId="0" fontId="3" fillId="0" borderId="1" xfId="0" applyFont="1" applyBorder="1" applyAlignment="1">
      <alignment horizontal="center"/>
    </xf>
    <xf numFmtId="0" fontId="2" fillId="65" borderId="0" xfId="0" applyFont="1" applyFill="1"/>
    <xf numFmtId="0" fontId="74" fillId="65" borderId="0" xfId="0" applyFont="1" applyFill="1"/>
    <xf numFmtId="0" fontId="2" fillId="60" borderId="0" xfId="0" applyFont="1" applyFill="1"/>
    <xf numFmtId="0" fontId="3" fillId="60" borderId="0" xfId="0" applyFont="1" applyFill="1" applyAlignment="1">
      <alignment horizontal="center" vertical="top" wrapText="1"/>
    </xf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60" borderId="1" xfId="0" applyFont="1" applyFill="1" applyBorder="1" applyAlignment="1">
      <alignment horizontal="center" vertical="top" wrapText="1"/>
    </xf>
    <xf numFmtId="10" fontId="2" fillId="65" borderId="0" xfId="1260" applyNumberFormat="1" applyFont="1" applyFill="1"/>
    <xf numFmtId="10" fontId="2" fillId="64" borderId="0" xfId="1260" applyNumberFormat="1" applyFont="1" applyFill="1"/>
    <xf numFmtId="0" fontId="3" fillId="0" borderId="0" xfId="0" applyFont="1" applyFill="1" applyBorder="1" applyAlignment="1">
      <alignment horizontal="center" vertical="top" wrapText="1"/>
    </xf>
    <xf numFmtId="10" fontId="2" fillId="0" borderId="0" xfId="1260" applyNumberFormat="1" applyFont="1" applyFill="1"/>
    <xf numFmtId="10" fontId="74" fillId="65" borderId="0" xfId="1260" applyNumberFormat="1" applyFont="1" applyFill="1"/>
    <xf numFmtId="10" fontId="74" fillId="64" borderId="0" xfId="1260" applyNumberFormat="1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7" fillId="0" borderId="51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9" fillId="0" borderId="51" xfId="1261" applyFont="1" applyBorder="1" applyAlignment="1">
      <alignment horizontal="center"/>
    </xf>
    <xf numFmtId="17" fontId="9" fillId="0" borderId="38" xfId="0" quotePrefix="1" applyNumberFormat="1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17" fontId="9" fillId="0" borderId="38" xfId="0" applyNumberFormat="1" applyFont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63" borderId="0" xfId="0" applyFont="1" applyFill="1" applyAlignment="1">
      <alignment horizontal="center"/>
    </xf>
    <xf numFmtId="0" fontId="9" fillId="0" borderId="42" xfId="0" applyFont="1" applyBorder="1" applyAlignment="1">
      <alignment horizontal="center"/>
    </xf>
    <xf numFmtId="43" fontId="9" fillId="0" borderId="42" xfId="1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0" fillId="0" borderId="4" xfId="1240" applyFont="1" applyFill="1" applyBorder="1" applyAlignment="1">
      <alignment horizontal="center" wrapText="1"/>
    </xf>
    <xf numFmtId="0" fontId="60" fillId="0" borderId="7" xfId="1240" applyFont="1" applyFill="1" applyBorder="1" applyAlignment="1">
      <alignment horizontal="center" wrapText="1"/>
    </xf>
    <xf numFmtId="0" fontId="60" fillId="0" borderId="6" xfId="1240" applyFont="1" applyFill="1" applyBorder="1" applyAlignment="1">
      <alignment horizontal="center" vertical="center"/>
    </xf>
    <xf numFmtId="0" fontId="60" fillId="0" borderId="7" xfId="1240" applyFont="1" applyFill="1" applyBorder="1" applyAlignment="1">
      <alignment horizontal="center" vertical="center"/>
    </xf>
    <xf numFmtId="0" fontId="60" fillId="0" borderId="1" xfId="1240" applyFont="1" applyFill="1" applyBorder="1" applyAlignment="1">
      <alignment horizontal="center" wrapText="1"/>
    </xf>
    <xf numFmtId="0" fontId="60" fillId="61" borderId="4" xfId="1240" applyFont="1" applyFill="1" applyBorder="1" applyAlignment="1">
      <alignment horizontal="center" wrapText="1"/>
    </xf>
    <xf numFmtId="0" fontId="60" fillId="61" borderId="7" xfId="1240" applyFont="1" applyFill="1" applyBorder="1" applyAlignment="1">
      <alignment horizontal="center" wrapText="1"/>
    </xf>
    <xf numFmtId="0" fontId="60" fillId="2" borderId="1" xfId="1240" applyFont="1" applyFill="1" applyBorder="1" applyAlignment="1">
      <alignment horizontal="center"/>
    </xf>
    <xf numFmtId="0" fontId="60" fillId="0" borderId="4" xfId="1240" applyFont="1" applyBorder="1" applyAlignment="1">
      <alignment horizontal="center"/>
    </xf>
    <xf numFmtId="0" fontId="60" fillId="0" borderId="1" xfId="1240" applyFont="1" applyBorder="1" applyAlignment="1">
      <alignment horizontal="center"/>
    </xf>
    <xf numFmtId="0" fontId="60" fillId="0" borderId="7" xfId="1240" applyFont="1" applyBorder="1" applyAlignment="1">
      <alignment horizontal="center"/>
    </xf>
    <xf numFmtId="0" fontId="62" fillId="0" borderId="0" xfId="1240" applyFont="1" applyBorder="1" applyAlignment="1">
      <alignment horizontal="center"/>
    </xf>
    <xf numFmtId="0" fontId="60" fillId="0" borderId="0" xfId="1240" applyFont="1" applyFill="1" applyBorder="1" applyAlignment="1">
      <alignment horizontal="center"/>
    </xf>
    <xf numFmtId="0" fontId="75" fillId="2" borderId="0" xfId="0" applyFont="1" applyFill="1" applyAlignment="1">
      <alignment horizontal="center"/>
    </xf>
    <xf numFmtId="0" fontId="9" fillId="66" borderId="55" xfId="0" applyFont="1" applyFill="1" applyBorder="1" applyAlignment="1">
      <alignment horizontal="center"/>
    </xf>
    <xf numFmtId="0" fontId="9" fillId="66" borderId="56" xfId="0" applyFont="1" applyFill="1" applyBorder="1" applyAlignment="1">
      <alignment horizontal="center"/>
    </xf>
  </cellXfs>
  <cellStyles count="1263">
    <cellStyle name="_AUG 10 KPI sheet" xfId="385"/>
    <cellStyle name="_Aug-10" xfId="386"/>
    <cellStyle name="_Book1" xfId="387"/>
    <cellStyle name="_Book1 (11)" xfId="388"/>
    <cellStyle name="_Book1 (3) (2) (2) (2)" xfId="389"/>
    <cellStyle name="_Book1 (32)" xfId="390"/>
    <cellStyle name="_Book2" xfId="391"/>
    <cellStyle name="_CIP Mar'11" xfId="392"/>
    <cellStyle name="_CIP statement for June 2010" xfId="393"/>
    <cellStyle name="_CMB Sales ABP 2009-10(30.4.09)" xfId="394"/>
    <cellStyle name="_CMB Sales ABP 2009-10(30.4.09) 2" xfId="395"/>
    <cellStyle name="_COB_revised" xfId="396"/>
    <cellStyle name="_COB_revised 2" xfId="397"/>
    <cellStyle name="_Copy of Aug10_MRP (2)" xfId="398"/>
    <cellStyle name="_Copy of RCCP_Sept_25.09" xfId="399"/>
    <cellStyle name="_Copy of SOP Variance Report_ May 10 (2)" xfId="400"/>
    <cellStyle name="_Daily update_Jan" xfId="401"/>
    <cellStyle name="_Delivery" xfId="402"/>
    <cellStyle name="_Delivery on time report format DECEMBER 10" xfId="403"/>
    <cellStyle name="_Delivery schedules - JAN'11" xfId="404"/>
    <cellStyle name="_Deviation report-May'10" xfId="405"/>
    <cellStyle name="_JULY 10 KPI sheet" xfId="406"/>
    <cellStyle name="_July deviation report" xfId="407"/>
    <cellStyle name="_June deviation report" xfId="408"/>
    <cellStyle name="_June week 4" xfId="409"/>
    <cellStyle name="_MAR 10 KPI sheet" xfId="410"/>
    <cellStyle name="_MAY 10 KPI sheet" xfId="411"/>
    <cellStyle name="_Mfg MIS_Apr 10" xfId="412"/>
    <cellStyle name="_Mfg MIS_August 10" xfId="413"/>
    <cellStyle name="_Mfg MIS_Mar 10" xfId="414"/>
    <cellStyle name="_Mfg MIS_October 10" xfId="415"/>
    <cellStyle name="_Mfg MIS_September 10" xfId="416"/>
    <cellStyle name="_MIS APR 10" xfId="417"/>
    <cellStyle name="_MIS AUG 10" xfId="418"/>
    <cellStyle name="_MIS JULY 10" xfId="419"/>
    <cellStyle name="_MIS JUNE 10" xfId="420"/>
    <cellStyle name="_MIS MAY 10" xfId="421"/>
    <cellStyle name="_MIS OCT 10" xfId="422"/>
    <cellStyle name="_MIS SEPT 10" xfId="423"/>
    <cellStyle name="_Non moving items stock statement as on 31st March (4)" xfId="424"/>
    <cellStyle name="_Non Moving Material consumption Plan for Sept 10" xfId="425"/>
    <cellStyle name="_NOV_KPIs_Sheet_" xfId="426"/>
    <cellStyle name="_Oct plan" xfId="427"/>
    <cellStyle name="_Oct plan 10" xfId="428"/>
    <cellStyle name="_Oct plan 11" xfId="429"/>
    <cellStyle name="_Oct plan 12" xfId="430"/>
    <cellStyle name="_Oct plan 13" xfId="431"/>
    <cellStyle name="_Oct plan 14" xfId="432"/>
    <cellStyle name="_Oct plan 15" xfId="433"/>
    <cellStyle name="_Oct plan 16" xfId="434"/>
    <cellStyle name="_Oct plan 17" xfId="435"/>
    <cellStyle name="_Oct plan 18" xfId="436"/>
    <cellStyle name="_Oct plan 19" xfId="437"/>
    <cellStyle name="_Oct plan 2" xfId="438"/>
    <cellStyle name="_Oct plan 20" xfId="439"/>
    <cellStyle name="_Oct plan 21" xfId="440"/>
    <cellStyle name="_Oct plan 22" xfId="441"/>
    <cellStyle name="_Oct plan 23" xfId="442"/>
    <cellStyle name="_Oct plan 24" xfId="443"/>
    <cellStyle name="_Oct plan 25" xfId="444"/>
    <cellStyle name="_Oct plan 26" xfId="445"/>
    <cellStyle name="_Oct plan 27" xfId="446"/>
    <cellStyle name="_Oct plan 28" xfId="447"/>
    <cellStyle name="_Oct plan 29" xfId="448"/>
    <cellStyle name="_Oct plan 3" xfId="449"/>
    <cellStyle name="_Oct plan 30" xfId="450"/>
    <cellStyle name="_Oct plan 31" xfId="451"/>
    <cellStyle name="_Oct plan 32" xfId="452"/>
    <cellStyle name="_Oct plan 4" xfId="453"/>
    <cellStyle name="_Oct plan 5" xfId="454"/>
    <cellStyle name="_Oct plan 6" xfId="455"/>
    <cellStyle name="_Oct plan 7" xfId="456"/>
    <cellStyle name="_Oct plan 8" xfId="457"/>
    <cellStyle name="_Oct plan 9" xfId="458"/>
    <cellStyle name="_Oct plan_LC availability- Jan'11" xfId="459"/>
    <cellStyle name="_Oct plan_Oleo cost sheet for ABP 2010-11_Revised" xfId="460"/>
    <cellStyle name="_Oct plan_Oleo cost sheet for ABP 2010-11_Revised 2" xfId="461"/>
    <cellStyle name="_Oct plan_Volumes Sales Forecast-ABP_2011-12" xfId="462"/>
    <cellStyle name="_Oct plan_Xl0000012" xfId="463"/>
    <cellStyle name="_Oleo Cost Sheets MAy 14 updated with year costs" xfId="464"/>
    <cellStyle name="_Oleo Cost Sheets MAy 14 updated with year costs 2" xfId="465"/>
    <cellStyle name="_Oleo Cost Sheets MAy 14 updated with year costs_Noodle requirement" xfId="466"/>
    <cellStyle name="_Oleo Cost Sheets MAy 14 updated with year costs_Noodle requirement 10" xfId="467"/>
    <cellStyle name="_Oleo Cost Sheets MAy 14 updated with year costs_Noodle requirement 11" xfId="468"/>
    <cellStyle name="_Oleo Cost Sheets MAy 14 updated with year costs_Noodle requirement 12" xfId="469"/>
    <cellStyle name="_Oleo Cost Sheets MAy 14 updated with year costs_Noodle requirement 13" xfId="470"/>
    <cellStyle name="_Oleo Cost Sheets MAy 14 updated with year costs_Noodle requirement 14" xfId="471"/>
    <cellStyle name="_Oleo Cost Sheets MAy 14 updated with year costs_Noodle requirement 15" xfId="472"/>
    <cellStyle name="_Oleo Cost Sheets MAy 14 updated with year costs_Noodle requirement 16" xfId="473"/>
    <cellStyle name="_Oleo Cost Sheets MAy 14 updated with year costs_Noodle requirement 17" xfId="474"/>
    <cellStyle name="_Oleo Cost Sheets MAy 14 updated with year costs_Noodle requirement 18" xfId="475"/>
    <cellStyle name="_Oleo Cost Sheets MAy 14 updated with year costs_Noodle requirement 19" xfId="476"/>
    <cellStyle name="_Oleo Cost Sheets MAy 14 updated with year costs_Noodle requirement 2" xfId="477"/>
    <cellStyle name="_Oleo Cost Sheets MAy 14 updated with year costs_Noodle requirement 20" xfId="478"/>
    <cellStyle name="_Oleo Cost Sheets MAy 14 updated with year costs_Noodle requirement 21" xfId="479"/>
    <cellStyle name="_Oleo Cost Sheets MAy 14 updated with year costs_Noodle requirement 22" xfId="480"/>
    <cellStyle name="_Oleo Cost Sheets MAy 14 updated with year costs_Noodle requirement 23" xfId="481"/>
    <cellStyle name="_Oleo Cost Sheets MAy 14 updated with year costs_Noodle requirement 24" xfId="482"/>
    <cellStyle name="_Oleo Cost Sheets MAy 14 updated with year costs_Noodle requirement 25" xfId="483"/>
    <cellStyle name="_Oleo Cost Sheets MAy 14 updated with year costs_Noodle requirement 26" xfId="484"/>
    <cellStyle name="_Oleo Cost Sheets MAy 14 updated with year costs_Noodle requirement 27" xfId="485"/>
    <cellStyle name="_Oleo Cost Sheets MAy 14 updated with year costs_Noodle requirement 28" xfId="486"/>
    <cellStyle name="_Oleo Cost Sheets MAy 14 updated with year costs_Noodle requirement 29" xfId="487"/>
    <cellStyle name="_Oleo Cost Sheets MAy 14 updated with year costs_Noodle requirement 3" xfId="488"/>
    <cellStyle name="_Oleo Cost Sheets MAy 14 updated with year costs_Noodle requirement 30" xfId="489"/>
    <cellStyle name="_Oleo Cost Sheets MAy 14 updated with year costs_Noodle requirement 31" xfId="490"/>
    <cellStyle name="_Oleo Cost Sheets MAy 14 updated with year costs_Noodle requirement 4" xfId="491"/>
    <cellStyle name="_Oleo Cost Sheets MAy 14 updated with year costs_Noodle requirement 5" xfId="492"/>
    <cellStyle name="_Oleo Cost Sheets MAy 14 updated with year costs_Noodle requirement 6" xfId="493"/>
    <cellStyle name="_Oleo Cost Sheets MAy 14 updated with year costs_Noodle requirement 7" xfId="494"/>
    <cellStyle name="_Oleo Cost Sheets MAy 14 updated with year costs_Noodle requirement 8" xfId="495"/>
    <cellStyle name="_Oleo Cost Sheets MAy 14 updated with year costs_Noodle requirement 9" xfId="496"/>
    <cellStyle name="_Oleo Cost Sheets MAy 14 updated with year costs_Oleo cost sheet for ABP 2010-11_Revised" xfId="497"/>
    <cellStyle name="_Oleo Cost Sheets MAy 14 updated with year costs_Oleo cost sheet for ABP 2010-11_Revised 2" xfId="498"/>
    <cellStyle name="_Oleo Cost Sheets MAy 14 updated with year costs_VVF May 10" xfId="499"/>
    <cellStyle name="_Oleo Cost Sheets MAy 14 updated with year costs_VVF May 10 2" xfId="500"/>
    <cellStyle name="_Other Financial Charges_LC Interest_monthly p&amp;l version v02" xfId="501"/>
    <cellStyle name="_Overhead Var_Dec'09" xfId="502"/>
    <cellStyle name="_OVERHEAD Var_Feb'10" xfId="503"/>
    <cellStyle name="_OVERHEAD Var_Jan'10" xfId="504"/>
    <cellStyle name="_Overhead Var_Nov'09" xfId="505"/>
    <cellStyle name="_Overhead Var_Oct'09" xfId="506"/>
    <cellStyle name="_PCP cost sheets ABP costs May 25thv2" xfId="507"/>
    <cellStyle name="_PCP cost sheets ABP costs May 25thv2 2" xfId="508"/>
    <cellStyle name="_Production plan" xfId="509"/>
    <cellStyle name="_Production Plan vs actual deviation report" xfId="510"/>
    <cellStyle name="_Production Plan Vs Actual till 13th Jan 10" xfId="511"/>
    <cellStyle name="_Profit_and_Loss_Statement_VVF_Consolidated_Final_with_New_Price_Realizationv 8" xfId="512"/>
    <cellStyle name="_Profit_and_Loss_Statement_VVF_Consolidated_Final_with_New_Price_Realizationv 8 2" xfId="513"/>
    <cellStyle name="_RCCP_abp" xfId="514"/>
    <cellStyle name="_RCCP_abp_LC availability- Jan'11" xfId="515"/>
    <cellStyle name="_RCCP_abp_v3" xfId="516"/>
    <cellStyle name="_RCCP_abp_Xl0000012" xfId="517"/>
    <cellStyle name="_RCCP_Aug_v1_26.08" xfId="518"/>
    <cellStyle name="_RCCP_Oct_25.10_final" xfId="519"/>
    <cellStyle name="_RCCP_Oct_28.10" xfId="520"/>
    <cellStyle name="_RCCP_Oleo_ABP_v3" xfId="521"/>
    <cellStyle name="_RCCP_Oleo_ABP_v3 2" xfId="522"/>
    <cellStyle name="_RCCP_Oleo_ABP_v3_LC availability- Jan'11" xfId="523"/>
    <cellStyle name="_RCCP_Oleo_ABP_v3_Noodle requirement" xfId="524"/>
    <cellStyle name="_RCCP_Oleo_ABP_v3_Noodle requirement 10" xfId="525"/>
    <cellStyle name="_RCCP_Oleo_ABP_v3_Noodle requirement 11" xfId="526"/>
    <cellStyle name="_RCCP_Oleo_ABP_v3_Noodle requirement 12" xfId="527"/>
    <cellStyle name="_RCCP_Oleo_ABP_v3_Noodle requirement 13" xfId="528"/>
    <cellStyle name="_RCCP_Oleo_ABP_v3_Noodle requirement 14" xfId="529"/>
    <cellStyle name="_RCCP_Oleo_ABP_v3_Noodle requirement 15" xfId="530"/>
    <cellStyle name="_RCCP_Oleo_ABP_v3_Noodle requirement 16" xfId="531"/>
    <cellStyle name="_RCCP_Oleo_ABP_v3_Noodle requirement 17" xfId="532"/>
    <cellStyle name="_RCCP_Oleo_ABP_v3_Noodle requirement 18" xfId="533"/>
    <cellStyle name="_RCCP_Oleo_ABP_v3_Noodle requirement 19" xfId="534"/>
    <cellStyle name="_RCCP_Oleo_ABP_v3_Noodle requirement 2" xfId="535"/>
    <cellStyle name="_RCCP_Oleo_ABP_v3_Noodle requirement 20" xfId="536"/>
    <cellStyle name="_RCCP_Oleo_ABP_v3_Noodle requirement 21" xfId="537"/>
    <cellStyle name="_RCCP_Oleo_ABP_v3_Noodle requirement 22" xfId="538"/>
    <cellStyle name="_RCCP_Oleo_ABP_v3_Noodle requirement 23" xfId="539"/>
    <cellStyle name="_RCCP_Oleo_ABP_v3_Noodle requirement 24" xfId="540"/>
    <cellStyle name="_RCCP_Oleo_ABP_v3_Noodle requirement 25" xfId="541"/>
    <cellStyle name="_RCCP_Oleo_ABP_v3_Noodle requirement 26" xfId="542"/>
    <cellStyle name="_RCCP_Oleo_ABP_v3_Noodle requirement 27" xfId="543"/>
    <cellStyle name="_RCCP_Oleo_ABP_v3_Noodle requirement 28" xfId="544"/>
    <cellStyle name="_RCCP_Oleo_ABP_v3_Noodle requirement 29" xfId="545"/>
    <cellStyle name="_RCCP_Oleo_ABP_v3_Noodle requirement 3" xfId="546"/>
    <cellStyle name="_RCCP_Oleo_ABP_v3_Noodle requirement 30" xfId="547"/>
    <cellStyle name="_RCCP_Oleo_ABP_v3_Noodle requirement 31" xfId="548"/>
    <cellStyle name="_RCCP_Oleo_ABP_v3_Noodle requirement 4" xfId="549"/>
    <cellStyle name="_RCCP_Oleo_ABP_v3_Noodle requirement 5" xfId="550"/>
    <cellStyle name="_RCCP_Oleo_ABP_v3_Noodle requirement 6" xfId="551"/>
    <cellStyle name="_RCCP_Oleo_ABP_v3_Noodle requirement 7" xfId="552"/>
    <cellStyle name="_RCCP_Oleo_ABP_v3_Noodle requirement 8" xfId="553"/>
    <cellStyle name="_RCCP_Oleo_ABP_v3_Noodle requirement 9" xfId="554"/>
    <cellStyle name="_RCCP_Oleo_ABP_v3_Oleo cost sheet for ABP 2010-11_Revised" xfId="555"/>
    <cellStyle name="_RCCP_Oleo_ABP_v3_Oleo cost sheet for ABP 2010-11_Revised 2" xfId="556"/>
    <cellStyle name="_RCCP_Oleo_ABP_v3_Xl0000012" xfId="557"/>
    <cellStyle name="_RCCP_Sept_29.09" xfId="558"/>
    <cellStyle name="_RM_Inventory_Days_FY08" xfId="559"/>
    <cellStyle name="_S&amp;OP Variance Report_ May 10" xfId="560"/>
    <cellStyle name="_S&amp;OP Variance Report_April 11" xfId="561"/>
    <cellStyle name="_Sept deviation report" xfId="562"/>
    <cellStyle name="_Sept plan" xfId="563"/>
    <cellStyle name="_Slow Moving Inventory Plan Vs Actual augest (2)" xfId="564"/>
    <cellStyle name="_Slow Moving stock consumpiton plan for July 2010" xfId="565"/>
    <cellStyle name="_Slow moving-June" xfId="566"/>
    <cellStyle name="_SNOP (Mar-June)" xfId="567"/>
    <cellStyle name="_SNOP plan-June" xfId="568"/>
    <cellStyle name="_SOP Variance Report_ August 10" xfId="569"/>
    <cellStyle name="_SOP Variance Report_ July 10_Rev 14 08 10" xfId="570"/>
    <cellStyle name="_SOP Variance Report_ June 10" xfId="571"/>
    <cellStyle name="_SOP Variance Report_ May 10 (2)" xfId="572"/>
    <cellStyle name="_SOP Variance Report_ Oct 10" xfId="573"/>
    <cellStyle name="_SOP Variance Report_ Sept 10" xfId="574"/>
    <cellStyle name="_Stk_270510" xfId="575"/>
    <cellStyle name="_Stock tally_v2" xfId="576"/>
    <cellStyle name="_Stock tally_v2 10" xfId="577"/>
    <cellStyle name="_Stock tally_v2 11" xfId="578"/>
    <cellStyle name="_Stock tally_v2 12" xfId="579"/>
    <cellStyle name="_Stock tally_v2 13" xfId="580"/>
    <cellStyle name="_Stock tally_v2 14" xfId="581"/>
    <cellStyle name="_Stock tally_v2 15" xfId="582"/>
    <cellStyle name="_Stock tally_v2 16" xfId="583"/>
    <cellStyle name="_Stock tally_v2 17" xfId="584"/>
    <cellStyle name="_Stock tally_v2 18" xfId="585"/>
    <cellStyle name="_Stock tally_v2 19" xfId="586"/>
    <cellStyle name="_Stock tally_v2 2" xfId="587"/>
    <cellStyle name="_Stock tally_v2 20" xfId="588"/>
    <cellStyle name="_Stock tally_v2 21" xfId="589"/>
    <cellStyle name="_Stock tally_v2 22" xfId="590"/>
    <cellStyle name="_Stock tally_v2 23" xfId="591"/>
    <cellStyle name="_Stock tally_v2 24" xfId="592"/>
    <cellStyle name="_Stock tally_v2 25" xfId="593"/>
    <cellStyle name="_Stock tally_v2 26" xfId="594"/>
    <cellStyle name="_Stock tally_v2 27" xfId="595"/>
    <cellStyle name="_Stock tally_v2 28" xfId="596"/>
    <cellStyle name="_Stock tally_v2 29" xfId="597"/>
    <cellStyle name="_Stock tally_v2 3" xfId="598"/>
    <cellStyle name="_Stock tally_v2 30" xfId="599"/>
    <cellStyle name="_Stock tally_v2 31" xfId="600"/>
    <cellStyle name="_Stock tally_v2 32" xfId="601"/>
    <cellStyle name="_Stock tally_v2 4" xfId="602"/>
    <cellStyle name="_Stock tally_v2 5" xfId="603"/>
    <cellStyle name="_Stock tally_v2 6" xfId="604"/>
    <cellStyle name="_Stock tally_v2 7" xfId="605"/>
    <cellStyle name="_Stock tally_v2 8" xfId="606"/>
    <cellStyle name="_Stock tally_v2 9" xfId="607"/>
    <cellStyle name="_Stock tally_v2_LC availability- Jan'11" xfId="608"/>
    <cellStyle name="_Summary RCCP For Aug 2010_Oleo" xfId="609"/>
    <cellStyle name="_Summary RCCP for Nov 2010_Oleo_11 11 10" xfId="610"/>
    <cellStyle name="_Summary RCCP for Sept 2010_Oleo" xfId="611"/>
    <cellStyle name="_Supply comm_final" xfId="612"/>
    <cellStyle name="_Supply comm_final 2" xfId="613"/>
    <cellStyle name="_Supply summary" xfId="614"/>
    <cellStyle name="_Suumary SNOP for July'10" xfId="615"/>
    <cellStyle name="_Volume_realization_forecast" xfId="616"/>
    <cellStyle name="_Volume_realization_forecast 2" xfId="617"/>
    <cellStyle name="_VVF ABP 09-10 Vs. Actual 08-09 at 75%" xfId="618"/>
    <cellStyle name="_VVF ABP 09-10 Vs. Actual 08-09 at 75% 2" xfId="619"/>
    <cellStyle name="_VVF March 09 .xls" xfId="620"/>
    <cellStyle name="_VVF March 09 .xls 2" xfId="621"/>
    <cellStyle name="_VVF YTD Dec' 09" xfId="622"/>
    <cellStyle name="_Weekly Plan Attainment for Week 3" xfId="623"/>
    <cellStyle name="_Weekly plan attainment-May" xfId="624"/>
    <cellStyle name="20% - Accent1 10" xfId="3"/>
    <cellStyle name="20% - Accent1 11" xfId="4"/>
    <cellStyle name="20% - Accent1 12" xfId="5"/>
    <cellStyle name="20% - Accent1 13" xfId="6"/>
    <cellStyle name="20% - Accent1 2" xfId="7"/>
    <cellStyle name="20% - Accent1 2 2" xfId="8"/>
    <cellStyle name="20% - Accent1 2 3" xfId="9"/>
    <cellStyle name="20% - Accent1 2 4" xfId="10"/>
    <cellStyle name="20% - Accent1 2 5" xfId="11"/>
    <cellStyle name="20% - Accent1 2 6" xfId="12"/>
    <cellStyle name="20% - Accent1 2 7" xfId="13"/>
    <cellStyle name="20% - Accent1 2 8" xfId="14"/>
    <cellStyle name="20% - Accent1 2 9" xfId="15"/>
    <cellStyle name="20% - Accent1 3" xfId="16"/>
    <cellStyle name="20% - Accent1 4" xfId="17"/>
    <cellStyle name="20% - Accent1 5" xfId="18"/>
    <cellStyle name="20% - Accent1 6" xfId="19"/>
    <cellStyle name="20% - Accent1 7" xfId="20"/>
    <cellStyle name="20% - Accent1 8" xfId="21"/>
    <cellStyle name="20% - Accent1 9" xfId="22"/>
    <cellStyle name="20% - Accent2 10" xfId="23"/>
    <cellStyle name="20% - Accent2 11" xfId="24"/>
    <cellStyle name="20% - Accent2 12" xfId="25"/>
    <cellStyle name="20% - Accent2 13" xfId="26"/>
    <cellStyle name="20% - Accent2 2" xfId="27"/>
    <cellStyle name="20% - Accent2 2 2" xfId="28"/>
    <cellStyle name="20% - Accent2 2 3" xfId="29"/>
    <cellStyle name="20% - Accent2 2 4" xfId="30"/>
    <cellStyle name="20% - Accent2 2 5" xfId="31"/>
    <cellStyle name="20% - Accent2 2 6" xfId="32"/>
    <cellStyle name="20% - Accent2 2 7" xfId="33"/>
    <cellStyle name="20% - Accent2 2 8" xfId="34"/>
    <cellStyle name="20% - Accent2 2 9" xfId="35"/>
    <cellStyle name="20% - Accent2 3" xfId="36"/>
    <cellStyle name="20% - Accent2 4" xfId="37"/>
    <cellStyle name="20% - Accent2 5" xfId="38"/>
    <cellStyle name="20% - Accent2 6" xfId="39"/>
    <cellStyle name="20% - Accent2 7" xfId="40"/>
    <cellStyle name="20% - Accent2 8" xfId="41"/>
    <cellStyle name="20% - Accent2 9" xfId="42"/>
    <cellStyle name="20% - Accent3 10" xfId="43"/>
    <cellStyle name="20% - Accent3 11" xfId="44"/>
    <cellStyle name="20% - Accent3 12" xfId="45"/>
    <cellStyle name="20% - Accent3 13" xfId="46"/>
    <cellStyle name="20% - Accent3 2" xfId="47"/>
    <cellStyle name="20% - Accent3 2 2" xfId="48"/>
    <cellStyle name="20% - Accent3 2 3" xfId="49"/>
    <cellStyle name="20% - Accent3 2 4" xfId="50"/>
    <cellStyle name="20% - Accent3 2 5" xfId="51"/>
    <cellStyle name="20% - Accent3 2 6" xfId="52"/>
    <cellStyle name="20% - Accent3 2 7" xfId="53"/>
    <cellStyle name="20% - Accent3 2 8" xfId="54"/>
    <cellStyle name="20% - Accent3 2 9" xfId="55"/>
    <cellStyle name="20% - Accent3 3" xfId="56"/>
    <cellStyle name="20% - Accent3 4" xfId="57"/>
    <cellStyle name="20% - Accent3 5" xfId="58"/>
    <cellStyle name="20% - Accent3 6" xfId="59"/>
    <cellStyle name="20% - Accent3 7" xfId="60"/>
    <cellStyle name="20% - Accent3 8" xfId="61"/>
    <cellStyle name="20% - Accent3 9" xfId="62"/>
    <cellStyle name="20% - Accent4 10" xfId="63"/>
    <cellStyle name="20% - Accent4 11" xfId="64"/>
    <cellStyle name="20% - Accent4 12" xfId="65"/>
    <cellStyle name="20% - Accent4 13" xfId="66"/>
    <cellStyle name="20% - Accent4 2" xfId="67"/>
    <cellStyle name="20% - Accent4 2 2" xfId="68"/>
    <cellStyle name="20% - Accent4 2 3" xfId="69"/>
    <cellStyle name="20% - Accent4 2 4" xfId="70"/>
    <cellStyle name="20% - Accent4 2 5" xfId="71"/>
    <cellStyle name="20% - Accent4 2 6" xfId="72"/>
    <cellStyle name="20% - Accent4 2 7" xfId="73"/>
    <cellStyle name="20% - Accent4 2 8" xfId="74"/>
    <cellStyle name="20% - Accent4 2 9" xfId="75"/>
    <cellStyle name="20% - Accent4 3" xfId="76"/>
    <cellStyle name="20% - Accent4 4" xfId="77"/>
    <cellStyle name="20% - Accent4 5" xfId="78"/>
    <cellStyle name="20% - Accent4 6" xfId="79"/>
    <cellStyle name="20% - Accent4 7" xfId="80"/>
    <cellStyle name="20% - Accent4 8" xfId="81"/>
    <cellStyle name="20% - Accent4 9" xfId="82"/>
    <cellStyle name="20% - Accent5 10" xfId="83"/>
    <cellStyle name="20% - Accent5 11" xfId="84"/>
    <cellStyle name="20% - Accent5 12" xfId="85"/>
    <cellStyle name="20% - Accent5 13" xfId="86"/>
    <cellStyle name="20% - Accent5 2" xfId="87"/>
    <cellStyle name="20% - Accent5 2 2" xfId="88"/>
    <cellStyle name="20% - Accent5 2 3" xfId="89"/>
    <cellStyle name="20% - Accent5 2 4" xfId="90"/>
    <cellStyle name="20% - Accent5 2 5" xfId="91"/>
    <cellStyle name="20% - Accent5 2 6" xfId="92"/>
    <cellStyle name="20% - Accent5 2 7" xfId="93"/>
    <cellStyle name="20% - Accent5 2 8" xfId="94"/>
    <cellStyle name="20% - Accent5 2 9" xfId="95"/>
    <cellStyle name="20% - Accent5 3" xfId="96"/>
    <cellStyle name="20% - Accent5 4" xfId="97"/>
    <cellStyle name="20% - Accent5 5" xfId="98"/>
    <cellStyle name="20% - Accent5 6" xfId="99"/>
    <cellStyle name="20% - Accent5 7" xfId="100"/>
    <cellStyle name="20% - Accent5 8" xfId="101"/>
    <cellStyle name="20% - Accent5 9" xfId="102"/>
    <cellStyle name="20% - Accent6 10" xfId="103"/>
    <cellStyle name="20% - Accent6 11" xfId="104"/>
    <cellStyle name="20% - Accent6 12" xfId="105"/>
    <cellStyle name="20% - Accent6 13" xfId="106"/>
    <cellStyle name="20% - Accent6 2" xfId="107"/>
    <cellStyle name="20% - Accent6 2 2" xfId="108"/>
    <cellStyle name="20% - Accent6 2 3" xfId="109"/>
    <cellStyle name="20% - Accent6 2 4" xfId="110"/>
    <cellStyle name="20% - Accent6 2 5" xfId="111"/>
    <cellStyle name="20% - Accent6 2 6" xfId="112"/>
    <cellStyle name="20% - Accent6 2 7" xfId="113"/>
    <cellStyle name="20% - Accent6 2 8" xfId="114"/>
    <cellStyle name="20% - Accent6 2 9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40% - Accent1 10" xfId="123"/>
    <cellStyle name="40% - Accent1 11" xfId="124"/>
    <cellStyle name="40% - Accent1 12" xfId="125"/>
    <cellStyle name="40% - Accent1 13" xfId="126"/>
    <cellStyle name="40% - Accent1 2" xfId="127"/>
    <cellStyle name="40% - Accent1 2 2" xfId="128"/>
    <cellStyle name="40% - Accent1 2 3" xfId="129"/>
    <cellStyle name="40% - Accent1 2 4" xfId="130"/>
    <cellStyle name="40% - Accent1 2 5" xfId="131"/>
    <cellStyle name="40% - Accent1 2 6" xfId="132"/>
    <cellStyle name="40% - Accent1 2 7" xfId="133"/>
    <cellStyle name="40% - Accent1 2 8" xfId="134"/>
    <cellStyle name="40% - Accent1 2 9" xfId="135"/>
    <cellStyle name="40% - Accent1 3" xfId="136"/>
    <cellStyle name="40% - Accent1 4" xfId="137"/>
    <cellStyle name="40% - Accent1 5" xfId="138"/>
    <cellStyle name="40% - Accent1 6" xfId="139"/>
    <cellStyle name="40% - Accent1 7" xfId="140"/>
    <cellStyle name="40% - Accent1 8" xfId="141"/>
    <cellStyle name="40% - Accent1 9" xfId="142"/>
    <cellStyle name="40% - Accent2 10" xfId="143"/>
    <cellStyle name="40% - Accent2 11" xfId="144"/>
    <cellStyle name="40% - Accent2 12" xfId="145"/>
    <cellStyle name="40% - Accent2 13" xfId="146"/>
    <cellStyle name="40% - Accent2 2" xfId="147"/>
    <cellStyle name="40% - Accent2 2 2" xfId="148"/>
    <cellStyle name="40% - Accent2 2 3" xfId="149"/>
    <cellStyle name="40% - Accent2 2 4" xfId="150"/>
    <cellStyle name="40% - Accent2 2 5" xfId="151"/>
    <cellStyle name="40% - Accent2 2 6" xfId="152"/>
    <cellStyle name="40% - Accent2 2 7" xfId="153"/>
    <cellStyle name="40% - Accent2 2 8" xfId="154"/>
    <cellStyle name="40% - Accent2 2 9" xfId="155"/>
    <cellStyle name="40% - Accent2 3" xfId="156"/>
    <cellStyle name="40% - Accent2 4" xfId="157"/>
    <cellStyle name="40% - Accent2 5" xfId="158"/>
    <cellStyle name="40% - Accent2 6" xfId="159"/>
    <cellStyle name="40% - Accent2 7" xfId="160"/>
    <cellStyle name="40% - Accent2 8" xfId="161"/>
    <cellStyle name="40% - Accent2 9" xfId="162"/>
    <cellStyle name="40% - Accent3 10" xfId="163"/>
    <cellStyle name="40% - Accent3 11" xfId="164"/>
    <cellStyle name="40% - Accent3 12" xfId="165"/>
    <cellStyle name="40% - Accent3 13" xfId="166"/>
    <cellStyle name="40% - Accent3 2" xfId="167"/>
    <cellStyle name="40% - Accent3 2 2" xfId="168"/>
    <cellStyle name="40% - Accent3 2 3" xfId="169"/>
    <cellStyle name="40% - Accent3 2 4" xfId="170"/>
    <cellStyle name="40% - Accent3 2 5" xfId="171"/>
    <cellStyle name="40% - Accent3 2 6" xfId="172"/>
    <cellStyle name="40% - Accent3 2 7" xfId="173"/>
    <cellStyle name="40% - Accent3 2 8" xfId="174"/>
    <cellStyle name="40% - Accent3 2 9" xfId="175"/>
    <cellStyle name="40% - Accent3 3" xfId="176"/>
    <cellStyle name="40% - Accent3 4" xfId="177"/>
    <cellStyle name="40% - Accent3 5" xfId="178"/>
    <cellStyle name="40% - Accent3 6" xfId="179"/>
    <cellStyle name="40% - Accent3 7" xfId="180"/>
    <cellStyle name="40% - Accent3 8" xfId="181"/>
    <cellStyle name="40% - Accent3 9" xfId="182"/>
    <cellStyle name="40% - Accent4 10" xfId="183"/>
    <cellStyle name="40% - Accent4 11" xfId="184"/>
    <cellStyle name="40% - Accent4 12" xfId="185"/>
    <cellStyle name="40% - Accent4 13" xfId="186"/>
    <cellStyle name="40% - Accent4 2" xfId="187"/>
    <cellStyle name="40% - Accent4 2 2" xfId="188"/>
    <cellStyle name="40% - Accent4 2 3" xfId="189"/>
    <cellStyle name="40% - Accent4 2 4" xfId="190"/>
    <cellStyle name="40% - Accent4 2 5" xfId="191"/>
    <cellStyle name="40% - Accent4 2 6" xfId="192"/>
    <cellStyle name="40% - Accent4 2 7" xfId="193"/>
    <cellStyle name="40% - Accent4 2 8" xfId="194"/>
    <cellStyle name="40% - Accent4 2 9" xfId="195"/>
    <cellStyle name="40% - Accent4 3" xfId="196"/>
    <cellStyle name="40% - Accent4 4" xfId="197"/>
    <cellStyle name="40% - Accent4 5" xfId="198"/>
    <cellStyle name="40% - Accent4 6" xfId="199"/>
    <cellStyle name="40% - Accent4 7" xfId="200"/>
    <cellStyle name="40% - Accent4 8" xfId="201"/>
    <cellStyle name="40% - Accent4 9" xfId="202"/>
    <cellStyle name="40% - Accent5 10" xfId="203"/>
    <cellStyle name="40% - Accent5 11" xfId="204"/>
    <cellStyle name="40% - Accent5 12" xfId="205"/>
    <cellStyle name="40% - Accent5 13" xfId="206"/>
    <cellStyle name="40% - Accent5 2" xfId="207"/>
    <cellStyle name="40% - Accent5 2 2" xfId="208"/>
    <cellStyle name="40% - Accent5 2 3" xfId="209"/>
    <cellStyle name="40% - Accent5 2 4" xfId="210"/>
    <cellStyle name="40% - Accent5 2 5" xfId="211"/>
    <cellStyle name="40% - Accent5 2 6" xfId="212"/>
    <cellStyle name="40% - Accent5 2 7" xfId="213"/>
    <cellStyle name="40% - Accent5 2 8" xfId="214"/>
    <cellStyle name="40% - Accent5 2 9" xfId="215"/>
    <cellStyle name="40% - Accent5 3" xfId="216"/>
    <cellStyle name="40% - Accent5 4" xfId="217"/>
    <cellStyle name="40% - Accent5 5" xfId="218"/>
    <cellStyle name="40% - Accent5 6" xfId="219"/>
    <cellStyle name="40% - Accent5 7" xfId="220"/>
    <cellStyle name="40% - Accent5 8" xfId="221"/>
    <cellStyle name="40% - Accent5 9" xfId="222"/>
    <cellStyle name="40% - Accent6 10" xfId="223"/>
    <cellStyle name="40% - Accent6 11" xfId="224"/>
    <cellStyle name="40% - Accent6 12" xfId="225"/>
    <cellStyle name="40% - Accent6 13" xfId="226"/>
    <cellStyle name="40% - Accent6 2" xfId="227"/>
    <cellStyle name="40% - Accent6 2 2" xfId="228"/>
    <cellStyle name="40% - Accent6 2 3" xfId="229"/>
    <cellStyle name="40% - Accent6 2 4" xfId="230"/>
    <cellStyle name="40% - Accent6 2 5" xfId="231"/>
    <cellStyle name="40% - Accent6 2 6" xfId="232"/>
    <cellStyle name="40% - Accent6 2 7" xfId="233"/>
    <cellStyle name="40% - Accent6 2 8" xfId="234"/>
    <cellStyle name="40% - Accent6 2 9" xfId="235"/>
    <cellStyle name="40% - Accent6 3" xfId="236"/>
    <cellStyle name="40% - Accent6 4" xfId="237"/>
    <cellStyle name="40% - Accent6 5" xfId="238"/>
    <cellStyle name="40% - Accent6 6" xfId="239"/>
    <cellStyle name="40% - Accent6 7" xfId="240"/>
    <cellStyle name="40% - Accent6 8" xfId="241"/>
    <cellStyle name="40% - Accent6 9" xfId="242"/>
    <cellStyle name="60% - Accent1 2" xfId="625"/>
    <cellStyle name="60% - Accent2 2" xfId="626"/>
    <cellStyle name="60% - Accent3 2" xfId="627"/>
    <cellStyle name="60% - Accent4 2" xfId="628"/>
    <cellStyle name="60% - Accent5 2" xfId="629"/>
    <cellStyle name="60% - Accent6 2" xfId="630"/>
    <cellStyle name="Accent1 - 20%" xfId="631"/>
    <cellStyle name="Accent1 - 40%" xfId="632"/>
    <cellStyle name="Accent1 - 60%" xfId="633"/>
    <cellStyle name="Accent1 2" xfId="634"/>
    <cellStyle name="Accent2 - 20%" xfId="635"/>
    <cellStyle name="Accent2 - 40%" xfId="636"/>
    <cellStyle name="Accent2 - 60%" xfId="637"/>
    <cellStyle name="Accent2 2" xfId="638"/>
    <cellStyle name="Accent3 - 20%" xfId="639"/>
    <cellStyle name="Accent3 - 40%" xfId="640"/>
    <cellStyle name="Accent3 - 60%" xfId="641"/>
    <cellStyle name="Accent3 2" xfId="642"/>
    <cellStyle name="Accent4 - 20%" xfId="643"/>
    <cellStyle name="Accent4 - 40%" xfId="644"/>
    <cellStyle name="Accent4 - 60%" xfId="645"/>
    <cellStyle name="Accent4 2" xfId="646"/>
    <cellStyle name="Accent5 - 20%" xfId="647"/>
    <cellStyle name="Accent5 - 40%" xfId="648"/>
    <cellStyle name="Accent5 - 60%" xfId="649"/>
    <cellStyle name="Accent5 2" xfId="650"/>
    <cellStyle name="Accent6 - 20%" xfId="651"/>
    <cellStyle name="Accent6 - 40%" xfId="652"/>
    <cellStyle name="Accent6 - 60%" xfId="653"/>
    <cellStyle name="Accent6 2" xfId="654"/>
    <cellStyle name="ar" xfId="655"/>
    <cellStyle name="ar 2" xfId="656"/>
    <cellStyle name="ar 2 2" xfId="1229"/>
    <cellStyle name="ar 3" xfId="657"/>
    <cellStyle name="ar 3 2" xfId="1230"/>
    <cellStyle name="ar 4" xfId="1228"/>
    <cellStyle name="Bad 2" xfId="658"/>
    <cellStyle name="Body" xfId="659"/>
    <cellStyle name="Brand Align Left Text" xfId="660"/>
    <cellStyle name="Brand Default" xfId="661"/>
    <cellStyle name="Brand Default 10" xfId="662"/>
    <cellStyle name="Brand Default 11" xfId="663"/>
    <cellStyle name="Brand Default 12" xfId="664"/>
    <cellStyle name="Brand Default 13" xfId="665"/>
    <cellStyle name="Brand Default 14" xfId="666"/>
    <cellStyle name="Brand Default 15" xfId="667"/>
    <cellStyle name="Brand Default 16" xfId="668"/>
    <cellStyle name="Brand Default 17" xfId="669"/>
    <cellStyle name="Brand Default 18" xfId="670"/>
    <cellStyle name="Brand Default 19" xfId="671"/>
    <cellStyle name="Brand Default 2" xfId="672"/>
    <cellStyle name="Brand Default 2 10" xfId="673"/>
    <cellStyle name="Brand Default 2 11" xfId="674"/>
    <cellStyle name="Brand Default 2 12" xfId="675"/>
    <cellStyle name="Brand Default 2 13" xfId="676"/>
    <cellStyle name="Brand Default 2 14" xfId="677"/>
    <cellStyle name="Brand Default 2 15" xfId="678"/>
    <cellStyle name="Brand Default 2 16" xfId="679"/>
    <cellStyle name="Brand Default 2 17" xfId="680"/>
    <cellStyle name="Brand Default 2 18" xfId="681"/>
    <cellStyle name="Brand Default 2 19" xfId="682"/>
    <cellStyle name="Brand Default 2 2" xfId="683"/>
    <cellStyle name="Brand Default 2 20" xfId="684"/>
    <cellStyle name="Brand Default 2 21" xfId="685"/>
    <cellStyle name="Brand Default 2 22" xfId="686"/>
    <cellStyle name="Brand Default 2 23" xfId="687"/>
    <cellStyle name="Brand Default 2 24" xfId="688"/>
    <cellStyle name="Brand Default 2 25" xfId="689"/>
    <cellStyle name="Brand Default 2 26" xfId="690"/>
    <cellStyle name="Brand Default 2 27" xfId="691"/>
    <cellStyle name="Brand Default 2 28" xfId="692"/>
    <cellStyle name="Brand Default 2 29" xfId="693"/>
    <cellStyle name="Brand Default 2 3" xfId="694"/>
    <cellStyle name="Brand Default 2 30" xfId="695"/>
    <cellStyle name="Brand Default 2 31" xfId="696"/>
    <cellStyle name="Brand Default 2 4" xfId="697"/>
    <cellStyle name="Brand Default 2 5" xfId="698"/>
    <cellStyle name="Brand Default 2 6" xfId="699"/>
    <cellStyle name="Brand Default 2 7" xfId="700"/>
    <cellStyle name="Brand Default 2 8" xfId="701"/>
    <cellStyle name="Brand Default 2 9" xfId="702"/>
    <cellStyle name="Brand Default 20" xfId="703"/>
    <cellStyle name="Brand Default 21" xfId="704"/>
    <cellStyle name="Brand Default 22" xfId="705"/>
    <cellStyle name="Brand Default 23" xfId="706"/>
    <cellStyle name="Brand Default 24" xfId="707"/>
    <cellStyle name="Brand Default 25" xfId="708"/>
    <cellStyle name="Brand Default 26" xfId="709"/>
    <cellStyle name="Brand Default 27" xfId="710"/>
    <cellStyle name="Brand Default 28" xfId="711"/>
    <cellStyle name="Brand Default 29" xfId="712"/>
    <cellStyle name="Brand Default 3" xfId="713"/>
    <cellStyle name="Brand Default 3 10" xfId="714"/>
    <cellStyle name="Brand Default 3 11" xfId="715"/>
    <cellStyle name="Brand Default 3 12" xfId="716"/>
    <cellStyle name="Brand Default 3 13" xfId="717"/>
    <cellStyle name="Brand Default 3 14" xfId="718"/>
    <cellStyle name="Brand Default 3 15" xfId="719"/>
    <cellStyle name="Brand Default 3 16" xfId="720"/>
    <cellStyle name="Brand Default 3 17" xfId="721"/>
    <cellStyle name="Brand Default 3 18" xfId="722"/>
    <cellStyle name="Brand Default 3 19" xfId="723"/>
    <cellStyle name="Brand Default 3 2" xfId="724"/>
    <cellStyle name="Brand Default 3 20" xfId="725"/>
    <cellStyle name="Brand Default 3 21" xfId="726"/>
    <cellStyle name="Brand Default 3 22" xfId="727"/>
    <cellStyle name="Brand Default 3 23" xfId="728"/>
    <cellStyle name="Brand Default 3 24" xfId="729"/>
    <cellStyle name="Brand Default 3 25" xfId="730"/>
    <cellStyle name="Brand Default 3 26" xfId="731"/>
    <cellStyle name="Brand Default 3 27" xfId="732"/>
    <cellStyle name="Brand Default 3 28" xfId="733"/>
    <cellStyle name="Brand Default 3 29" xfId="734"/>
    <cellStyle name="Brand Default 3 3" xfId="735"/>
    <cellStyle name="Brand Default 3 30" xfId="736"/>
    <cellStyle name="Brand Default 3 31" xfId="737"/>
    <cellStyle name="Brand Default 3 4" xfId="738"/>
    <cellStyle name="Brand Default 3 5" xfId="739"/>
    <cellStyle name="Brand Default 3 6" xfId="740"/>
    <cellStyle name="Brand Default 3 7" xfId="741"/>
    <cellStyle name="Brand Default 3 8" xfId="742"/>
    <cellStyle name="Brand Default 3 9" xfId="743"/>
    <cellStyle name="Brand Default 30" xfId="744"/>
    <cellStyle name="Brand Default 31" xfId="745"/>
    <cellStyle name="Brand Default 32" xfId="746"/>
    <cellStyle name="Brand Default 33" xfId="747"/>
    <cellStyle name="Brand Default 34" xfId="748"/>
    <cellStyle name="Brand Default 35" xfId="749"/>
    <cellStyle name="Brand Default 4" xfId="750"/>
    <cellStyle name="Brand Default 4 10" xfId="751"/>
    <cellStyle name="Brand Default 4 11" xfId="752"/>
    <cellStyle name="Brand Default 4 12" xfId="753"/>
    <cellStyle name="Brand Default 4 13" xfId="754"/>
    <cellStyle name="Brand Default 4 14" xfId="755"/>
    <cellStyle name="Brand Default 4 15" xfId="756"/>
    <cellStyle name="Brand Default 4 16" xfId="757"/>
    <cellStyle name="Brand Default 4 17" xfId="758"/>
    <cellStyle name="Brand Default 4 18" xfId="759"/>
    <cellStyle name="Brand Default 4 19" xfId="760"/>
    <cellStyle name="Brand Default 4 2" xfId="761"/>
    <cellStyle name="Brand Default 4 20" xfId="762"/>
    <cellStyle name="Brand Default 4 21" xfId="763"/>
    <cellStyle name="Brand Default 4 22" xfId="764"/>
    <cellStyle name="Brand Default 4 23" xfId="765"/>
    <cellStyle name="Brand Default 4 24" xfId="766"/>
    <cellStyle name="Brand Default 4 25" xfId="767"/>
    <cellStyle name="Brand Default 4 26" xfId="768"/>
    <cellStyle name="Brand Default 4 27" xfId="769"/>
    <cellStyle name="Brand Default 4 28" xfId="770"/>
    <cellStyle name="Brand Default 4 29" xfId="771"/>
    <cellStyle name="Brand Default 4 3" xfId="772"/>
    <cellStyle name="Brand Default 4 30" xfId="773"/>
    <cellStyle name="Brand Default 4 31" xfId="774"/>
    <cellStyle name="Brand Default 4 4" xfId="775"/>
    <cellStyle name="Brand Default 4 5" xfId="776"/>
    <cellStyle name="Brand Default 4 6" xfId="777"/>
    <cellStyle name="Brand Default 4 7" xfId="778"/>
    <cellStyle name="Brand Default 4 8" xfId="779"/>
    <cellStyle name="Brand Default 4 9" xfId="780"/>
    <cellStyle name="Brand Default 5" xfId="781"/>
    <cellStyle name="Brand Default 5 10" xfId="782"/>
    <cellStyle name="Brand Default 5 11" xfId="783"/>
    <cellStyle name="Brand Default 5 12" xfId="784"/>
    <cellStyle name="Brand Default 5 13" xfId="785"/>
    <cellStyle name="Brand Default 5 14" xfId="786"/>
    <cellStyle name="Brand Default 5 15" xfId="787"/>
    <cellStyle name="Brand Default 5 16" xfId="788"/>
    <cellStyle name="Brand Default 5 17" xfId="789"/>
    <cellStyle name="Brand Default 5 18" xfId="790"/>
    <cellStyle name="Brand Default 5 19" xfId="791"/>
    <cellStyle name="Brand Default 5 2" xfId="792"/>
    <cellStyle name="Brand Default 5 20" xfId="793"/>
    <cellStyle name="Brand Default 5 21" xfId="794"/>
    <cellStyle name="Brand Default 5 22" xfId="795"/>
    <cellStyle name="Brand Default 5 23" xfId="796"/>
    <cellStyle name="Brand Default 5 24" xfId="797"/>
    <cellStyle name="Brand Default 5 25" xfId="798"/>
    <cellStyle name="Brand Default 5 26" xfId="799"/>
    <cellStyle name="Brand Default 5 27" xfId="800"/>
    <cellStyle name="Brand Default 5 28" xfId="801"/>
    <cellStyle name="Brand Default 5 29" xfId="802"/>
    <cellStyle name="Brand Default 5 3" xfId="803"/>
    <cellStyle name="Brand Default 5 30" xfId="804"/>
    <cellStyle name="Brand Default 5 31" xfId="805"/>
    <cellStyle name="Brand Default 5 4" xfId="806"/>
    <cellStyle name="Brand Default 5 5" xfId="807"/>
    <cellStyle name="Brand Default 5 6" xfId="808"/>
    <cellStyle name="Brand Default 5 7" xfId="809"/>
    <cellStyle name="Brand Default 5 8" xfId="810"/>
    <cellStyle name="Brand Default 5 9" xfId="811"/>
    <cellStyle name="Brand Default 6" xfId="812"/>
    <cellStyle name="Brand Default 7" xfId="813"/>
    <cellStyle name="Brand Default 8" xfId="814"/>
    <cellStyle name="Brand Default 9" xfId="815"/>
    <cellStyle name="Brand Default_Copy of RCCP_May(12th may2011)_PCP_final" xfId="816"/>
    <cellStyle name="Brand Percent" xfId="817"/>
    <cellStyle name="Brand Percent 10" xfId="818"/>
    <cellStyle name="Brand Percent 11" xfId="819"/>
    <cellStyle name="Brand Percent 12" xfId="820"/>
    <cellStyle name="Brand Percent 13" xfId="821"/>
    <cellStyle name="Brand Percent 14" xfId="822"/>
    <cellStyle name="Brand Percent 15" xfId="823"/>
    <cellStyle name="Brand Percent 16" xfId="824"/>
    <cellStyle name="Brand Percent 17" xfId="825"/>
    <cellStyle name="Brand Percent 18" xfId="826"/>
    <cellStyle name="Brand Percent 19" xfId="827"/>
    <cellStyle name="Brand Percent 2" xfId="828"/>
    <cellStyle name="Brand Percent 20" xfId="829"/>
    <cellStyle name="Brand Percent 21" xfId="830"/>
    <cellStyle name="Brand Percent 22" xfId="831"/>
    <cellStyle name="Brand Percent 23" xfId="832"/>
    <cellStyle name="Brand Percent 24" xfId="833"/>
    <cellStyle name="Brand Percent 25" xfId="834"/>
    <cellStyle name="Brand Percent 26" xfId="835"/>
    <cellStyle name="Brand Percent 27" xfId="836"/>
    <cellStyle name="Brand Percent 28" xfId="837"/>
    <cellStyle name="Brand Percent 29" xfId="838"/>
    <cellStyle name="Brand Percent 3" xfId="839"/>
    <cellStyle name="Brand Percent 30" xfId="840"/>
    <cellStyle name="Brand Percent 31" xfId="841"/>
    <cellStyle name="Brand Percent 4" xfId="842"/>
    <cellStyle name="Brand Percent 5" xfId="843"/>
    <cellStyle name="Brand Percent 6" xfId="844"/>
    <cellStyle name="Brand Percent 7" xfId="845"/>
    <cellStyle name="Brand Percent 8" xfId="846"/>
    <cellStyle name="Brand Percent 9" xfId="847"/>
    <cellStyle name="Brand Source" xfId="848"/>
    <cellStyle name="Brand Source 10" xfId="849"/>
    <cellStyle name="Brand Source 11" xfId="850"/>
    <cellStyle name="Brand Source 12" xfId="851"/>
    <cellStyle name="Brand Source 13" xfId="852"/>
    <cellStyle name="Brand Source 14" xfId="853"/>
    <cellStyle name="Brand Source 15" xfId="854"/>
    <cellStyle name="Brand Source 16" xfId="855"/>
    <cellStyle name="Brand Source 17" xfId="856"/>
    <cellStyle name="Brand Source 18" xfId="857"/>
    <cellStyle name="Brand Source 19" xfId="858"/>
    <cellStyle name="Brand Source 2" xfId="859"/>
    <cellStyle name="Brand Source 20" xfId="860"/>
    <cellStyle name="Brand Source 21" xfId="861"/>
    <cellStyle name="Brand Source 22" xfId="862"/>
    <cellStyle name="Brand Source 23" xfId="863"/>
    <cellStyle name="Brand Source 24" xfId="864"/>
    <cellStyle name="Brand Source 25" xfId="865"/>
    <cellStyle name="Brand Source 26" xfId="866"/>
    <cellStyle name="Brand Source 27" xfId="867"/>
    <cellStyle name="Brand Source 28" xfId="868"/>
    <cellStyle name="Brand Source 29" xfId="869"/>
    <cellStyle name="Brand Source 3" xfId="870"/>
    <cellStyle name="Brand Source 30" xfId="871"/>
    <cellStyle name="Brand Source 31" xfId="872"/>
    <cellStyle name="Brand Source 4" xfId="873"/>
    <cellStyle name="Brand Source 5" xfId="874"/>
    <cellStyle name="Brand Source 6" xfId="875"/>
    <cellStyle name="Brand Source 7" xfId="876"/>
    <cellStyle name="Brand Source 8" xfId="877"/>
    <cellStyle name="Brand Source 9" xfId="878"/>
    <cellStyle name="Brand Subtitle with Underline" xfId="879"/>
    <cellStyle name="Brand Subtitle without Underline" xfId="880"/>
    <cellStyle name="Brand Title" xfId="881"/>
    <cellStyle name="Calculation 2" xfId="882"/>
    <cellStyle name="Calculation 2 2" xfId="883"/>
    <cellStyle name="Calculation 2 3" xfId="884"/>
    <cellStyle name="cashflow" xfId="885"/>
    <cellStyle name="Check Cell 2" xfId="886"/>
    <cellStyle name="Comma" xfId="1" builtinId="3"/>
    <cellStyle name="Comma [0] 2" xfId="1241"/>
    <cellStyle name="Comma [0] 2 2" xfId="1242"/>
    <cellStyle name="Comma [0] 3" xfId="1243"/>
    <cellStyle name="Comma [0] 3 2" xfId="1244"/>
    <cellStyle name="Comma [0] 3 2 2" xfId="1245"/>
    <cellStyle name="Comma [0] 4" xfId="1246"/>
    <cellStyle name="Comma [0] 5" xfId="1247"/>
    <cellStyle name="Comma [0] 5 2" xfId="1248"/>
    <cellStyle name="Comma [0] 6" xfId="1249"/>
    <cellStyle name="Comma 10" xfId="887"/>
    <cellStyle name="Comma 11" xfId="888"/>
    <cellStyle name="Comma 11 2" xfId="1250"/>
    <cellStyle name="Comma 12" xfId="889"/>
    <cellStyle name="Comma 13" xfId="890"/>
    <cellStyle name="Comma 14" xfId="891"/>
    <cellStyle name="Comma 2" xfId="2"/>
    <cellStyle name="Comma 2 2" xfId="243"/>
    <cellStyle name="Comma 2 2 2" xfId="892"/>
    <cellStyle name="Comma 2 2 3" xfId="893"/>
    <cellStyle name="Comma 2 2 4" xfId="894"/>
    <cellStyle name="Comma 2 3" xfId="244"/>
    <cellStyle name="Comma 2 4" xfId="245"/>
    <cellStyle name="Comma 2 5" xfId="246"/>
    <cellStyle name="Comma 2 6" xfId="247"/>
    <cellStyle name="Comma 2 6 2" xfId="895"/>
    <cellStyle name="Comma 2 7" xfId="248"/>
    <cellStyle name="Comma 2 8" xfId="249"/>
    <cellStyle name="Comma 2 9" xfId="250"/>
    <cellStyle name="Comma 3" xfId="251"/>
    <cellStyle name="Comma 3 2" xfId="896"/>
    <cellStyle name="Comma 3 3" xfId="897"/>
    <cellStyle name="Comma 3 4" xfId="898"/>
    <cellStyle name="Comma 4" xfId="252"/>
    <cellStyle name="Comma 4 2" xfId="253"/>
    <cellStyle name="Comma 4 3" xfId="899"/>
    <cellStyle name="Comma 5" xfId="254"/>
    <cellStyle name="Comma 5 2" xfId="900"/>
    <cellStyle name="Comma 5 3" xfId="901"/>
    <cellStyle name="Comma 6" xfId="384"/>
    <cellStyle name="Comma 6 2" xfId="903"/>
    <cellStyle name="Comma 6 3" xfId="904"/>
    <cellStyle name="Comma 6 4" xfId="902"/>
    <cellStyle name="Comma 7" xfId="905"/>
    <cellStyle name="Comma 7 2" xfId="906"/>
    <cellStyle name="Comma 7 3" xfId="907"/>
    <cellStyle name="Comma 8" xfId="908"/>
    <cellStyle name="Comma 89" xfId="1262"/>
    <cellStyle name="Comma 9" xfId="909"/>
    <cellStyle name="Comma 9 2" xfId="910"/>
    <cellStyle name="Currency" xfId="1238" builtinId="4"/>
    <cellStyle name="Currency [0] 2" xfId="1251"/>
    <cellStyle name="Currency [0] 3" xfId="1252"/>
    <cellStyle name="Currency 2" xfId="911"/>
    <cellStyle name="Currency 2 2" xfId="912"/>
    <cellStyle name="Currency 3" xfId="1253"/>
    <cellStyle name="Currency 4" xfId="1254"/>
    <cellStyle name="Currency 4 2" xfId="1255"/>
    <cellStyle name="Currency 5" xfId="1256"/>
    <cellStyle name="Custom - Style8" xfId="913"/>
    <cellStyle name="Data   - Style2" xfId="914"/>
    <cellStyle name="Data   - Style2 2" xfId="915"/>
    <cellStyle name="Data   - Style2 3" xfId="916"/>
    <cellStyle name="Define your own named style" xfId="917"/>
    <cellStyle name="Draw lines around data in range" xfId="918"/>
    <cellStyle name="Draw lines around data in range 2" xfId="919"/>
    <cellStyle name="Draw lines around data in range 3" xfId="920"/>
    <cellStyle name="Draw shadow and lines within range" xfId="921"/>
    <cellStyle name="Draw shadow and lines within range 2" xfId="922"/>
    <cellStyle name="Draw shadow and lines within range 3" xfId="923"/>
    <cellStyle name="Emphasis 1" xfId="924"/>
    <cellStyle name="Emphasis 2" xfId="925"/>
    <cellStyle name="Emphasis 3" xfId="926"/>
    <cellStyle name="Enlarge title text, yellow on blue" xfId="927"/>
    <cellStyle name="Excel Built-in Normal" xfId="1257"/>
    <cellStyle name="Explanatory Text 2" xfId="928"/>
    <cellStyle name="Format a column of totals" xfId="929"/>
    <cellStyle name="Format a row of totals" xfId="930"/>
    <cellStyle name="Format a row of totals 2" xfId="931"/>
    <cellStyle name="Format a row of totals 3" xfId="932"/>
    <cellStyle name="Format text as bold, black on yellow" xfId="933"/>
    <cellStyle name="Format text as bold, black on yellow 2" xfId="934"/>
    <cellStyle name="Format text as bold, black on yellow 3" xfId="935"/>
    <cellStyle name="FRxAmtStyle" xfId="936"/>
    <cellStyle name="Good 2" xfId="937"/>
    <cellStyle name="Header1" xfId="938"/>
    <cellStyle name="Header2" xfId="939"/>
    <cellStyle name="Header2 2" xfId="1231"/>
    <cellStyle name="Heading 1 2" xfId="940"/>
    <cellStyle name="Heading 2 2" xfId="941"/>
    <cellStyle name="Heading 3 2" xfId="942"/>
    <cellStyle name="Heading 4 2" xfId="943"/>
    <cellStyle name="Hyperlink 2" xfId="944"/>
    <cellStyle name="Input 2" xfId="945"/>
    <cellStyle name="Input 2 2" xfId="946"/>
    <cellStyle name="Input 2 3" xfId="947"/>
    <cellStyle name="Labels - Style3" xfId="948"/>
    <cellStyle name="Labels - Style3 2" xfId="949"/>
    <cellStyle name="Labels - Style3 3" xfId="950"/>
    <cellStyle name="Linked Cell 2" xfId="951"/>
    <cellStyle name="Neutral 2" xfId="952"/>
    <cellStyle name="no dec" xfId="953"/>
    <cellStyle name="Normal" xfId="0" builtinId="0"/>
    <cellStyle name="Normal - Style1" xfId="954"/>
    <cellStyle name="Normal 10" xfId="255"/>
    <cellStyle name="Normal 11" xfId="256"/>
    <cellStyle name="Normal 12" xfId="257"/>
    <cellStyle name="Normal 13" xfId="258"/>
    <cellStyle name="Normal 14" xfId="955"/>
    <cellStyle name="Normal 15" xfId="259"/>
    <cellStyle name="Normal 16" xfId="956"/>
    <cellStyle name="Normal 17" xfId="957"/>
    <cellStyle name="Normal 18" xfId="958"/>
    <cellStyle name="Normal 19" xfId="959"/>
    <cellStyle name="Normal 2" xfId="260"/>
    <cellStyle name="Normal 2 10" xfId="960"/>
    <cellStyle name="Normal 2 11" xfId="961"/>
    <cellStyle name="Normal 2 12" xfId="962"/>
    <cellStyle name="Normal 2 13" xfId="963"/>
    <cellStyle name="Normal 2 14" xfId="964"/>
    <cellStyle name="Normal 2 15" xfId="965"/>
    <cellStyle name="Normal 2 16" xfId="966"/>
    <cellStyle name="Normal 2 17" xfId="967"/>
    <cellStyle name="Normal 2 18" xfId="968"/>
    <cellStyle name="Normal 2 19" xfId="969"/>
    <cellStyle name="Normal 2 2" xfId="261"/>
    <cellStyle name="Normal 2 2 10" xfId="262"/>
    <cellStyle name="Normal 2 2 11" xfId="970"/>
    <cellStyle name="Normal 2 2 12" xfId="971"/>
    <cellStyle name="Normal 2 2 13" xfId="972"/>
    <cellStyle name="Normal 2 2 14" xfId="973"/>
    <cellStyle name="Normal 2 2 15" xfId="974"/>
    <cellStyle name="Normal 2 2 16" xfId="975"/>
    <cellStyle name="Normal 2 2 17" xfId="976"/>
    <cellStyle name="Normal 2 2 18" xfId="977"/>
    <cellStyle name="Normal 2 2 19" xfId="978"/>
    <cellStyle name="Normal 2 2 2" xfId="263"/>
    <cellStyle name="Normal 2 2 2 10" xfId="979"/>
    <cellStyle name="Normal 2 2 2 11" xfId="980"/>
    <cellStyle name="Normal 2 2 2 12" xfId="981"/>
    <cellStyle name="Normal 2 2 2 13" xfId="982"/>
    <cellStyle name="Normal 2 2 2 14" xfId="983"/>
    <cellStyle name="Normal 2 2 2 15" xfId="984"/>
    <cellStyle name="Normal 2 2 2 16" xfId="985"/>
    <cellStyle name="Normal 2 2 2 17" xfId="986"/>
    <cellStyle name="Normal 2 2 2 18" xfId="987"/>
    <cellStyle name="Normal 2 2 2 19" xfId="988"/>
    <cellStyle name="Normal 2 2 2 2" xfId="264"/>
    <cellStyle name="Normal 2 2 2 20" xfId="989"/>
    <cellStyle name="Normal 2 2 2 21" xfId="990"/>
    <cellStyle name="Normal 2 2 2 22" xfId="991"/>
    <cellStyle name="Normal 2 2 2 23" xfId="992"/>
    <cellStyle name="Normal 2 2 2 24" xfId="993"/>
    <cellStyle name="Normal 2 2 2 25" xfId="994"/>
    <cellStyle name="Normal 2 2 2 26" xfId="995"/>
    <cellStyle name="Normal 2 2 2 27" xfId="996"/>
    <cellStyle name="Normal 2 2 2 28" xfId="997"/>
    <cellStyle name="Normal 2 2 2 29" xfId="998"/>
    <cellStyle name="Normal 2 2 2 3" xfId="265"/>
    <cellStyle name="Normal 2 2 2 30" xfId="999"/>
    <cellStyle name="Normal 2 2 2 31" xfId="1000"/>
    <cellStyle name="Normal 2 2 2 4" xfId="266"/>
    <cellStyle name="Normal 2 2 2 5" xfId="267"/>
    <cellStyle name="Normal 2 2 2 6" xfId="268"/>
    <cellStyle name="Normal 2 2 2 7" xfId="269"/>
    <cellStyle name="Normal 2 2 2 8" xfId="270"/>
    <cellStyle name="Normal 2 2 2 9" xfId="271"/>
    <cellStyle name="Normal 2 2 20" xfId="1001"/>
    <cellStyle name="Normal 2 2 21" xfId="1002"/>
    <cellStyle name="Normal 2 2 22" xfId="1003"/>
    <cellStyle name="Normal 2 2 23" xfId="1004"/>
    <cellStyle name="Normal 2 2 24" xfId="1005"/>
    <cellStyle name="Normal 2 2 25" xfId="1006"/>
    <cellStyle name="Normal 2 2 26" xfId="1007"/>
    <cellStyle name="Normal 2 2 27" xfId="1008"/>
    <cellStyle name="Normal 2 2 28" xfId="1009"/>
    <cellStyle name="Normal 2 2 29" xfId="1010"/>
    <cellStyle name="Normal 2 2 3" xfId="272"/>
    <cellStyle name="Normal 2 2 30" xfId="1011"/>
    <cellStyle name="Normal 2 2 31" xfId="1012"/>
    <cellStyle name="Normal 2 2 32" xfId="1013"/>
    <cellStyle name="Normal 2 2 4" xfId="273"/>
    <cellStyle name="Normal 2 2 5" xfId="274"/>
    <cellStyle name="Normal 2 2 6" xfId="275"/>
    <cellStyle name="Normal 2 2 7" xfId="276"/>
    <cellStyle name="Normal 2 2 8" xfId="277"/>
    <cellStyle name="Normal 2 2 9" xfId="278"/>
    <cellStyle name="Normal 2 20" xfId="1014"/>
    <cellStyle name="Normal 2 21" xfId="1015"/>
    <cellStyle name="Normal 2 22" xfId="1016"/>
    <cellStyle name="Normal 2 23" xfId="1017"/>
    <cellStyle name="Normal 2 24" xfId="1018"/>
    <cellStyle name="Normal 2 25" xfId="1019"/>
    <cellStyle name="Normal 2 26" xfId="1020"/>
    <cellStyle name="Normal 2 27" xfId="1021"/>
    <cellStyle name="Normal 2 28" xfId="1022"/>
    <cellStyle name="Normal 2 29" xfId="1023"/>
    <cellStyle name="Normal 2 3" xfId="279"/>
    <cellStyle name="Normal 2 30" xfId="1024"/>
    <cellStyle name="Normal 2 31" xfId="1025"/>
    <cellStyle name="Normal 2 32" xfId="1026"/>
    <cellStyle name="Normal 2 33" xfId="1027"/>
    <cellStyle name="Normal 2 34" xfId="1239"/>
    <cellStyle name="Normal 2 4" xfId="280"/>
    <cellStyle name="Normal 2 5" xfId="281"/>
    <cellStyle name="Normal 2 6" xfId="1028"/>
    <cellStyle name="Normal 2 7" xfId="1029"/>
    <cellStyle name="Normal 2 8" xfId="1030"/>
    <cellStyle name="Normal 2 9" xfId="1031"/>
    <cellStyle name="Normal 2_BUDGET 2010  (2)" xfId="1258"/>
    <cellStyle name="Normal 20" xfId="1032"/>
    <cellStyle name="Normal 21" xfId="1033"/>
    <cellStyle name="Normal 22" xfId="1034"/>
    <cellStyle name="Normal 23" xfId="1035"/>
    <cellStyle name="Normal 24" xfId="1036"/>
    <cellStyle name="Normal 25" xfId="1037"/>
    <cellStyle name="Normal 26" xfId="1038"/>
    <cellStyle name="Normal 27" xfId="1039"/>
    <cellStyle name="Normal 28" xfId="1040"/>
    <cellStyle name="Normal 29" xfId="1041"/>
    <cellStyle name="Normal 3" xfId="282"/>
    <cellStyle name="Normal 3 2" xfId="283"/>
    <cellStyle name="Normal 3 2 2" xfId="1042"/>
    <cellStyle name="Normal 3 2 3" xfId="1043"/>
    <cellStyle name="Normal 3 3" xfId="284"/>
    <cellStyle name="Normal 3 4" xfId="285"/>
    <cellStyle name="Normal 3 5" xfId="286"/>
    <cellStyle name="Normal 3 6" xfId="287"/>
    <cellStyle name="Normal 3 7" xfId="288"/>
    <cellStyle name="Normal 3 8" xfId="289"/>
    <cellStyle name="Normal 3 9" xfId="290"/>
    <cellStyle name="Normal 30" xfId="1044"/>
    <cellStyle name="Normal 31" xfId="1045"/>
    <cellStyle name="Normal 32" xfId="1046"/>
    <cellStyle name="Normal 33" xfId="1237"/>
    <cellStyle name="Normal 34" xfId="1240"/>
    <cellStyle name="Normal 4" xfId="291"/>
    <cellStyle name="Normal 4 2" xfId="292"/>
    <cellStyle name="Normal 4 3" xfId="293"/>
    <cellStyle name="Normal 4 4" xfId="294"/>
    <cellStyle name="Normal 4 5" xfId="295"/>
    <cellStyle name="Normal 4 6" xfId="296"/>
    <cellStyle name="Normal 4 7" xfId="297"/>
    <cellStyle name="Normal 4 8" xfId="298"/>
    <cellStyle name="Normal 4 9" xfId="299"/>
    <cellStyle name="Normal 5" xfId="383"/>
    <cellStyle name="Normal 5 10" xfId="1047"/>
    <cellStyle name="Normal 5 2" xfId="300"/>
    <cellStyle name="Normal 5 3" xfId="301"/>
    <cellStyle name="Normal 5 4" xfId="302"/>
    <cellStyle name="Normal 5 5" xfId="303"/>
    <cellStyle name="Normal 5 6" xfId="304"/>
    <cellStyle name="Normal 5 7" xfId="305"/>
    <cellStyle name="Normal 5 8" xfId="306"/>
    <cellStyle name="Normal 5 9" xfId="307"/>
    <cellStyle name="Normal 563" xfId="1261"/>
    <cellStyle name="Normal 6" xfId="1048"/>
    <cellStyle name="Normal 6 2" xfId="1049"/>
    <cellStyle name="Normal 6 3" xfId="1050"/>
    <cellStyle name="Normal 6 4" xfId="1051"/>
    <cellStyle name="Normal 7" xfId="308"/>
    <cellStyle name="Normal 7 2" xfId="309"/>
    <cellStyle name="Normal 7 3" xfId="310"/>
    <cellStyle name="Normal 7 4" xfId="311"/>
    <cellStyle name="Normal 7 5" xfId="312"/>
    <cellStyle name="Normal 7 6" xfId="313"/>
    <cellStyle name="Normal 7 7" xfId="314"/>
    <cellStyle name="Normal 7 8" xfId="315"/>
    <cellStyle name="Normal 7 9" xfId="316"/>
    <cellStyle name="Normal 8" xfId="1052"/>
    <cellStyle name="Normal 9" xfId="317"/>
    <cellStyle name="Normal 9 2" xfId="1053"/>
    <cellStyle name="Normal 9 3" xfId="1054"/>
    <cellStyle name="Note 10" xfId="318"/>
    <cellStyle name="Note 11" xfId="319"/>
    <cellStyle name="Note 12" xfId="320"/>
    <cellStyle name="Note 13" xfId="321"/>
    <cellStyle name="Note 14" xfId="322"/>
    <cellStyle name="Note 15" xfId="323"/>
    <cellStyle name="Note 16" xfId="324"/>
    <cellStyle name="Note 17" xfId="325"/>
    <cellStyle name="Note 18" xfId="326"/>
    <cellStyle name="Note 2" xfId="327"/>
    <cellStyle name="Note 2 2" xfId="328"/>
    <cellStyle name="Note 2 3" xfId="329"/>
    <cellStyle name="Note 2 4" xfId="330"/>
    <cellStyle name="Note 2 5" xfId="331"/>
    <cellStyle name="Note 2 6" xfId="332"/>
    <cellStyle name="Note 2 7" xfId="333"/>
    <cellStyle name="Note 2 8" xfId="334"/>
    <cellStyle name="Note 2 9" xfId="335"/>
    <cellStyle name="Note 3" xfId="336"/>
    <cellStyle name="Note 3 2" xfId="337"/>
    <cellStyle name="Note 3 3" xfId="338"/>
    <cellStyle name="Note 3 4" xfId="339"/>
    <cellStyle name="Note 3 5" xfId="340"/>
    <cellStyle name="Note 3 6" xfId="341"/>
    <cellStyle name="Note 3 7" xfId="342"/>
    <cellStyle name="Note 3 8" xfId="343"/>
    <cellStyle name="Note 3 9" xfId="344"/>
    <cellStyle name="Note 4" xfId="345"/>
    <cellStyle name="Note 4 2" xfId="346"/>
    <cellStyle name="Note 4 3" xfId="347"/>
    <cellStyle name="Note 4 4" xfId="348"/>
    <cellStyle name="Note 4 5" xfId="349"/>
    <cellStyle name="Note 4 6" xfId="350"/>
    <cellStyle name="Note 4 7" xfId="351"/>
    <cellStyle name="Note 4 8" xfId="352"/>
    <cellStyle name="Note 4 9" xfId="353"/>
    <cellStyle name="Note 5" xfId="354"/>
    <cellStyle name="Note 5 2" xfId="355"/>
    <cellStyle name="Note 5 3" xfId="356"/>
    <cellStyle name="Note 5 4" xfId="357"/>
    <cellStyle name="Note 5 5" xfId="358"/>
    <cellStyle name="Note 5 6" xfId="359"/>
    <cellStyle name="Note 5 7" xfId="360"/>
    <cellStyle name="Note 5 8" xfId="361"/>
    <cellStyle name="Note 5 9" xfId="362"/>
    <cellStyle name="Note 6" xfId="363"/>
    <cellStyle name="Note 6 2" xfId="364"/>
    <cellStyle name="Note 6 3" xfId="365"/>
    <cellStyle name="Note 6 4" xfId="366"/>
    <cellStyle name="Note 6 5" xfId="367"/>
    <cellStyle name="Note 6 6" xfId="368"/>
    <cellStyle name="Note 6 7" xfId="369"/>
    <cellStyle name="Note 6 8" xfId="370"/>
    <cellStyle name="Note 6 9" xfId="371"/>
    <cellStyle name="Note 7" xfId="372"/>
    <cellStyle name="Note 7 2" xfId="373"/>
    <cellStyle name="Note 7 3" xfId="374"/>
    <cellStyle name="Note 7 4" xfId="375"/>
    <cellStyle name="Note 7 5" xfId="376"/>
    <cellStyle name="Note 7 6" xfId="377"/>
    <cellStyle name="Note 7 7" xfId="378"/>
    <cellStyle name="Note 7 8" xfId="379"/>
    <cellStyle name="Note 7 9" xfId="380"/>
    <cellStyle name="Note 8" xfId="381"/>
    <cellStyle name="Note 9" xfId="382"/>
    <cellStyle name="Output 2" xfId="1055"/>
    <cellStyle name="Output 2 2" xfId="1056"/>
    <cellStyle name="Output 2 2 2" xfId="1233"/>
    <cellStyle name="Output 2 3" xfId="1057"/>
    <cellStyle name="Output 2 3 2" xfId="1234"/>
    <cellStyle name="Output 2 4" xfId="1232"/>
    <cellStyle name="Percent" xfId="1260" builtinId="5"/>
    <cellStyle name="Percent 10" xfId="1058"/>
    <cellStyle name="Percent 2" xfId="1059"/>
    <cellStyle name="Percent 2 2" xfId="1060"/>
    <cellStyle name="Percent 2 2 2" xfId="1061"/>
    <cellStyle name="Percent 2 2 3" xfId="1062"/>
    <cellStyle name="Percent 2 3" xfId="1063"/>
    <cellStyle name="Percent 2 4" xfId="1064"/>
    <cellStyle name="Percent 2 5" xfId="1065"/>
    <cellStyle name="Percent 2 6" xfId="1066"/>
    <cellStyle name="Percent 3" xfId="1067"/>
    <cellStyle name="Percent 3 2" xfId="1068"/>
    <cellStyle name="Percent 4" xfId="1069"/>
    <cellStyle name="Percent 4 2" xfId="1070"/>
    <cellStyle name="Percent 5" xfId="1071"/>
    <cellStyle name="Percent 5 2" xfId="1072"/>
    <cellStyle name="Percent 6" xfId="1073"/>
    <cellStyle name="Percent 7" xfId="1074"/>
    <cellStyle name="Percent 8" xfId="1075"/>
    <cellStyle name="Percent 9" xfId="1076"/>
    <cellStyle name="Reset  - Style7" xfId="1077"/>
    <cellStyle name="Reset range style to defaults" xfId="1078"/>
    <cellStyle name="SAPBEXaggData" xfId="1079"/>
    <cellStyle name="SAPBEXaggData 2" xfId="1080"/>
    <cellStyle name="SAPBEXaggData 3" xfId="1081"/>
    <cellStyle name="SAPBEXaggDataEmph" xfId="1082"/>
    <cellStyle name="SAPBEXaggDataEmph 2" xfId="1083"/>
    <cellStyle name="SAPBEXaggDataEmph 3" xfId="1084"/>
    <cellStyle name="SAPBEXaggItem" xfId="1085"/>
    <cellStyle name="SAPBEXaggItem 2" xfId="1086"/>
    <cellStyle name="SAPBEXaggItem 3" xfId="1087"/>
    <cellStyle name="SAPBEXaggItemX" xfId="1088"/>
    <cellStyle name="SAPBEXaggItemX 2" xfId="1089"/>
    <cellStyle name="SAPBEXaggItemX 3" xfId="1090"/>
    <cellStyle name="SAPBEXchaText" xfId="1091"/>
    <cellStyle name="SAPBEXexcBad7" xfId="1092"/>
    <cellStyle name="SAPBEXexcBad7 2" xfId="1093"/>
    <cellStyle name="SAPBEXexcBad7 3" xfId="1094"/>
    <cellStyle name="SAPBEXexcBad8" xfId="1095"/>
    <cellStyle name="SAPBEXexcBad8 2" xfId="1096"/>
    <cellStyle name="SAPBEXexcBad8 3" xfId="1097"/>
    <cellStyle name="SAPBEXexcBad9" xfId="1098"/>
    <cellStyle name="SAPBEXexcBad9 2" xfId="1099"/>
    <cellStyle name="SAPBEXexcBad9 3" xfId="1100"/>
    <cellStyle name="SAPBEXexcCritical4" xfId="1101"/>
    <cellStyle name="SAPBEXexcCritical4 2" xfId="1102"/>
    <cellStyle name="SAPBEXexcCritical4 3" xfId="1103"/>
    <cellStyle name="SAPBEXexcCritical5" xfId="1104"/>
    <cellStyle name="SAPBEXexcCritical5 2" xfId="1105"/>
    <cellStyle name="SAPBEXexcCritical5 3" xfId="1106"/>
    <cellStyle name="SAPBEXexcCritical6" xfId="1107"/>
    <cellStyle name="SAPBEXexcCritical6 2" xfId="1108"/>
    <cellStyle name="SAPBEXexcCritical6 3" xfId="1109"/>
    <cellStyle name="SAPBEXexcGood1" xfId="1110"/>
    <cellStyle name="SAPBEXexcGood1 2" xfId="1111"/>
    <cellStyle name="SAPBEXexcGood1 3" xfId="1112"/>
    <cellStyle name="SAPBEXexcGood2" xfId="1113"/>
    <cellStyle name="SAPBEXexcGood2 2" xfId="1114"/>
    <cellStyle name="SAPBEXexcGood2 3" xfId="1115"/>
    <cellStyle name="SAPBEXexcGood3" xfId="1116"/>
    <cellStyle name="SAPBEXexcGood3 2" xfId="1117"/>
    <cellStyle name="SAPBEXexcGood3 3" xfId="1118"/>
    <cellStyle name="SAPBEXfilterDrill" xfId="1119"/>
    <cellStyle name="SAPBEXfilterItem" xfId="1120"/>
    <cellStyle name="SAPBEXfilterText" xfId="1121"/>
    <cellStyle name="SAPBEXformats" xfId="1122"/>
    <cellStyle name="SAPBEXformats 2" xfId="1123"/>
    <cellStyle name="SAPBEXformats 3" xfId="1124"/>
    <cellStyle name="SAPBEXheaderItem" xfId="1125"/>
    <cellStyle name="SAPBEXheaderText" xfId="1126"/>
    <cellStyle name="SAPBEXHLevel0" xfId="1127"/>
    <cellStyle name="SAPBEXHLevel0 2" xfId="1128"/>
    <cellStyle name="SAPBEXHLevel0 3" xfId="1129"/>
    <cellStyle name="SAPBEXHLevel0X" xfId="1130"/>
    <cellStyle name="SAPBEXHLevel0X 2" xfId="1131"/>
    <cellStyle name="SAPBEXHLevel0X 3" xfId="1132"/>
    <cellStyle name="SAPBEXHLevel1" xfId="1133"/>
    <cellStyle name="SAPBEXHLevel1 2" xfId="1134"/>
    <cellStyle name="SAPBEXHLevel1 3" xfId="1135"/>
    <cellStyle name="SAPBEXHLevel1X" xfId="1136"/>
    <cellStyle name="SAPBEXHLevel1X 2" xfId="1137"/>
    <cellStyle name="SAPBEXHLevel1X 3" xfId="1138"/>
    <cellStyle name="SAPBEXHLevel2" xfId="1139"/>
    <cellStyle name="SAPBEXHLevel2 2" xfId="1140"/>
    <cellStyle name="SAPBEXHLevel2 3" xfId="1141"/>
    <cellStyle name="SAPBEXHLevel2X" xfId="1142"/>
    <cellStyle name="SAPBEXHLevel2X 2" xfId="1143"/>
    <cellStyle name="SAPBEXHLevel2X 3" xfId="1144"/>
    <cellStyle name="SAPBEXHLevel3" xfId="1145"/>
    <cellStyle name="SAPBEXHLevel3 2" xfId="1146"/>
    <cellStyle name="SAPBEXHLevel3 3" xfId="1147"/>
    <cellStyle name="SAPBEXHLevel3X" xfId="1148"/>
    <cellStyle name="SAPBEXHLevel3X 2" xfId="1149"/>
    <cellStyle name="SAPBEXHLevel3X 3" xfId="1150"/>
    <cellStyle name="SAPBEXinputData" xfId="1151"/>
    <cellStyle name="SAPBEXinputData 2" xfId="1235"/>
    <cellStyle name="SAPBEXresData" xfId="1152"/>
    <cellStyle name="SAPBEXresData 2" xfId="1153"/>
    <cellStyle name="SAPBEXresData 3" xfId="1154"/>
    <cellStyle name="SAPBEXresDataEmph" xfId="1155"/>
    <cellStyle name="SAPBEXresDataEmph 2" xfId="1156"/>
    <cellStyle name="SAPBEXresDataEmph 3" xfId="1157"/>
    <cellStyle name="SAPBEXresItem" xfId="1158"/>
    <cellStyle name="SAPBEXresItem 2" xfId="1159"/>
    <cellStyle name="SAPBEXresItem 3" xfId="1160"/>
    <cellStyle name="SAPBEXresItemX" xfId="1161"/>
    <cellStyle name="SAPBEXresItemX 2" xfId="1162"/>
    <cellStyle name="SAPBEXresItemX 3" xfId="1163"/>
    <cellStyle name="SAPBEXstdData" xfId="1164"/>
    <cellStyle name="SAPBEXstdData 2" xfId="1165"/>
    <cellStyle name="SAPBEXstdData 3" xfId="1166"/>
    <cellStyle name="SAPBEXstdDataEmph" xfId="1167"/>
    <cellStyle name="SAPBEXstdDataEmph 2" xfId="1168"/>
    <cellStyle name="SAPBEXstdDataEmph 3" xfId="1169"/>
    <cellStyle name="SAPBEXstdItem" xfId="1170"/>
    <cellStyle name="SAPBEXstdItem 2" xfId="1171"/>
    <cellStyle name="SAPBEXstdItem 3" xfId="1172"/>
    <cellStyle name="SAPBEXstdItemX" xfId="1173"/>
    <cellStyle name="SAPBEXstdItemX 2" xfId="1174"/>
    <cellStyle name="SAPBEXstdItemX 3" xfId="1175"/>
    <cellStyle name="SAPBEXtitle" xfId="1176"/>
    <cellStyle name="SAPBEXundefined" xfId="1177"/>
    <cellStyle name="SAPBEXundefined 2" xfId="1178"/>
    <cellStyle name="SAPBEXundefined 3" xfId="1179"/>
    <cellStyle name="Sheet Title" xfId="1180"/>
    <cellStyle name="Standaard_UCM-StatBull mrt 2006 2-6" xfId="1181"/>
    <cellStyle name="Standard_SPL_Hsin Chu" xfId="1259"/>
    <cellStyle name="Style 1" xfId="1182"/>
    <cellStyle name="Style 1 10" xfId="1183"/>
    <cellStyle name="Style 1 11" xfId="1184"/>
    <cellStyle name="Style 1 12" xfId="1185"/>
    <cellStyle name="Style 1 13" xfId="1186"/>
    <cellStyle name="Style 1 14" xfId="1187"/>
    <cellStyle name="Style 1 15" xfId="1188"/>
    <cellStyle name="Style 1 16" xfId="1189"/>
    <cellStyle name="Style 1 17" xfId="1190"/>
    <cellStyle name="Style 1 18" xfId="1191"/>
    <cellStyle name="Style 1 19" xfId="1192"/>
    <cellStyle name="Style 1 2" xfId="1193"/>
    <cellStyle name="Style 1 20" xfId="1194"/>
    <cellStyle name="Style 1 21" xfId="1195"/>
    <cellStyle name="Style 1 22" xfId="1196"/>
    <cellStyle name="Style 1 23" xfId="1197"/>
    <cellStyle name="Style 1 24" xfId="1198"/>
    <cellStyle name="Style 1 25" xfId="1199"/>
    <cellStyle name="Style 1 26" xfId="1200"/>
    <cellStyle name="Style 1 27" xfId="1201"/>
    <cellStyle name="Style 1 28" xfId="1202"/>
    <cellStyle name="Style 1 29" xfId="1203"/>
    <cellStyle name="Style 1 3" xfId="1204"/>
    <cellStyle name="Style 1 30" xfId="1205"/>
    <cellStyle name="Style 1 31" xfId="1206"/>
    <cellStyle name="Style 1 32" xfId="1207"/>
    <cellStyle name="Style 1 4" xfId="1208"/>
    <cellStyle name="Style 1 5" xfId="1209"/>
    <cellStyle name="Style 1 6" xfId="1210"/>
    <cellStyle name="Style 1 7" xfId="1211"/>
    <cellStyle name="Style 1 8" xfId="1212"/>
    <cellStyle name="Style 1 9" xfId="1213"/>
    <cellStyle name="Subsidy" xfId="1214"/>
    <cellStyle name="Subsidy 2" xfId="1236"/>
    <cellStyle name="Table  - Style6" xfId="1215"/>
    <cellStyle name="Table  - Style6 2" xfId="1216"/>
    <cellStyle name="Table  - Style6 3" xfId="1217"/>
    <cellStyle name="Title  - Style1" xfId="1218"/>
    <cellStyle name="Title 2" xfId="1219"/>
    <cellStyle name="Total 2" xfId="1220"/>
    <cellStyle name="Total 2 2" xfId="1221"/>
    <cellStyle name="Total 2 3" xfId="1222"/>
    <cellStyle name="TotCol - Style5" xfId="1223"/>
    <cellStyle name="TotRow - Style4" xfId="1224"/>
    <cellStyle name="TotRow - Style4 2" xfId="1225"/>
    <cellStyle name="TotRow - Style4 3" xfId="1226"/>
    <cellStyle name="Warning Text 2" xfId="1227"/>
  </cellStyles>
  <dxfs count="0"/>
  <tableStyles count="0" defaultTableStyle="TableStyleMedium2" defaultPivotStyle="PivotStyleMedium9"/>
  <colors>
    <mruColors>
      <color rgb="FF0000CC"/>
      <color rgb="FF00FF00"/>
      <color rgb="FFC1FFC1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jambi\2003\KU\LAP%20KEU\03-ku-0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0.0.192\shared_mis\PE\PWC-2nd%20Assignment\2009-10\Sales%2009-10\Revenue%20analyses_Oleo%20sal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0.0.200\Backup\Program%20files\biju%20assignment\inventory\Copy%20of%202nd%20quarter%20inventory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0.0.192\shared_mis\MIS\Jan%2011\Costing%20Jan%2011\Oleo%20cost%20sheet%20for%20Jan%2011-V12%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0.0.200\Backup\DOCUME~1\RAJHAN~1.WAD\LOCALS~1\Temp\quarter%20inventor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0.0.192\shared_mis\MIS\Dec%2009\Costing%20Dec%2009\Oleo%20cost%20sheet%20for%20Dec%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Y%202013-14/Sept%2013/Costing%20for%20Sep%2013/Oleo%20cost%20sheet%20for%20Sept%2013%20Re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ntract%20Profitability\Documents%20and%20Settings\SHREYAS.BARATHARAJ\Local%20Settings\Temp\wz1e8d\costing\Final%20sheets\data\materiality\Costs\All%20assumptions%20and%20inputs\backups\Sales%20Oleo%20(April-%20Dec)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0.0.200\Backup\Users\anil.ingrole\AppData\Local\Microsoft\Windows\Temporary%20Internet%20Files\OLK694D\2nd%20quarter%20inventory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0.0.200\Backup\Documents%20and%20Settings\sneha.VVF2000\Local%20Settings\Temporary%20Internet%20Files\OLK7A\2nd%20quarter%20inventory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0.0.200\Backup\Program%20files\biju%20assignment\inventory\quarter%20inventory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ntract%20Profitability\Documents%20and%20Settings\SHREYAS.BARATHARAJ\Local%20Settings\Temp\wze0b1\Accenture%20confidential\VVF-%20Business%20transformation%20project\VVF%20work\costing\Formats%20for%20PCP\Location%20combinations%20for%20rec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d"/>
      <sheetName val="di"/>
      <sheetName val="Konsol"/>
      <sheetName val="nr"/>
      <sheetName val="lr"/>
      <sheetName val="penj.i"/>
      <sheetName val="r-tmi"/>
      <sheetName val="tmi-s-01"/>
      <sheetName val="rtbmi"/>
      <sheetName val="tbmi"/>
      <sheetName val="rtbmp"/>
      <sheetName val="tbmp"/>
      <sheetName val="rbbt"/>
      <sheetName val="bbt"/>
      <sheetName val="btl-k-d"/>
      <sheetName val="btl-ho-ro"/>
      <sheetName val="alkRO"/>
      <sheetName val="alkbtl"/>
      <sheetName val="alkbunga"/>
      <sheetName val="alkpeny"/>
      <sheetName val="p"/>
      <sheetName val="Kas"/>
      <sheetName val="Bank"/>
      <sheetName val="Piutang Aff"/>
      <sheetName val="Aff"/>
      <sheetName val="Piutang Staff"/>
      <sheetName val="PLL "/>
      <sheetName val="PLL"/>
      <sheetName val="Stock Mat"/>
      <sheetName val="Uang Muka lain2"/>
      <sheetName val="Uang Muka Supplier"/>
      <sheetName val="Uang Muka Kontr"/>
      <sheetName val="Premi Asuransi"/>
      <sheetName val="Biaya Dibayar Dimuka"/>
      <sheetName val="Pph"/>
      <sheetName val="Ppn"/>
      <sheetName val="Rekap Aktiva"/>
      <sheetName val="Aktiva"/>
      <sheetName val="Aktiva dlm Proses"/>
      <sheetName val="Biaya yang ditangguh"/>
      <sheetName val="Hutang Dagang"/>
      <sheetName val="Hutang Gaji"/>
      <sheetName val="Hutang Biaya"/>
      <sheetName val="Hutang Kontraktor"/>
      <sheetName val="Hutang Retensi"/>
      <sheetName val="Hutang lain2"/>
      <sheetName val="r-tmi "/>
      <sheetName val="03-ku-09"/>
    </sheetNames>
    <sheetDataSet>
      <sheetData sheetId="0" refreshError="1"/>
      <sheetData sheetId="1" refreshError="1">
        <row r="7">
          <cell r="B7" t="str">
            <v>REKAP BIAYA TM INTI ---------------------------------------------------------------------------------</v>
          </cell>
        </row>
        <row r="8">
          <cell r="B8" t="str">
            <v>-</v>
          </cell>
        </row>
        <row r="9">
          <cell r="B9" t="str">
            <v>-</v>
          </cell>
        </row>
        <row r="10">
          <cell r="B10" t="str">
            <v>-</v>
          </cell>
        </row>
        <row r="11">
          <cell r="B11" t="str">
            <v>-</v>
          </cell>
        </row>
        <row r="12">
          <cell r="B12" t="str">
            <v>-</v>
          </cell>
        </row>
        <row r="13">
          <cell r="B13" t="str">
            <v>REKAP BIAYA TM PLASMA -----------------------------------------------------------------------</v>
          </cell>
        </row>
        <row r="14">
          <cell r="B14" t="str">
            <v>-</v>
          </cell>
        </row>
        <row r="15">
          <cell r="B15" t="str">
            <v>-</v>
          </cell>
        </row>
        <row r="16">
          <cell r="B16" t="str">
            <v>-</v>
          </cell>
        </row>
        <row r="17">
          <cell r="B17" t="str">
            <v>-</v>
          </cell>
        </row>
        <row r="18">
          <cell r="B18" t="str">
            <v>-</v>
          </cell>
        </row>
        <row r="19">
          <cell r="B19" t="str">
            <v>LAPORAN LABA/RUGI-----------------------------------------------------------------------------------</v>
          </cell>
        </row>
        <row r="20">
          <cell r="B20" t="str">
            <v>-</v>
          </cell>
        </row>
        <row r="21">
          <cell r="B21" t="str">
            <v>REKAP BIAYA TM INTI -----------------------------------------------------------------------------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Info"/>
      <sheetName val="Index"/>
      <sheetName val="Product Groups ASR movement"/>
      <sheetName val="Price-Volume analyses"/>
      <sheetName val="Product wise ASR- Oleo"/>
      <sheetName val="Top 10 Oleo products"/>
      <sheetName val="Sales - Domestic vs. Exports"/>
      <sheetName val="Customerwise group wise"/>
      <sheetName val="Customer wise overall"/>
      <sheetName val="Sheet (4)"/>
      <sheetName val="Plant wise sales"/>
      <sheetName val="Sheet (2)"/>
      <sheetName val="Trend in key products "/>
      <sheetName val="Monthly sales trend - Key prods"/>
      <sheetName val="V1214"/>
      <sheetName val="V1216"/>
      <sheetName val="UTSR trend"/>
      <sheetName val="Erucic acid"/>
      <sheetName val="V 12 16"/>
      <sheetName val="V 12 14"/>
      <sheetName val="Glycerine"/>
      <sheetName val="Monthly trend - Top customers"/>
      <sheetName val="Sheet (3)"/>
      <sheetName val="RM price trend - Key oils"/>
      <sheetName val="Top 10 based on FY09"/>
      <sheetName val="Top 10 based on FY08"/>
    </sheetNames>
    <sheetDataSet>
      <sheetData sheetId="0" refreshError="1">
        <row r="3">
          <cell r="D3" t="str">
            <v>Project Daffodil - Oleo Revenue analyses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 quarter"/>
      <sheetName val="2nd quarter"/>
      <sheetName val="3rd quarter"/>
      <sheetName val="DATA"/>
    </sheetNames>
    <sheetDataSet>
      <sheetData sheetId="0"/>
      <sheetData sheetId="1"/>
      <sheetData sheetId="2">
        <row r="306">
          <cell r="A306">
            <v>1</v>
          </cell>
        </row>
      </sheetData>
      <sheetData sheetId="3">
        <row r="306">
          <cell r="A306">
            <v>1</v>
          </cell>
          <cell r="B306" t="str">
            <v>RM</v>
          </cell>
          <cell r="C306" t="str">
            <v>FM</v>
          </cell>
          <cell r="D306" t="str">
            <v>CPKO-5%</v>
          </cell>
          <cell r="E306" t="str">
            <v>CPKO-5%</v>
          </cell>
          <cell r="K306">
            <v>4183.1679999999997</v>
          </cell>
          <cell r="L306">
            <v>4950.4129999999996</v>
          </cell>
          <cell r="M306">
            <v>2750</v>
          </cell>
          <cell r="T306">
            <v>4597.5730000000003</v>
          </cell>
          <cell r="U306">
            <v>2543.81</v>
          </cell>
          <cell r="V306">
            <v>3009.9789999999998</v>
          </cell>
          <cell r="AC306">
            <v>4361.4989999999998</v>
          </cell>
          <cell r="AD306">
            <v>3032.1689999999999</v>
          </cell>
          <cell r="AL306">
            <v>902.69100000000003</v>
          </cell>
          <cell r="AM306">
            <v>2653.3090000000002</v>
          </cell>
          <cell r="AU306">
            <v>896.35900000000004</v>
          </cell>
          <cell r="AV306">
            <v>5530.192</v>
          </cell>
          <cell r="BD306">
            <v>1171.327</v>
          </cell>
          <cell r="BE306">
            <v>4617.7820000000002</v>
          </cell>
          <cell r="BM306">
            <v>1943.8330000000001</v>
          </cell>
          <cell r="BN306">
            <v>3518.7520000000004</v>
          </cell>
          <cell r="BV306">
            <v>2449.3850000000002</v>
          </cell>
          <cell r="BW306">
            <v>1794.5619999999999</v>
          </cell>
          <cell r="CE306">
            <v>1552.1210000000001</v>
          </cell>
          <cell r="CF306">
            <v>6742.53</v>
          </cell>
          <cell r="CN306">
            <v>1199.366</v>
          </cell>
          <cell r="CO306">
            <v>5646.67</v>
          </cell>
          <cell r="CU306">
            <v>0</v>
          </cell>
          <cell r="CW306">
            <v>899.97699999999998</v>
          </cell>
          <cell r="CX306">
            <v>4947.1080000000002</v>
          </cell>
          <cell r="CY306">
            <v>316.02</v>
          </cell>
          <cell r="DF306">
            <v>1916.125</v>
          </cell>
          <cell r="DG306">
            <v>8188.5259999999998</v>
          </cell>
          <cell r="DO306">
            <v>2732.4940000000001</v>
          </cell>
          <cell r="DP306">
            <v>4864.348</v>
          </cell>
          <cell r="DX306">
            <v>696.46500000000003</v>
          </cell>
          <cell r="DY306">
            <v>6864.0280000000002</v>
          </cell>
          <cell r="EG306">
            <v>1223.788</v>
          </cell>
          <cell r="EH306">
            <v>3552.2939999999999</v>
          </cell>
          <cell r="EP306">
            <v>1805.3820000000001</v>
          </cell>
          <cell r="EQ306">
            <v>1564.769</v>
          </cell>
        </row>
        <row r="307">
          <cell r="A307">
            <v>2</v>
          </cell>
          <cell r="B307" t="str">
            <v>RM</v>
          </cell>
          <cell r="C307" t="str">
            <v>FM</v>
          </cell>
          <cell r="D307" t="str">
            <v>CPKO-23%</v>
          </cell>
          <cell r="E307" t="str">
            <v>CPKO-23%</v>
          </cell>
        </row>
        <row r="308">
          <cell r="A308">
            <v>3</v>
          </cell>
          <cell r="B308" t="str">
            <v>RM</v>
          </cell>
          <cell r="C308" t="str">
            <v>FM</v>
          </cell>
          <cell r="D308" t="str">
            <v>CNO-C</v>
          </cell>
          <cell r="E308" t="str">
            <v>CNO-C</v>
          </cell>
        </row>
        <row r="309">
          <cell r="A309">
            <v>4</v>
          </cell>
          <cell r="B309" t="str">
            <v>RM</v>
          </cell>
          <cell r="C309" t="str">
            <v>FM</v>
          </cell>
          <cell r="D309" t="str">
            <v>CNO-R</v>
          </cell>
          <cell r="E309" t="str">
            <v>CNO-R</v>
          </cell>
        </row>
        <row r="310">
          <cell r="A310">
            <v>5</v>
          </cell>
          <cell r="B310" t="str">
            <v>RM</v>
          </cell>
          <cell r="C310" t="str">
            <v>FM</v>
          </cell>
          <cell r="D310" t="str">
            <v>PKFAD</v>
          </cell>
          <cell r="E310" t="str">
            <v>PKFAD</v>
          </cell>
          <cell r="K310">
            <v>13.683999999999999</v>
          </cell>
        </row>
        <row r="311">
          <cell r="A311">
            <v>6</v>
          </cell>
          <cell r="B311" t="str">
            <v>RM</v>
          </cell>
          <cell r="C311" t="str">
            <v>FM</v>
          </cell>
          <cell r="D311" t="str">
            <v>RBDPS</v>
          </cell>
          <cell r="E311" t="str">
            <v>RBDPS</v>
          </cell>
          <cell r="H311">
            <v>184.226</v>
          </cell>
          <cell r="I311">
            <v>768.5</v>
          </cell>
          <cell r="K311">
            <v>27.177</v>
          </cell>
          <cell r="Q311">
            <v>184.226</v>
          </cell>
          <cell r="R311">
            <v>768.5</v>
          </cell>
          <cell r="Z311">
            <v>184.226</v>
          </cell>
          <cell r="AA311">
            <v>602.4</v>
          </cell>
          <cell r="AI311">
            <v>184.226</v>
          </cell>
          <cell r="AJ311">
            <v>391.8</v>
          </cell>
          <cell r="AR311">
            <v>184.226</v>
          </cell>
          <cell r="AS311">
            <v>391.79828571428573</v>
          </cell>
          <cell r="AU311">
            <v>121.36</v>
          </cell>
          <cell r="BA311">
            <v>184.226</v>
          </cell>
          <cell r="BB311">
            <v>419.38971428571432</v>
          </cell>
          <cell r="BD311">
            <v>155.19</v>
          </cell>
          <cell r="BJ311">
            <v>184.226</v>
          </cell>
          <cell r="BK311">
            <v>419.38971428571432</v>
          </cell>
          <cell r="BM311">
            <v>362.76</v>
          </cell>
          <cell r="BS311">
            <v>184.226</v>
          </cell>
          <cell r="BT311">
            <v>323.73942857142862</v>
          </cell>
          <cell r="BV311">
            <v>39.65</v>
          </cell>
          <cell r="CB311">
            <v>184.226</v>
          </cell>
          <cell r="CC311">
            <v>183.94285714285712</v>
          </cell>
          <cell r="CE311">
            <v>144.11000000000001</v>
          </cell>
          <cell r="CL311">
            <v>362.4</v>
          </cell>
          <cell r="CN311">
            <v>242.63</v>
          </cell>
          <cell r="CW311">
            <v>305.54000000000002</v>
          </cell>
          <cell r="DD311">
            <v>372.5</v>
          </cell>
          <cell r="DF311">
            <v>416.08</v>
          </cell>
          <cell r="DM311">
            <v>138</v>
          </cell>
          <cell r="DO311">
            <v>57.07</v>
          </cell>
          <cell r="DX311">
            <v>138.05000000000001</v>
          </cell>
          <cell r="EE311">
            <v>9.1971428571428575</v>
          </cell>
          <cell r="EG311">
            <v>239.84</v>
          </cell>
          <cell r="EN311">
            <v>248.68</v>
          </cell>
          <cell r="EP311">
            <v>258.79000000000002</v>
          </cell>
          <cell r="ER311">
            <v>43.79</v>
          </cell>
        </row>
        <row r="312">
          <cell r="A312">
            <v>7</v>
          </cell>
          <cell r="B312" t="str">
            <v>RM</v>
          </cell>
          <cell r="C312" t="str">
            <v>FM</v>
          </cell>
          <cell r="D312" t="str">
            <v>CPS-5%</v>
          </cell>
          <cell r="E312" t="str">
            <v>CPS-5%</v>
          </cell>
        </row>
        <row r="313">
          <cell r="A313">
            <v>8</v>
          </cell>
          <cell r="B313" t="str">
            <v>RM</v>
          </cell>
          <cell r="C313" t="str">
            <v>FM</v>
          </cell>
          <cell r="D313" t="str">
            <v>CPS-20%</v>
          </cell>
          <cell r="E313" t="str">
            <v>CPS-20%</v>
          </cell>
        </row>
        <row r="314">
          <cell r="A314">
            <v>9</v>
          </cell>
          <cell r="B314" t="str">
            <v>RM</v>
          </cell>
          <cell r="C314" t="str">
            <v>FM</v>
          </cell>
          <cell r="D314" t="str">
            <v>CPS-23%-HLL</v>
          </cell>
          <cell r="E314" t="str">
            <v>CPS-23%-HLL</v>
          </cell>
        </row>
        <row r="315">
          <cell r="A315">
            <v>10</v>
          </cell>
          <cell r="B315" t="str">
            <v>RM</v>
          </cell>
          <cell r="C315" t="str">
            <v>FM</v>
          </cell>
          <cell r="D315" t="str">
            <v>CPO</v>
          </cell>
          <cell r="E315" t="str">
            <v>CPO</v>
          </cell>
        </row>
        <row r="316">
          <cell r="A316">
            <v>11</v>
          </cell>
          <cell r="B316" t="str">
            <v>RM</v>
          </cell>
          <cell r="C316" t="str">
            <v>FM</v>
          </cell>
          <cell r="D316" t="str">
            <v>RBDPN</v>
          </cell>
          <cell r="E316" t="str">
            <v>RBDPN</v>
          </cell>
        </row>
        <row r="317">
          <cell r="A317">
            <v>12</v>
          </cell>
          <cell r="B317" t="str">
            <v>RM</v>
          </cell>
          <cell r="C317" t="str">
            <v>FM</v>
          </cell>
          <cell r="D317" t="str">
            <v>PFAD</v>
          </cell>
          <cell r="E317" t="str">
            <v>PFAD</v>
          </cell>
          <cell r="J317">
            <v>64.656000000000006</v>
          </cell>
          <cell r="S317">
            <v>48.347999999999999</v>
          </cell>
          <cell r="Y317">
            <v>172.27080000000001</v>
          </cell>
          <cell r="AB317">
            <v>41.411999999999999</v>
          </cell>
          <cell r="AC317">
            <v>17.486999999999998</v>
          </cell>
          <cell r="AH317">
            <v>342.33300000000003</v>
          </cell>
          <cell r="AK317">
            <v>4.8959999999999999</v>
          </cell>
          <cell r="AL317">
            <v>51.626999999999995</v>
          </cell>
          <cell r="AQ317">
            <v>130.3074</v>
          </cell>
          <cell r="AT317">
            <v>35.292000000000002</v>
          </cell>
          <cell r="AU317">
            <v>484.3889999999999</v>
          </cell>
          <cell r="AV317">
            <v>2171.768</v>
          </cell>
          <cell r="AZ317">
            <v>46.38</v>
          </cell>
          <cell r="BD317">
            <v>615.54200000000003</v>
          </cell>
          <cell r="BE317">
            <v>1763.2080000000001</v>
          </cell>
          <cell r="BI317">
            <v>13.2516</v>
          </cell>
          <cell r="BM317">
            <v>238.69699999999995</v>
          </cell>
          <cell r="BN317">
            <v>3799.6669999999999</v>
          </cell>
          <cell r="BR317">
            <v>13.2516</v>
          </cell>
          <cell r="BV317">
            <v>658.38499999999999</v>
          </cell>
          <cell r="BW317">
            <v>2702.3870000000002</v>
          </cell>
          <cell r="CA317">
            <v>13.2516</v>
          </cell>
          <cell r="CE317">
            <v>468.98099999999999</v>
          </cell>
          <cell r="CF317">
            <v>3840.0880000000002</v>
          </cell>
          <cell r="CJ317">
            <v>22</v>
          </cell>
          <cell r="CN317">
            <v>780.7</v>
          </cell>
          <cell r="CO317">
            <v>2776.04</v>
          </cell>
          <cell r="CS317">
            <v>15.46</v>
          </cell>
          <cell r="CW317">
            <v>2113.3040000000001</v>
          </cell>
          <cell r="CX317">
            <v>1182.6300000000001</v>
          </cell>
          <cell r="DF317">
            <v>1373.6030000000001</v>
          </cell>
          <cell r="DG317">
            <v>1182.633</v>
          </cell>
          <cell r="DO317">
            <v>368.81200000000001</v>
          </cell>
          <cell r="DP317">
            <v>3356.3629999999998</v>
          </cell>
          <cell r="DX317">
            <v>693.02600000000007</v>
          </cell>
          <cell r="DY317">
            <v>2066.4029999999998</v>
          </cell>
          <cell r="EF317">
            <v>1510.48</v>
          </cell>
          <cell r="EG317">
            <v>238.22</v>
          </cell>
          <cell r="EH317">
            <v>736.75699999999995</v>
          </cell>
          <cell r="EO317">
            <v>162.99600000000001</v>
          </cell>
          <cell r="EP317">
            <v>674.99799999999993</v>
          </cell>
          <cell r="EQ317">
            <v>83.997</v>
          </cell>
        </row>
        <row r="318">
          <cell r="A318">
            <v>13</v>
          </cell>
          <cell r="B318" t="str">
            <v>RM</v>
          </cell>
          <cell r="C318" t="str">
            <v>FM</v>
          </cell>
          <cell r="D318" t="str">
            <v>MUSTARD OIL-EXPELLER</v>
          </cell>
          <cell r="E318" t="str">
            <v>MUSTARD OIL-EXPELLER</v>
          </cell>
          <cell r="K318">
            <v>2242.2219999999998</v>
          </cell>
          <cell r="T318">
            <v>2017.954</v>
          </cell>
          <cell r="AC318">
            <v>2190.576</v>
          </cell>
          <cell r="AL318">
            <v>2190.576</v>
          </cell>
          <cell r="AU318">
            <v>2336.1260000000002</v>
          </cell>
          <cell r="BD318">
            <v>2384.029</v>
          </cell>
          <cell r="BM318">
            <v>1782.653</v>
          </cell>
          <cell r="BN318">
            <v>319.33999999999997</v>
          </cell>
          <cell r="BV318">
            <v>611.56799999999998</v>
          </cell>
          <cell r="BW318">
            <v>813.52499999999998</v>
          </cell>
          <cell r="CE318">
            <v>711.55499999999995</v>
          </cell>
          <cell r="CN318">
            <v>937.17500000000007</v>
          </cell>
          <cell r="CW318">
            <v>1075.0050000000001</v>
          </cell>
          <cell r="DF318">
            <v>826.57500000000005</v>
          </cell>
          <cell r="DG318">
            <v>311.91000000000003</v>
          </cell>
          <cell r="DO318">
            <v>118.325</v>
          </cell>
          <cell r="DP318">
            <v>1221.925</v>
          </cell>
          <cell r="DX318">
            <v>372.39499999999998</v>
          </cell>
          <cell r="EG318">
            <v>743.41499999999996</v>
          </cell>
          <cell r="EP318">
            <v>790.89499999999998</v>
          </cell>
        </row>
        <row r="319">
          <cell r="A319">
            <v>14</v>
          </cell>
          <cell r="B319" t="str">
            <v>RM</v>
          </cell>
          <cell r="C319" t="str">
            <v>FM</v>
          </cell>
          <cell r="D319" t="str">
            <v>MUSTARD OIL-REFINED</v>
          </cell>
          <cell r="E319" t="str">
            <v>MUSTARD OIL-REFINED</v>
          </cell>
          <cell r="CE319">
            <v>702.91800000000001</v>
          </cell>
          <cell r="CF319">
            <v>105.70399999999999</v>
          </cell>
          <cell r="CN319">
            <v>624.34699999999998</v>
          </cell>
          <cell r="CO319">
            <v>9.4740000000000002</v>
          </cell>
          <cell r="CW319">
            <v>96.513000000000005</v>
          </cell>
          <cell r="CX319">
            <v>4.9740000000000002</v>
          </cell>
          <cell r="DF319">
            <v>0.85399999999999998</v>
          </cell>
          <cell r="DG319">
            <v>4.9740000000000002</v>
          </cell>
          <cell r="DO319">
            <v>0.50900000000000001</v>
          </cell>
          <cell r="DP319">
            <v>4.9740000000000002</v>
          </cell>
          <cell r="DX319">
            <v>896.98400000000004</v>
          </cell>
        </row>
        <row r="320">
          <cell r="A320">
            <v>15</v>
          </cell>
          <cell r="B320" t="str">
            <v>RM</v>
          </cell>
          <cell r="C320" t="str">
            <v>FM</v>
          </cell>
          <cell r="D320" t="str">
            <v>CRUDE GLYCERINE</v>
          </cell>
          <cell r="E320" t="str">
            <v>CRUDE GLYCERINE</v>
          </cell>
          <cell r="F320">
            <v>205.67</v>
          </cell>
          <cell r="J320">
            <v>1125.268</v>
          </cell>
          <cell r="K320">
            <v>1290.8679999999999</v>
          </cell>
          <cell r="O320">
            <v>142.79</v>
          </cell>
          <cell r="S320">
            <v>1164.0820000000001</v>
          </cell>
          <cell r="T320">
            <v>1284.605</v>
          </cell>
          <cell r="X320">
            <v>224.67</v>
          </cell>
          <cell r="AB320">
            <v>1201.329</v>
          </cell>
          <cell r="AC320">
            <v>1323.3240000000001</v>
          </cell>
          <cell r="AG320">
            <v>319.64</v>
          </cell>
          <cell r="AK320">
            <v>1059.682</v>
          </cell>
          <cell r="AL320">
            <v>1726.078</v>
          </cell>
          <cell r="AP320">
            <v>270.52</v>
          </cell>
          <cell r="AT320">
            <v>1047.9079999999999</v>
          </cell>
          <cell r="AU320">
            <v>1697.7270000000001</v>
          </cell>
          <cell r="AY320">
            <v>263.97000000000003</v>
          </cell>
          <cell r="BC320">
            <v>1038.3699999999999</v>
          </cell>
          <cell r="BD320">
            <v>1706.269</v>
          </cell>
          <cell r="BH320">
            <v>331.43</v>
          </cell>
          <cell r="BL320">
            <v>956.32600000000002</v>
          </cell>
          <cell r="BM320">
            <v>1614.434</v>
          </cell>
          <cell r="BQ320">
            <v>323.57</v>
          </cell>
          <cell r="BU320">
            <v>1067.076</v>
          </cell>
          <cell r="BV320">
            <v>2158.384</v>
          </cell>
          <cell r="BZ320">
            <v>296.72000000000003</v>
          </cell>
          <cell r="CD320">
            <v>969.44600000000003</v>
          </cell>
          <cell r="CE320">
            <v>1467.7249999999999</v>
          </cell>
          <cell r="CG320">
            <v>750</v>
          </cell>
          <cell r="CI320">
            <v>359.6</v>
          </cell>
          <cell r="CJ320">
            <v>577.9</v>
          </cell>
          <cell r="CN320">
            <v>1646.7860000000001</v>
          </cell>
          <cell r="CR320">
            <v>350.43</v>
          </cell>
          <cell r="CS320">
            <v>577.9</v>
          </cell>
          <cell r="CW320">
            <v>1825.2170000000001</v>
          </cell>
          <cell r="DA320">
            <v>909.32999999999993</v>
          </cell>
          <cell r="DF320">
            <v>1864.5010000000002</v>
          </cell>
          <cell r="DJ320">
            <v>222.05</v>
          </cell>
          <cell r="DK320">
            <v>577.9</v>
          </cell>
          <cell r="DO320">
            <v>2063.4539999999997</v>
          </cell>
          <cell r="DS320">
            <v>221.39</v>
          </cell>
          <cell r="DT320">
            <v>577.9</v>
          </cell>
          <cell r="DW320">
            <v>777.73500000000001</v>
          </cell>
          <cell r="EB320">
            <v>264.62</v>
          </cell>
          <cell r="EC320">
            <v>357.9</v>
          </cell>
          <cell r="EG320">
            <v>1989.135</v>
          </cell>
          <cell r="EK320">
            <v>264.62</v>
          </cell>
          <cell r="EL320">
            <v>357.9</v>
          </cell>
          <cell r="EO320">
            <v>1223.1969999999999</v>
          </cell>
          <cell r="EP320">
            <v>1949.511</v>
          </cell>
        </row>
        <row r="321">
          <cell r="A321">
            <v>16</v>
          </cell>
          <cell r="B321" t="str">
            <v>RM</v>
          </cell>
          <cell r="C321" t="str">
            <v>FM</v>
          </cell>
          <cell r="D321" t="str">
            <v>CAUSTIC SODA</v>
          </cell>
          <cell r="E321" t="str">
            <v>CAUSTIC SODA</v>
          </cell>
          <cell r="I321">
            <v>119.4</v>
          </cell>
          <cell r="J321">
            <v>0.96499999999999997</v>
          </cell>
          <cell r="M321">
            <v>74.2</v>
          </cell>
          <cell r="R321">
            <v>255.5</v>
          </cell>
          <cell r="S321">
            <v>112.908</v>
          </cell>
          <cell r="V321">
            <v>77.489999999999995</v>
          </cell>
          <cell r="AA321">
            <v>404.5</v>
          </cell>
          <cell r="AB321">
            <v>143.57400000000001</v>
          </cell>
          <cell r="AE321">
            <v>17.18</v>
          </cell>
          <cell r="AJ321">
            <v>324.2</v>
          </cell>
          <cell r="AK321">
            <v>174.863</v>
          </cell>
          <cell r="AN321">
            <v>33.229999999999997</v>
          </cell>
          <cell r="AS321">
            <v>413.4</v>
          </cell>
          <cell r="AT321">
            <v>138.494</v>
          </cell>
          <cell r="AW321">
            <v>48.9</v>
          </cell>
          <cell r="BB321">
            <v>409.8</v>
          </cell>
          <cell r="BC321">
            <v>167.94300000000001</v>
          </cell>
          <cell r="BK321">
            <v>386</v>
          </cell>
          <cell r="BL321">
            <v>151.017</v>
          </cell>
          <cell r="BO321">
            <v>48.47</v>
          </cell>
          <cell r="BT321">
            <v>775.2</v>
          </cell>
          <cell r="BU321">
            <v>114.685</v>
          </cell>
          <cell r="BX321">
            <v>134.94</v>
          </cell>
          <cell r="CC321">
            <v>1338</v>
          </cell>
          <cell r="CD321">
            <v>78.165999999999997</v>
          </cell>
          <cell r="CL321">
            <v>1502.6</v>
          </cell>
          <cell r="CP321">
            <v>35</v>
          </cell>
          <cell r="CU321">
            <v>1536.5</v>
          </cell>
          <cell r="CY321">
            <v>33.630000000000003</v>
          </cell>
          <cell r="DD321">
            <v>1517.9</v>
          </cell>
          <cell r="DM321">
            <v>1279.2</v>
          </cell>
          <cell r="DV321">
            <v>1042.2</v>
          </cell>
          <cell r="DW321">
            <v>94.655000000000001</v>
          </cell>
          <cell r="DX321">
            <v>2033.354</v>
          </cell>
          <cell r="EE321">
            <v>830.1</v>
          </cell>
          <cell r="EN321">
            <v>609.70000000000005</v>
          </cell>
          <cell r="EO321">
            <v>153.61099999999999</v>
          </cell>
        </row>
        <row r="322">
          <cell r="A322">
            <v>17</v>
          </cell>
          <cell r="B322" t="str">
            <v>RM</v>
          </cell>
          <cell r="C322" t="str">
            <v>FM</v>
          </cell>
          <cell r="D322" t="str">
            <v>MINERAL OIL(SAVANOL-82)</v>
          </cell>
          <cell r="E322" t="str">
            <v>MINERAL OIL(SAVANOL-82)</v>
          </cell>
        </row>
        <row r="323">
          <cell r="A323">
            <v>237</v>
          </cell>
          <cell r="B323" t="str">
            <v>RM</v>
          </cell>
          <cell r="C323" t="str">
            <v>FM</v>
          </cell>
          <cell r="D323" t="str">
            <v>NEEM OIL</v>
          </cell>
          <cell r="E323" t="str">
            <v>NEEM OIL</v>
          </cell>
          <cell r="J323">
            <v>26.04</v>
          </cell>
          <cell r="S323">
            <v>22.088000000000001</v>
          </cell>
          <cell r="AB323">
            <v>38.118000000000002</v>
          </cell>
          <cell r="AK323">
            <v>38.118000000000002</v>
          </cell>
          <cell r="AT323">
            <v>38.118000000000002</v>
          </cell>
          <cell r="BC323">
            <v>38.118000000000002</v>
          </cell>
          <cell r="BL323">
            <v>38.118000000000002</v>
          </cell>
          <cell r="BU323">
            <v>38.118000000000002</v>
          </cell>
          <cell r="CD323">
            <v>38.118000000000002</v>
          </cell>
          <cell r="CM323">
            <v>38.118000000000002</v>
          </cell>
          <cell r="CV323">
            <v>38.118000000000002</v>
          </cell>
          <cell r="DE323">
            <v>38.118000000000002</v>
          </cell>
          <cell r="DN323">
            <v>38.118000000000002</v>
          </cell>
          <cell r="DW323">
            <v>38.118000000000002</v>
          </cell>
          <cell r="EF323">
            <v>38.118000000000002</v>
          </cell>
          <cell r="EO323">
            <v>38.118000000000002</v>
          </cell>
        </row>
        <row r="324">
          <cell r="D324" t="str">
            <v>RM TOTAL</v>
          </cell>
          <cell r="E324" t="str">
            <v>RM TOTAL</v>
          </cell>
          <cell r="F324">
            <v>205.67</v>
          </cell>
          <cell r="G324">
            <v>0</v>
          </cell>
          <cell r="H324">
            <v>184.226</v>
          </cell>
          <cell r="I324">
            <v>887.9</v>
          </cell>
          <cell r="J324">
            <v>1216.9289999999999</v>
          </cell>
          <cell r="K324">
            <v>7757.1189999999988</v>
          </cell>
          <cell r="L324">
            <v>4950.4129999999996</v>
          </cell>
          <cell r="M324">
            <v>2824.2</v>
          </cell>
          <cell r="N324">
            <v>0</v>
          </cell>
          <cell r="O324">
            <v>142.79</v>
          </cell>
          <cell r="P324">
            <v>0</v>
          </cell>
          <cell r="Q324">
            <v>184.226</v>
          </cell>
          <cell r="R324">
            <v>1024</v>
          </cell>
          <cell r="S324">
            <v>1347.4259999999999</v>
          </cell>
          <cell r="T324">
            <v>7900.1319999999996</v>
          </cell>
          <cell r="U324">
            <v>2543.81</v>
          </cell>
          <cell r="V324">
            <v>3087.4689999999996</v>
          </cell>
          <cell r="W324">
            <v>0</v>
          </cell>
          <cell r="X324">
            <v>224.67</v>
          </cell>
          <cell r="Y324">
            <v>172.27080000000001</v>
          </cell>
          <cell r="Z324">
            <v>184.226</v>
          </cell>
          <cell r="AA324">
            <v>1006.9</v>
          </cell>
          <cell r="AB324">
            <v>1424.433</v>
          </cell>
          <cell r="AC324">
            <v>7892.8860000000004</v>
          </cell>
          <cell r="AD324">
            <v>3032.1689999999999</v>
          </cell>
          <cell r="AE324">
            <v>17.18</v>
          </cell>
          <cell r="AF324">
            <v>0</v>
          </cell>
          <cell r="AG324">
            <v>319.64</v>
          </cell>
          <cell r="AH324">
            <v>342.33300000000003</v>
          </cell>
          <cell r="AI324">
            <v>184.226</v>
          </cell>
          <cell r="AJ324">
            <v>716</v>
          </cell>
          <cell r="AK324">
            <v>1277.559</v>
          </cell>
          <cell r="AL324">
            <v>4870.9719999999998</v>
          </cell>
          <cell r="AM324">
            <v>2653.3090000000002</v>
          </cell>
          <cell r="AN324">
            <v>33.229999999999997</v>
          </cell>
          <cell r="AO324">
            <v>0</v>
          </cell>
          <cell r="AP324">
            <v>270.52</v>
          </cell>
          <cell r="AQ324">
            <v>130.3074</v>
          </cell>
          <cell r="AR324">
            <v>184.226</v>
          </cell>
          <cell r="AS324">
            <v>805.1982857142857</v>
          </cell>
          <cell r="AT324">
            <v>1259.8119999999997</v>
          </cell>
          <cell r="AU324">
            <v>5535.9610000000002</v>
          </cell>
          <cell r="AV324">
            <v>7701.96</v>
          </cell>
          <cell r="AW324">
            <v>48.9</v>
          </cell>
          <cell r="AX324">
            <v>0</v>
          </cell>
          <cell r="AY324">
            <v>263.97000000000003</v>
          </cell>
          <cell r="AZ324">
            <v>46.38</v>
          </cell>
          <cell r="BA324">
            <v>184.226</v>
          </cell>
          <cell r="BB324">
            <v>829.18971428571433</v>
          </cell>
          <cell r="BC324">
            <v>1244.4309999999998</v>
          </cell>
          <cell r="BD324">
            <v>6032.357</v>
          </cell>
          <cell r="BE324">
            <v>6380.99</v>
          </cell>
          <cell r="BF324">
            <v>0</v>
          </cell>
          <cell r="BG324">
            <v>0</v>
          </cell>
          <cell r="BH324">
            <v>331.43</v>
          </cell>
          <cell r="BI324">
            <v>13.2516</v>
          </cell>
          <cell r="BJ324">
            <v>184.226</v>
          </cell>
          <cell r="BK324">
            <v>805.38971428571426</v>
          </cell>
          <cell r="BL324">
            <v>1145.461</v>
          </cell>
          <cell r="BM324">
            <v>5942.3770000000004</v>
          </cell>
          <cell r="BN324">
            <v>7637.759</v>
          </cell>
          <cell r="BO324">
            <v>48.47</v>
          </cell>
          <cell r="BP324">
            <v>0</v>
          </cell>
          <cell r="BQ324">
            <v>323.57</v>
          </cell>
          <cell r="BR324">
            <v>13.2516</v>
          </cell>
          <cell r="BS324">
            <v>184.226</v>
          </cell>
          <cell r="BT324">
            <v>1098.9394285714286</v>
          </cell>
          <cell r="BU324">
            <v>1219.8789999999999</v>
          </cell>
          <cell r="BV324">
            <v>5917.3720000000003</v>
          </cell>
          <cell r="BW324">
            <v>5310.4740000000002</v>
          </cell>
          <cell r="BX324">
            <v>134.94</v>
          </cell>
          <cell r="BY324">
            <v>0</v>
          </cell>
          <cell r="BZ324">
            <v>296.72000000000003</v>
          </cell>
          <cell r="CA324">
            <v>13.2516</v>
          </cell>
          <cell r="CB324">
            <v>184.226</v>
          </cell>
          <cell r="CC324">
            <v>1521.9428571428571</v>
          </cell>
          <cell r="CD324">
            <v>1085.73</v>
          </cell>
          <cell r="CE324">
            <v>5047.41</v>
          </cell>
          <cell r="CF324">
            <v>10688.322</v>
          </cell>
          <cell r="CG324">
            <v>750</v>
          </cell>
          <cell r="CH324">
            <v>0</v>
          </cell>
          <cell r="CI324">
            <v>359.6</v>
          </cell>
          <cell r="CJ324">
            <v>599.9</v>
          </cell>
          <cell r="CK324">
            <v>0</v>
          </cell>
          <cell r="CL324">
            <v>1865</v>
          </cell>
          <cell r="CM324">
            <v>38.118000000000002</v>
          </cell>
          <cell r="CN324">
            <v>5431.0039999999999</v>
          </cell>
          <cell r="CO324">
            <v>8432.1839999999993</v>
          </cell>
          <cell r="CP324">
            <v>35</v>
          </cell>
          <cell r="CQ324">
            <v>0</v>
          </cell>
          <cell r="CR324">
            <v>350.43</v>
          </cell>
          <cell r="CS324">
            <v>593.36</v>
          </cell>
          <cell r="CT324">
            <v>0</v>
          </cell>
          <cell r="CU324">
            <v>1536.5</v>
          </cell>
          <cell r="CV324">
            <v>38.118000000000002</v>
          </cell>
          <cell r="CW324">
            <v>6315.5560000000005</v>
          </cell>
          <cell r="CX324">
            <v>6134.7120000000004</v>
          </cell>
          <cell r="CY324">
            <v>349.65</v>
          </cell>
          <cell r="CZ324">
            <v>0</v>
          </cell>
          <cell r="DA324">
            <v>909.32999999999993</v>
          </cell>
          <cell r="DB324">
            <v>0</v>
          </cell>
          <cell r="DC324">
            <v>0</v>
          </cell>
          <cell r="DD324">
            <v>1890.4</v>
          </cell>
          <cell r="DE324">
            <v>38.118000000000002</v>
          </cell>
          <cell r="DF324">
            <v>6397.7380000000003</v>
          </cell>
          <cell r="DG324">
            <v>9688.0429999999997</v>
          </cell>
          <cell r="DH324">
            <v>0</v>
          </cell>
          <cell r="DI324">
            <v>0</v>
          </cell>
          <cell r="DJ324">
            <v>222.05</v>
          </cell>
          <cell r="DK324">
            <v>577.9</v>
          </cell>
          <cell r="DL324">
            <v>0</v>
          </cell>
          <cell r="DM324">
            <v>1417.2</v>
          </cell>
          <cell r="DN324">
            <v>38.118000000000002</v>
          </cell>
          <cell r="DO324">
            <v>5340.6639999999998</v>
          </cell>
          <cell r="DP324">
            <v>9447.6099999999988</v>
          </cell>
          <cell r="DQ324">
            <v>0</v>
          </cell>
          <cell r="DR324">
            <v>0</v>
          </cell>
          <cell r="DS324">
            <v>221.39</v>
          </cell>
          <cell r="DT324">
            <v>577.9</v>
          </cell>
          <cell r="DU324">
            <v>0</v>
          </cell>
          <cell r="DV324">
            <v>1042.2</v>
          </cell>
          <cell r="DW324">
            <v>910.50800000000004</v>
          </cell>
          <cell r="DX324">
            <v>4830.2740000000003</v>
          </cell>
          <cell r="DY324">
            <v>8930.4310000000005</v>
          </cell>
          <cell r="DZ324">
            <v>0</v>
          </cell>
          <cell r="EA324">
            <v>0</v>
          </cell>
          <cell r="EB324">
            <v>264.62</v>
          </cell>
          <cell r="EC324">
            <v>357.9</v>
          </cell>
          <cell r="ED324">
            <v>0</v>
          </cell>
          <cell r="EE324">
            <v>839.29714285714283</v>
          </cell>
          <cell r="EF324">
            <v>1548.598</v>
          </cell>
          <cell r="EG324">
            <v>4434.3980000000001</v>
          </cell>
          <cell r="EH324">
            <v>4289.0509999999995</v>
          </cell>
          <cell r="EI324">
            <v>0</v>
          </cell>
          <cell r="EJ324">
            <v>0</v>
          </cell>
          <cell r="EK324">
            <v>264.62</v>
          </cell>
          <cell r="EL324">
            <v>357.9</v>
          </cell>
          <cell r="EM324">
            <v>0</v>
          </cell>
          <cell r="EN324">
            <v>858.38000000000011</v>
          </cell>
          <cell r="EO324">
            <v>1577.922</v>
          </cell>
          <cell r="EP324">
            <v>5479.576</v>
          </cell>
          <cell r="EQ324">
            <v>1648.7660000000001</v>
          </cell>
          <cell r="ER324">
            <v>43.79</v>
          </cell>
          <cell r="ES324">
            <v>0</v>
          </cell>
        </row>
        <row r="325">
          <cell r="A325" t="str">
            <v>SPLIT FATTY ACIDS</v>
          </cell>
        </row>
        <row r="326">
          <cell r="A326">
            <v>18</v>
          </cell>
          <cell r="B326" t="str">
            <v>SRM</v>
          </cell>
          <cell r="C326" t="str">
            <v>FM</v>
          </cell>
          <cell r="D326" t="str">
            <v>SCPKO</v>
          </cell>
          <cell r="E326" t="str">
            <v>SCPKO</v>
          </cell>
          <cell r="G326">
            <v>584.46</v>
          </cell>
          <cell r="I326">
            <v>260.3</v>
          </cell>
          <cell r="K326">
            <v>391.70799999999997</v>
          </cell>
          <cell r="M326">
            <v>395.21</v>
          </cell>
          <cell r="R326">
            <v>164.4</v>
          </cell>
          <cell r="T326">
            <v>403.73900000000003</v>
          </cell>
          <cell r="V326">
            <v>843.53</v>
          </cell>
          <cell r="Y326">
            <v>370.26</v>
          </cell>
          <cell r="AA326">
            <v>82.2</v>
          </cell>
          <cell r="AC326">
            <v>860.62200000000007</v>
          </cell>
          <cell r="AE326">
            <v>603.62</v>
          </cell>
          <cell r="AH326">
            <v>425.34</v>
          </cell>
          <cell r="AJ326">
            <v>433.9</v>
          </cell>
          <cell r="AL326">
            <v>1520.4939999999999</v>
          </cell>
          <cell r="AN326">
            <v>1423.3200000000002</v>
          </cell>
          <cell r="AP326">
            <v>260.77499999999998</v>
          </cell>
          <cell r="AQ326">
            <v>376.38</v>
          </cell>
          <cell r="AS326">
            <v>489.63600000000008</v>
          </cell>
          <cell r="AU326">
            <v>1165.508</v>
          </cell>
          <cell r="AW326">
            <v>1055.68</v>
          </cell>
          <cell r="AY326">
            <v>260.77499999999998</v>
          </cell>
          <cell r="AZ326">
            <v>517.14</v>
          </cell>
          <cell r="BB326">
            <v>487.80899999999991</v>
          </cell>
          <cell r="BD326">
            <v>1262.5609999999999</v>
          </cell>
          <cell r="BF326">
            <v>917.55</v>
          </cell>
          <cell r="BH326">
            <v>260.77499999999998</v>
          </cell>
          <cell r="BI326">
            <v>434.52</v>
          </cell>
          <cell r="BK326">
            <v>164.43</v>
          </cell>
          <cell r="BM326">
            <v>692.15200000000004</v>
          </cell>
          <cell r="BO326">
            <v>848.89</v>
          </cell>
          <cell r="BR326">
            <v>370.26</v>
          </cell>
          <cell r="BT326">
            <v>173.565</v>
          </cell>
          <cell r="BV326">
            <v>446.11699999999996</v>
          </cell>
          <cell r="BX326">
            <v>841.8900000000001</v>
          </cell>
          <cell r="CA326">
            <v>48.96</v>
          </cell>
          <cell r="CC326">
            <v>60.291000000000011</v>
          </cell>
          <cell r="CE326">
            <v>364.60300000000001</v>
          </cell>
          <cell r="CG326">
            <v>1197</v>
          </cell>
          <cell r="CI326">
            <v>322.8</v>
          </cell>
          <cell r="CJ326">
            <v>651.78</v>
          </cell>
          <cell r="CL326">
            <v>189.1</v>
          </cell>
          <cell r="CN326">
            <v>534.00700000000006</v>
          </cell>
          <cell r="CP326">
            <v>18</v>
          </cell>
          <cell r="CR326">
            <v>410.4</v>
          </cell>
          <cell r="CS326">
            <v>572.22</v>
          </cell>
          <cell r="CU326">
            <v>195.5</v>
          </cell>
          <cell r="CW326">
            <v>386.40499999999997</v>
          </cell>
          <cell r="CY326">
            <v>901.91000000000008</v>
          </cell>
          <cell r="DA326">
            <v>805.2</v>
          </cell>
          <cell r="DD326">
            <v>566.4</v>
          </cell>
          <cell r="DF326">
            <v>257.71299999999997</v>
          </cell>
          <cell r="DH326">
            <v>170</v>
          </cell>
          <cell r="DK326">
            <v>6.12</v>
          </cell>
          <cell r="DM326">
            <v>96.8</v>
          </cell>
          <cell r="DO326">
            <v>824.07100000000003</v>
          </cell>
          <cell r="DQ326">
            <v>1513</v>
          </cell>
          <cell r="DT326">
            <v>474.3</v>
          </cell>
          <cell r="DV326">
            <v>241.16399999999999</v>
          </cell>
          <cell r="DX326">
            <v>383.83899999999994</v>
          </cell>
          <cell r="DZ326">
            <v>1248</v>
          </cell>
          <cell r="EC326">
            <v>1142.82</v>
          </cell>
          <cell r="EE326">
            <v>85.868999999999986</v>
          </cell>
          <cell r="EG326">
            <v>376.18</v>
          </cell>
          <cell r="EL326">
            <v>792.15</v>
          </cell>
          <cell r="EN326">
            <v>345.303</v>
          </cell>
          <cell r="EP326">
            <v>341.04200000000003</v>
          </cell>
          <cell r="ER326">
            <v>661.44</v>
          </cell>
        </row>
        <row r="327">
          <cell r="A327">
            <v>19</v>
          </cell>
          <cell r="B327" t="str">
            <v>SRM</v>
          </cell>
          <cell r="C327" t="str">
            <v>FM</v>
          </cell>
          <cell r="D327" t="str">
            <v>SCNO</v>
          </cell>
          <cell r="E327" t="str">
            <v>SCNO</v>
          </cell>
        </row>
        <row r="328">
          <cell r="A328">
            <v>20</v>
          </cell>
          <cell r="B328" t="str">
            <v>SRM</v>
          </cell>
          <cell r="C328" t="str">
            <v>FM</v>
          </cell>
          <cell r="D328" t="str">
            <v>SCPKO-HLL</v>
          </cell>
          <cell r="E328" t="str">
            <v>SCPKO-HLL</v>
          </cell>
        </row>
        <row r="329">
          <cell r="A329">
            <v>21</v>
          </cell>
          <cell r="B329" t="str">
            <v>SRM</v>
          </cell>
          <cell r="C329" t="str">
            <v>FM</v>
          </cell>
          <cell r="D329" t="str">
            <v>SPKFAD</v>
          </cell>
          <cell r="E329" t="str">
            <v>SPKFAD</v>
          </cell>
          <cell r="K329">
            <v>117.163</v>
          </cell>
          <cell r="T329">
            <v>13.177</v>
          </cell>
          <cell r="AC329">
            <v>13.177</v>
          </cell>
          <cell r="AL329">
            <v>13.177</v>
          </cell>
          <cell r="AU329">
            <v>209.65</v>
          </cell>
          <cell r="BD329">
            <v>209.65</v>
          </cell>
          <cell r="BM329">
            <v>209.65</v>
          </cell>
          <cell r="BV329">
            <v>209.65</v>
          </cell>
          <cell r="CE329">
            <v>209.65</v>
          </cell>
          <cell r="CN329">
            <v>209.65</v>
          </cell>
          <cell r="CW329">
            <v>209.65</v>
          </cell>
          <cell r="DF329">
            <v>209.65</v>
          </cell>
          <cell r="DO329">
            <v>209.65</v>
          </cell>
          <cell r="DQ329">
            <v>593.39</v>
          </cell>
          <cell r="DX329">
            <v>209.65</v>
          </cell>
          <cell r="EG329">
            <v>209.65</v>
          </cell>
          <cell r="EP329">
            <v>209.65</v>
          </cell>
        </row>
        <row r="330">
          <cell r="A330">
            <v>22</v>
          </cell>
          <cell r="B330" t="str">
            <v>SRM</v>
          </cell>
          <cell r="C330" t="str">
            <v>FM</v>
          </cell>
          <cell r="D330" t="str">
            <v>SCPS</v>
          </cell>
          <cell r="E330" t="str">
            <v>SCPS</v>
          </cell>
        </row>
        <row r="331">
          <cell r="A331">
            <v>23</v>
          </cell>
          <cell r="B331" t="str">
            <v>SRM</v>
          </cell>
          <cell r="C331" t="str">
            <v>FM</v>
          </cell>
          <cell r="D331" t="str">
            <v>SRBDPS</v>
          </cell>
          <cell r="E331" t="str">
            <v>SRBDPS</v>
          </cell>
          <cell r="G331">
            <v>491.59800000000007</v>
          </cell>
          <cell r="K331">
            <v>60.232999999999997</v>
          </cell>
          <cell r="P331">
            <v>364.73399999999998</v>
          </cell>
          <cell r="T331">
            <v>11.805999999999999</v>
          </cell>
          <cell r="Y331">
            <v>119.72790000000001</v>
          </cell>
          <cell r="AC331">
            <v>11.805999999999999</v>
          </cell>
          <cell r="AL331">
            <v>11.805999999999999</v>
          </cell>
          <cell r="AU331">
            <v>11.805999999999999</v>
          </cell>
          <cell r="BD331">
            <v>11.805999999999999</v>
          </cell>
          <cell r="BM331">
            <v>11.805999999999999</v>
          </cell>
          <cell r="BR331">
            <v>98.319600000000008</v>
          </cell>
          <cell r="BV331">
            <v>49.21</v>
          </cell>
          <cell r="BX331">
            <v>353.71</v>
          </cell>
          <cell r="CA331">
            <v>250.55640000000002</v>
          </cell>
          <cell r="CE331">
            <v>49.21</v>
          </cell>
          <cell r="CJ331">
            <v>236.38</v>
          </cell>
          <cell r="CN331">
            <v>49.21</v>
          </cell>
          <cell r="CS331">
            <v>181.57</v>
          </cell>
          <cell r="CU331">
            <v>372.5</v>
          </cell>
          <cell r="CW331">
            <v>49.21</v>
          </cell>
          <cell r="DA331">
            <v>11.1</v>
          </cell>
          <cell r="DF331">
            <v>49.21</v>
          </cell>
          <cell r="DK331">
            <v>31.72</v>
          </cell>
          <cell r="DO331">
            <v>28.806999999999999</v>
          </cell>
          <cell r="DQ331">
            <v>593.39</v>
          </cell>
          <cell r="DT331">
            <v>356.80500000000001</v>
          </cell>
          <cell r="DV331">
            <v>9.1971428571428575</v>
          </cell>
          <cell r="DX331">
            <v>28.806999999999999</v>
          </cell>
          <cell r="EC331">
            <v>201.39660000000001</v>
          </cell>
          <cell r="EG331">
            <v>28.806999999999999</v>
          </cell>
          <cell r="EL331">
            <v>201.39660000000001</v>
          </cell>
          <cell r="EP331">
            <v>28.806999999999999</v>
          </cell>
        </row>
        <row r="332">
          <cell r="A332">
            <v>24</v>
          </cell>
          <cell r="B332" t="str">
            <v>SRM</v>
          </cell>
          <cell r="C332" t="str">
            <v>FM</v>
          </cell>
          <cell r="D332" t="str">
            <v>SCPO</v>
          </cell>
          <cell r="E332" t="str">
            <v>SCPO</v>
          </cell>
        </row>
        <row r="333">
          <cell r="A333">
            <v>25</v>
          </cell>
          <cell r="B333" t="str">
            <v>SRM</v>
          </cell>
          <cell r="C333" t="str">
            <v>FM</v>
          </cell>
          <cell r="D333" t="str">
            <v>SPFAD</v>
          </cell>
          <cell r="E333" t="str">
            <v>SPFAD</v>
          </cell>
          <cell r="G333">
            <v>31.716000000000005</v>
          </cell>
          <cell r="H333">
            <v>4.42</v>
          </cell>
          <cell r="K333">
            <v>410.24</v>
          </cell>
          <cell r="M333">
            <v>155</v>
          </cell>
          <cell r="Q333">
            <v>4.42</v>
          </cell>
          <cell r="T333">
            <v>792.71899999999994</v>
          </cell>
          <cell r="Y333">
            <v>82.461600000000004</v>
          </cell>
          <cell r="Z333">
            <v>4.42</v>
          </cell>
          <cell r="AC333">
            <v>463.959</v>
          </cell>
          <cell r="AG333">
            <v>14</v>
          </cell>
          <cell r="AH333">
            <v>114.17760000000001</v>
          </cell>
          <cell r="AI333">
            <v>4.42</v>
          </cell>
          <cell r="AL333">
            <v>431.03899999999999</v>
          </cell>
          <cell r="AN333">
            <v>32.78</v>
          </cell>
          <cell r="AQ333">
            <v>14.272200000000002</v>
          </cell>
          <cell r="AR333">
            <v>4.42</v>
          </cell>
          <cell r="AU333">
            <v>721.327</v>
          </cell>
          <cell r="AW333">
            <v>619.73</v>
          </cell>
          <cell r="AZ333">
            <v>85.63</v>
          </cell>
          <cell r="BA333">
            <v>4.42</v>
          </cell>
          <cell r="BD333">
            <v>654.36699999999996</v>
          </cell>
          <cell r="BF333">
            <v>675.99</v>
          </cell>
          <cell r="BI333">
            <v>42.816600000000008</v>
          </cell>
          <cell r="BJ333">
            <v>4.42</v>
          </cell>
          <cell r="BK333">
            <v>76.733999999999995</v>
          </cell>
          <cell r="BM333">
            <v>830.86199999999997</v>
          </cell>
          <cell r="BO333">
            <v>868.16</v>
          </cell>
          <cell r="BQ333">
            <v>7</v>
          </cell>
          <cell r="BR333">
            <v>340.947</v>
          </cell>
          <cell r="BS333">
            <v>4.42</v>
          </cell>
          <cell r="BT333">
            <v>64.38</v>
          </cell>
          <cell r="BU333">
            <v>36.920999999999999</v>
          </cell>
          <cell r="BV333">
            <v>434.99400000000003</v>
          </cell>
          <cell r="BX333">
            <v>417.18</v>
          </cell>
          <cell r="BZ333">
            <v>71.760000000000005</v>
          </cell>
          <cell r="CA333">
            <v>172.85220000000001</v>
          </cell>
          <cell r="CB333">
            <v>4.42</v>
          </cell>
          <cell r="CC333">
            <v>152.67257142857144</v>
          </cell>
          <cell r="CE333">
            <v>443.64200000000005</v>
          </cell>
          <cell r="CG333">
            <v>1227</v>
          </cell>
          <cell r="CJ333">
            <v>496.99</v>
          </cell>
          <cell r="CK333">
            <v>4.42</v>
          </cell>
          <cell r="CL333">
            <v>75.400000000000006</v>
          </cell>
          <cell r="CM333">
            <v>125.05200000000001</v>
          </cell>
          <cell r="CN333">
            <v>396.73700000000002</v>
          </cell>
          <cell r="CP333">
            <v>70</v>
          </cell>
          <cell r="CS333">
            <v>268.97000000000003</v>
          </cell>
          <cell r="CT333">
            <v>4.42</v>
          </cell>
          <cell r="CU333">
            <v>186.7</v>
          </cell>
          <cell r="CV333">
            <v>15.708</v>
          </cell>
          <cell r="CW333">
            <v>456.76799999999997</v>
          </cell>
          <cell r="CY333">
            <v>146.49</v>
          </cell>
          <cell r="DA333">
            <v>149.07</v>
          </cell>
          <cell r="DC333">
            <v>4.42</v>
          </cell>
          <cell r="DD333">
            <v>88.3</v>
          </cell>
          <cell r="DE333">
            <v>81.396000000000001</v>
          </cell>
          <cell r="DF333">
            <v>704.03</v>
          </cell>
          <cell r="DK333">
            <v>307.64999999999998</v>
          </cell>
          <cell r="DL333">
            <v>4.42</v>
          </cell>
          <cell r="DM333">
            <v>460.8</v>
          </cell>
          <cell r="DN333">
            <v>65.075999999999993</v>
          </cell>
          <cell r="DO333">
            <v>782.75099999999998</v>
          </cell>
          <cell r="DQ333">
            <v>626</v>
          </cell>
          <cell r="DT333">
            <v>4.7574000000000005</v>
          </cell>
          <cell r="DU333">
            <v>4.42</v>
          </cell>
          <cell r="DV333">
            <v>229.92857142857142</v>
          </cell>
          <cell r="DW333">
            <v>23.664000000000001</v>
          </cell>
          <cell r="DX333">
            <v>612.65</v>
          </cell>
          <cell r="DZ333">
            <v>371.98</v>
          </cell>
          <cell r="ED333">
            <v>4.42</v>
          </cell>
          <cell r="EF333">
            <v>71.400000000000006</v>
          </cell>
          <cell r="EG333">
            <v>255.446</v>
          </cell>
          <cell r="EK333">
            <v>163.30500000000001</v>
          </cell>
          <cell r="EL333">
            <v>18.75</v>
          </cell>
          <cell r="EM333">
            <v>4.42</v>
          </cell>
          <cell r="EP333">
            <v>524.18499999999995</v>
          </cell>
          <cell r="ER333">
            <v>832.73</v>
          </cell>
        </row>
        <row r="334">
          <cell r="A334">
            <v>26</v>
          </cell>
          <cell r="B334" t="str">
            <v>SRM</v>
          </cell>
          <cell r="C334" t="str">
            <v>FM</v>
          </cell>
          <cell r="D334" t="str">
            <v>SCPS-HLL</v>
          </cell>
          <cell r="E334" t="str">
            <v>SCPS-HLL</v>
          </cell>
        </row>
        <row r="335">
          <cell r="A335">
            <v>27</v>
          </cell>
          <cell r="B335" t="str">
            <v>SRM</v>
          </cell>
          <cell r="C335" t="str">
            <v>FM</v>
          </cell>
          <cell r="D335" t="str">
            <v>SMUSTARD OIL</v>
          </cell>
          <cell r="E335" t="str">
            <v>SMUSTARD OIL</v>
          </cell>
          <cell r="I335">
            <v>1.8</v>
          </cell>
          <cell r="M335">
            <v>350.09</v>
          </cell>
          <cell r="R335">
            <v>487.8</v>
          </cell>
          <cell r="AA335">
            <v>45.7</v>
          </cell>
          <cell r="CL335">
            <v>567.29999999999995</v>
          </cell>
          <cell r="CN335">
            <v>226.34200000000001</v>
          </cell>
          <cell r="CU335">
            <v>247.2</v>
          </cell>
          <cell r="CW335">
            <v>204.52699999999999</v>
          </cell>
          <cell r="CY335">
            <v>137.01</v>
          </cell>
          <cell r="DD335">
            <v>339.32</v>
          </cell>
          <cell r="DF335">
            <v>181.60900000000001</v>
          </cell>
          <cell r="DH335">
            <v>60</v>
          </cell>
          <cell r="DM335">
            <v>216.5</v>
          </cell>
          <cell r="DO335">
            <v>54.838999999999999</v>
          </cell>
        </row>
        <row r="336">
          <cell r="A336">
            <v>28</v>
          </cell>
          <cell r="B336" t="str">
            <v>SRM</v>
          </cell>
          <cell r="C336" t="str">
            <v>FM</v>
          </cell>
          <cell r="D336" t="str">
            <v>SMUSTARD OIL-EXPELLER</v>
          </cell>
          <cell r="E336" t="str">
            <v>SMUSTARD OIL-EXPELLER</v>
          </cell>
          <cell r="H336">
            <v>40.11</v>
          </cell>
          <cell r="K336">
            <v>193.61</v>
          </cell>
          <cell r="Q336">
            <v>40.11</v>
          </cell>
          <cell r="T336">
            <v>361.625</v>
          </cell>
          <cell r="V336">
            <v>173.28</v>
          </cell>
          <cell r="Z336">
            <v>40.11</v>
          </cell>
          <cell r="AC336">
            <v>207.45399999999998</v>
          </cell>
          <cell r="AE336">
            <v>301.95999999999998</v>
          </cell>
          <cell r="AI336">
            <v>40.11</v>
          </cell>
          <cell r="AJ336">
            <v>138.9</v>
          </cell>
          <cell r="AL336">
            <v>51.624000000000002</v>
          </cell>
          <cell r="AN336">
            <v>45.12</v>
          </cell>
          <cell r="AR336">
            <v>40.11</v>
          </cell>
          <cell r="AU336">
            <v>51.624000000000002</v>
          </cell>
          <cell r="BA336">
            <v>40.11</v>
          </cell>
          <cell r="BD336">
            <v>51.624000000000002</v>
          </cell>
          <cell r="BJ336">
            <v>40.11</v>
          </cell>
          <cell r="BM336">
            <v>348.00300000000004</v>
          </cell>
          <cell r="BS336">
            <v>40.11</v>
          </cell>
          <cell r="BT336">
            <v>432.99899999999997</v>
          </cell>
          <cell r="BV336">
            <v>684.447</v>
          </cell>
          <cell r="BX336">
            <v>192.76</v>
          </cell>
          <cell r="CB336">
            <v>40.11</v>
          </cell>
          <cell r="CC336">
            <v>358.09200000000004</v>
          </cell>
          <cell r="CE336">
            <v>54.006999999999998</v>
          </cell>
          <cell r="DV336">
            <v>14.615999999999948</v>
          </cell>
          <cell r="DX336">
            <v>208.19400000000002</v>
          </cell>
          <cell r="DZ336">
            <v>111.04</v>
          </cell>
          <cell r="EE336">
            <v>590.12099999999998</v>
          </cell>
          <cell r="EG336">
            <v>626.49099999999999</v>
          </cell>
          <cell r="EN336">
            <v>590.12099999999998</v>
          </cell>
          <cell r="EP336">
            <v>626.49099999999999</v>
          </cell>
        </row>
        <row r="337">
          <cell r="D337" t="str">
            <v>SRM TOTAL</v>
          </cell>
          <cell r="E337" t="str">
            <v>SRM TOTAL</v>
          </cell>
          <cell r="F337">
            <v>0</v>
          </cell>
          <cell r="G337">
            <v>1107.7739999999999</v>
          </cell>
          <cell r="H337">
            <v>44.53</v>
          </cell>
          <cell r="I337">
            <v>262.10000000000002</v>
          </cell>
          <cell r="J337">
            <v>0</v>
          </cell>
          <cell r="K337">
            <v>1172.954</v>
          </cell>
          <cell r="L337">
            <v>0</v>
          </cell>
          <cell r="M337">
            <v>900.3</v>
          </cell>
          <cell r="N337">
            <v>0</v>
          </cell>
          <cell r="O337">
            <v>0</v>
          </cell>
          <cell r="P337">
            <v>364.73399999999998</v>
          </cell>
          <cell r="Q337">
            <v>44.53</v>
          </cell>
          <cell r="R337">
            <v>652.20000000000005</v>
          </cell>
          <cell r="S337">
            <v>0</v>
          </cell>
          <cell r="T337">
            <v>1583.066</v>
          </cell>
          <cell r="U337">
            <v>0</v>
          </cell>
          <cell r="V337">
            <v>1016.81</v>
          </cell>
          <cell r="W337">
            <v>0</v>
          </cell>
          <cell r="X337">
            <v>0</v>
          </cell>
          <cell r="Y337">
            <v>572.44949999999994</v>
          </cell>
          <cell r="Z337">
            <v>44.53</v>
          </cell>
          <cell r="AA337">
            <v>127.9</v>
          </cell>
          <cell r="AB337">
            <v>0</v>
          </cell>
          <cell r="AC337">
            <v>1557.018</v>
          </cell>
          <cell r="AD337">
            <v>0</v>
          </cell>
          <cell r="AE337">
            <v>905.57999999999993</v>
          </cell>
          <cell r="AF337">
            <v>0</v>
          </cell>
          <cell r="AG337">
            <v>14</v>
          </cell>
          <cell r="AH337">
            <v>539.51760000000002</v>
          </cell>
          <cell r="AI337">
            <v>44.53</v>
          </cell>
          <cell r="AJ337">
            <v>572.79999999999995</v>
          </cell>
          <cell r="AK337">
            <v>0</v>
          </cell>
          <cell r="AL337">
            <v>2028.1399999999999</v>
          </cell>
          <cell r="AM337">
            <v>0</v>
          </cell>
          <cell r="AN337">
            <v>1501.22</v>
          </cell>
          <cell r="AO337">
            <v>0</v>
          </cell>
          <cell r="AP337">
            <v>260.77499999999998</v>
          </cell>
          <cell r="AQ337">
            <v>390.65219999999999</v>
          </cell>
          <cell r="AR337">
            <v>44.53</v>
          </cell>
          <cell r="AS337">
            <v>489.63600000000008</v>
          </cell>
          <cell r="AT337">
            <v>0</v>
          </cell>
          <cell r="AU337">
            <v>2159.915</v>
          </cell>
          <cell r="AV337">
            <v>0</v>
          </cell>
          <cell r="AW337">
            <v>1675.41</v>
          </cell>
          <cell r="AX337">
            <v>0</v>
          </cell>
          <cell r="AY337">
            <v>260.77499999999998</v>
          </cell>
          <cell r="AZ337">
            <v>602.77</v>
          </cell>
          <cell r="BA337">
            <v>44.53</v>
          </cell>
          <cell r="BB337">
            <v>487.80899999999991</v>
          </cell>
          <cell r="BC337">
            <v>0</v>
          </cell>
          <cell r="BD337">
            <v>2190.0079999999998</v>
          </cell>
          <cell r="BE337">
            <v>0</v>
          </cell>
          <cell r="BF337">
            <v>1593.54</v>
          </cell>
          <cell r="BG337">
            <v>0</v>
          </cell>
          <cell r="BH337">
            <v>260.77499999999998</v>
          </cell>
          <cell r="BI337">
            <v>477.33659999999998</v>
          </cell>
          <cell r="BJ337">
            <v>44.53</v>
          </cell>
          <cell r="BK337">
            <v>241.16399999999999</v>
          </cell>
          <cell r="BL337">
            <v>0</v>
          </cell>
          <cell r="BM337">
            <v>2092.473</v>
          </cell>
          <cell r="BN337">
            <v>0</v>
          </cell>
          <cell r="BO337">
            <v>1717.05</v>
          </cell>
          <cell r="BP337">
            <v>0</v>
          </cell>
          <cell r="BQ337">
            <v>7</v>
          </cell>
          <cell r="BR337">
            <v>809.52660000000003</v>
          </cell>
          <cell r="BS337">
            <v>44.53</v>
          </cell>
          <cell r="BT337">
            <v>670.94399999999996</v>
          </cell>
          <cell r="BU337">
            <v>36.920999999999999</v>
          </cell>
          <cell r="BV337">
            <v>1824.4180000000001</v>
          </cell>
          <cell r="BW337">
            <v>0</v>
          </cell>
          <cell r="BX337">
            <v>1805.5400000000002</v>
          </cell>
          <cell r="BY337">
            <v>0</v>
          </cell>
          <cell r="BZ337">
            <v>71.760000000000005</v>
          </cell>
          <cell r="CA337">
            <v>472.36860000000001</v>
          </cell>
          <cell r="CB337">
            <v>44.53</v>
          </cell>
          <cell r="CC337">
            <v>571.05557142857151</v>
          </cell>
          <cell r="CD337">
            <v>0</v>
          </cell>
          <cell r="CE337">
            <v>1121.1120000000001</v>
          </cell>
          <cell r="CF337">
            <v>0</v>
          </cell>
          <cell r="CG337">
            <v>2424</v>
          </cell>
          <cell r="CH337">
            <v>0</v>
          </cell>
          <cell r="CI337">
            <v>322.8</v>
          </cell>
          <cell r="CJ337">
            <v>1385.15</v>
          </cell>
          <cell r="CK337">
            <v>4.42</v>
          </cell>
          <cell r="CL337">
            <v>831.8</v>
          </cell>
          <cell r="CM337">
            <v>125.05200000000001</v>
          </cell>
          <cell r="CN337">
            <v>1415.9460000000001</v>
          </cell>
          <cell r="CO337">
            <v>0</v>
          </cell>
          <cell r="CP337">
            <v>88</v>
          </cell>
          <cell r="CQ337">
            <v>0</v>
          </cell>
          <cell r="CR337">
            <v>410.4</v>
          </cell>
          <cell r="CS337">
            <v>1022.76</v>
          </cell>
          <cell r="CT337">
            <v>4.42</v>
          </cell>
          <cell r="CU337">
            <v>1001.9000000000001</v>
          </cell>
          <cell r="CV337">
            <v>15.708</v>
          </cell>
          <cell r="CW337">
            <v>1306.56</v>
          </cell>
          <cell r="CX337">
            <v>0</v>
          </cell>
          <cell r="CY337">
            <v>1185.4100000000001</v>
          </cell>
          <cell r="CZ337">
            <v>0</v>
          </cell>
          <cell r="DA337">
            <v>965.37000000000012</v>
          </cell>
          <cell r="DB337">
            <v>0</v>
          </cell>
          <cell r="DC337">
            <v>4.42</v>
          </cell>
          <cell r="DD337">
            <v>994.02</v>
          </cell>
          <cell r="DE337">
            <v>81.396000000000001</v>
          </cell>
          <cell r="DF337">
            <v>1402.212</v>
          </cell>
          <cell r="DG337">
            <v>0</v>
          </cell>
          <cell r="DH337">
            <v>230</v>
          </cell>
          <cell r="DI337">
            <v>0</v>
          </cell>
          <cell r="DJ337">
            <v>0</v>
          </cell>
          <cell r="DK337">
            <v>345.48999999999995</v>
          </cell>
          <cell r="DL337">
            <v>4.42</v>
          </cell>
          <cell r="DM337">
            <v>774.1</v>
          </cell>
          <cell r="DN337">
            <v>65.075999999999993</v>
          </cell>
          <cell r="DO337">
            <v>1900.1179999999999</v>
          </cell>
          <cell r="DP337">
            <v>0</v>
          </cell>
          <cell r="DQ337">
            <v>3325.7799999999997</v>
          </cell>
          <cell r="DR337">
            <v>0</v>
          </cell>
          <cell r="DS337">
            <v>0</v>
          </cell>
          <cell r="DT337">
            <v>835.86239999999998</v>
          </cell>
          <cell r="DU337">
            <v>4.42</v>
          </cell>
          <cell r="DV337">
            <v>494.90571428571417</v>
          </cell>
          <cell r="DW337">
            <v>23.664000000000001</v>
          </cell>
          <cell r="DX337">
            <v>1443.1399999999999</v>
          </cell>
          <cell r="DY337">
            <v>0</v>
          </cell>
          <cell r="DZ337">
            <v>1731.02</v>
          </cell>
          <cell r="EA337">
            <v>0</v>
          </cell>
          <cell r="EB337">
            <v>0</v>
          </cell>
          <cell r="EC337">
            <v>1344.2166</v>
          </cell>
          <cell r="ED337">
            <v>4.42</v>
          </cell>
          <cell r="EE337">
            <v>675.99</v>
          </cell>
          <cell r="EF337">
            <v>71.400000000000006</v>
          </cell>
          <cell r="EG337">
            <v>1496.5740000000001</v>
          </cell>
          <cell r="EH337">
            <v>0</v>
          </cell>
          <cell r="EI337">
            <v>0</v>
          </cell>
          <cell r="EJ337">
            <v>0</v>
          </cell>
          <cell r="EK337">
            <v>163.30500000000001</v>
          </cell>
          <cell r="EL337">
            <v>1012.2966</v>
          </cell>
          <cell r="EM337">
            <v>4.42</v>
          </cell>
          <cell r="EN337">
            <v>935.42399999999998</v>
          </cell>
          <cell r="EO337">
            <v>0</v>
          </cell>
          <cell r="EP337">
            <v>1730.175</v>
          </cell>
          <cell r="EQ337">
            <v>0</v>
          </cell>
          <cell r="ER337">
            <v>1494.17</v>
          </cell>
          <cell r="ES337">
            <v>0</v>
          </cell>
        </row>
        <row r="338">
          <cell r="A338" t="str">
            <v>IN-PROCESS FATTY ACIDS</v>
          </cell>
        </row>
        <row r="339">
          <cell r="A339">
            <v>29</v>
          </cell>
          <cell r="B339" t="str">
            <v>IPRM</v>
          </cell>
          <cell r="C339" t="str">
            <v>FM</v>
          </cell>
          <cell r="D339" t="str">
            <v>B/PSCPKO&gt;C14</v>
          </cell>
          <cell r="E339" t="str">
            <v xml:space="preserve">B/P PKO </v>
          </cell>
          <cell r="F339">
            <v>71.28</v>
          </cell>
          <cell r="G339">
            <v>1010.04</v>
          </cell>
          <cell r="I339">
            <v>138</v>
          </cell>
          <cell r="M339">
            <v>30.69</v>
          </cell>
          <cell r="P339">
            <v>447.43</v>
          </cell>
          <cell r="R339">
            <v>328.8</v>
          </cell>
          <cell r="Y339">
            <v>248.08</v>
          </cell>
          <cell r="AA339">
            <v>389.2</v>
          </cell>
          <cell r="AE339">
            <v>30.33</v>
          </cell>
          <cell r="AG339">
            <v>82.367999999999995</v>
          </cell>
          <cell r="AH339">
            <v>292.38</v>
          </cell>
          <cell r="AJ339">
            <v>614.6</v>
          </cell>
          <cell r="AP339">
            <v>12.48</v>
          </cell>
          <cell r="AQ339">
            <v>141.76</v>
          </cell>
          <cell r="AS339">
            <v>195.9</v>
          </cell>
          <cell r="AZ339">
            <v>8.86</v>
          </cell>
          <cell r="BB339">
            <v>235.44685714285714</v>
          </cell>
          <cell r="BH339">
            <v>130.185</v>
          </cell>
          <cell r="BI339">
            <v>15.505000000000001</v>
          </cell>
          <cell r="BK339">
            <v>73.57714285714286</v>
          </cell>
          <cell r="BQ339">
            <v>1.98</v>
          </cell>
          <cell r="BR339">
            <v>17.72</v>
          </cell>
          <cell r="BT339">
            <v>112.20514285714287</v>
          </cell>
          <cell r="BX339">
            <v>15.34</v>
          </cell>
          <cell r="BZ339">
            <v>71.819999999999993</v>
          </cell>
          <cell r="CC339">
            <v>70.818000000000026</v>
          </cell>
          <cell r="CI339">
            <v>57.29</v>
          </cell>
          <cell r="CL339">
            <v>14.6</v>
          </cell>
          <cell r="CR339">
            <v>188.1</v>
          </cell>
          <cell r="CU339">
            <v>48.7</v>
          </cell>
          <cell r="DA339">
            <v>123.68</v>
          </cell>
          <cell r="DD339">
            <v>117.7</v>
          </cell>
          <cell r="DJ339">
            <v>89.23</v>
          </cell>
          <cell r="DK339">
            <v>351.17</v>
          </cell>
          <cell r="DM339">
            <v>154.5</v>
          </cell>
          <cell r="DS339">
            <v>29.327999999999999</v>
          </cell>
          <cell r="DT339">
            <v>347.85449999999997</v>
          </cell>
          <cell r="DV339">
            <v>39.970285714285723</v>
          </cell>
          <cell r="DZ339">
            <v>105.43</v>
          </cell>
          <cell r="EC339">
            <v>673.62300000000005</v>
          </cell>
          <cell r="EE339">
            <v>184.86257142857141</v>
          </cell>
          <cell r="EK339">
            <v>200.4</v>
          </cell>
          <cell r="EL339">
            <v>340.12440000000004</v>
          </cell>
          <cell r="EN339">
            <v>134.06700000000001</v>
          </cell>
        </row>
        <row r="340">
          <cell r="A340">
            <v>30</v>
          </cell>
          <cell r="B340" t="str">
            <v>IPRM</v>
          </cell>
          <cell r="C340" t="str">
            <v>FM</v>
          </cell>
          <cell r="D340" t="str">
            <v>B/P CNO&gt;C14</v>
          </cell>
          <cell r="E340" t="str">
            <v>B/P CNO&gt;C14</v>
          </cell>
        </row>
        <row r="341">
          <cell r="A341">
            <v>31</v>
          </cell>
          <cell r="B341" t="str">
            <v>IPRM</v>
          </cell>
          <cell r="C341" t="str">
            <v>FM</v>
          </cell>
          <cell r="D341" t="str">
            <v>SB/PSCPKO&gt;C14</v>
          </cell>
          <cell r="E341" t="str">
            <v>S B/P PKO</v>
          </cell>
        </row>
        <row r="342">
          <cell r="A342">
            <v>32</v>
          </cell>
          <cell r="B342" t="str">
            <v>IPRM</v>
          </cell>
          <cell r="C342" t="str">
            <v>FM</v>
          </cell>
          <cell r="D342" t="str">
            <v>B/PSCNO&gt;C14</v>
          </cell>
          <cell r="E342" t="str">
            <v>S B/P CNO</v>
          </cell>
        </row>
        <row r="343">
          <cell r="A343">
            <v>33</v>
          </cell>
          <cell r="B343" t="str">
            <v>IPRM</v>
          </cell>
          <cell r="C343" t="str">
            <v>SM</v>
          </cell>
          <cell r="D343" t="str">
            <v>B/PSCPKO&gt;C16</v>
          </cell>
          <cell r="E343" t="str">
            <v>B/P&gt;C16 - OLEIC K</v>
          </cell>
          <cell r="F343">
            <v>20.233880000000003</v>
          </cell>
        </row>
        <row r="344">
          <cell r="A344">
            <v>34</v>
          </cell>
          <cell r="B344" t="str">
            <v>IPRM</v>
          </cell>
          <cell r="C344" t="str">
            <v>SM</v>
          </cell>
          <cell r="D344" t="str">
            <v>HYD C16/C18 FOR DTP-7</v>
          </cell>
          <cell r="E344" t="str">
            <v>HYD C16/C18 FOR DTP-7</v>
          </cell>
        </row>
        <row r="345">
          <cell r="A345">
            <v>35</v>
          </cell>
          <cell r="B345" t="str">
            <v>IPRM</v>
          </cell>
          <cell r="C345" t="str">
            <v>NM</v>
          </cell>
          <cell r="D345" t="str">
            <v>L/E PKO(C6-C8)-C6@65%</v>
          </cell>
          <cell r="E345" t="str">
            <v>C6&gt;50%</v>
          </cell>
        </row>
        <row r="346">
          <cell r="A346">
            <v>36</v>
          </cell>
          <cell r="B346" t="str">
            <v>IPRM</v>
          </cell>
          <cell r="C346" t="str">
            <v>FM</v>
          </cell>
          <cell r="D346" t="str">
            <v>L/E PKO(C6-C12)</v>
          </cell>
          <cell r="E346" t="str">
            <v>TALOJA</v>
          </cell>
          <cell r="Y346">
            <v>484.43796000000003</v>
          </cell>
          <cell r="AH346">
            <v>413.99586000000005</v>
          </cell>
          <cell r="AI346">
            <v>831.39</v>
          </cell>
          <cell r="AJ346">
            <v>151</v>
          </cell>
          <cell r="AP346">
            <v>25.2075</v>
          </cell>
          <cell r="AQ346">
            <v>414.84456</v>
          </cell>
          <cell r="AR346">
            <v>831.39</v>
          </cell>
          <cell r="AS346">
            <v>102.80789999999999</v>
          </cell>
          <cell r="AY346">
            <v>22.98</v>
          </cell>
          <cell r="AZ346">
            <v>248.49936000000002</v>
          </cell>
          <cell r="BA346">
            <v>831.39</v>
          </cell>
          <cell r="BB346">
            <v>141.375</v>
          </cell>
          <cell r="BH346">
            <v>3.2174999999999998</v>
          </cell>
          <cell r="BI346">
            <v>68.574960000000004</v>
          </cell>
          <cell r="BJ346">
            <v>831.39</v>
          </cell>
          <cell r="BK346">
            <v>121.5825</v>
          </cell>
          <cell r="BQ346">
            <v>2.97</v>
          </cell>
          <cell r="BR346">
            <v>211.15655999999998</v>
          </cell>
          <cell r="BS346">
            <v>724.32</v>
          </cell>
          <cell r="BT346">
            <v>174.90915000000001</v>
          </cell>
          <cell r="BX346">
            <v>65.05</v>
          </cell>
          <cell r="CA346">
            <v>881.57</v>
          </cell>
          <cell r="CB346">
            <v>305.16000000000003</v>
          </cell>
          <cell r="CC346">
            <v>129.49949999999998</v>
          </cell>
          <cell r="CJ346">
            <v>1218.25</v>
          </cell>
          <cell r="CL346">
            <v>184.2</v>
          </cell>
          <cell r="CS346">
            <v>1297.99</v>
          </cell>
          <cell r="CU346">
            <v>159.80000000000001</v>
          </cell>
          <cell r="DA346">
            <v>1402.1</v>
          </cell>
          <cell r="DD346">
            <v>219</v>
          </cell>
          <cell r="DK346">
            <v>1572.65</v>
          </cell>
          <cell r="DM346">
            <v>219.7</v>
          </cell>
          <cell r="DS346">
            <v>143.84200000000001</v>
          </cell>
          <cell r="DT346">
            <v>1647.96</v>
          </cell>
          <cell r="DV346">
            <v>136.52785714285713</v>
          </cell>
          <cell r="EB346">
            <v>257.41999999999996</v>
          </cell>
          <cell r="EC346">
            <v>1382.16</v>
          </cell>
          <cell r="EE346">
            <v>70.283571428571435</v>
          </cell>
          <cell r="EK346">
            <v>148.43</v>
          </cell>
          <cell r="EL346">
            <v>1382.16</v>
          </cell>
          <cell r="EN346">
            <v>30.133071428571434</v>
          </cell>
        </row>
        <row r="347">
          <cell r="A347">
            <v>37</v>
          </cell>
          <cell r="B347" t="str">
            <v>IPRM</v>
          </cell>
          <cell r="C347" t="str">
            <v>FM</v>
          </cell>
          <cell r="D347" t="str">
            <v>HYD.L/EPKO(C6-C12)</v>
          </cell>
          <cell r="E347" t="str">
            <v>H L/E PKO</v>
          </cell>
          <cell r="AP347">
            <v>63.005000000000003</v>
          </cell>
          <cell r="AY347">
            <v>182.29999999999998</v>
          </cell>
          <cell r="EB347">
            <v>55.94</v>
          </cell>
          <cell r="EC347">
            <v>5.77</v>
          </cell>
          <cell r="EL347">
            <v>138.16836000000001</v>
          </cell>
          <cell r="EN347">
            <v>163.995</v>
          </cell>
        </row>
        <row r="348">
          <cell r="A348">
            <v>38</v>
          </cell>
          <cell r="B348" t="str">
            <v>IPRM</v>
          </cell>
          <cell r="C348" t="str">
            <v>FM</v>
          </cell>
          <cell r="D348" t="str">
            <v>L/E PKO(C8-C12)</v>
          </cell>
          <cell r="E348" t="str">
            <v>L/E PKO</v>
          </cell>
          <cell r="G348">
            <v>664.36235999999997</v>
          </cell>
          <cell r="H348">
            <v>546.02</v>
          </cell>
          <cell r="I348">
            <v>175.3</v>
          </cell>
          <cell r="P348">
            <v>663.51366000000007</v>
          </cell>
          <cell r="Q348">
            <v>721.09</v>
          </cell>
          <cell r="R348">
            <v>66.900000000000006</v>
          </cell>
          <cell r="V348">
            <v>29.59</v>
          </cell>
          <cell r="X348">
            <v>59.622499999999995</v>
          </cell>
          <cell r="Z348">
            <v>831.39</v>
          </cell>
          <cell r="AA348">
            <v>150</v>
          </cell>
          <cell r="AG348">
            <v>11.137499999999999</v>
          </cell>
          <cell r="CJ348">
            <v>701.53</v>
          </cell>
          <cell r="CR348">
            <v>114.34</v>
          </cell>
          <cell r="CS348">
            <v>701.53</v>
          </cell>
          <cell r="DA348">
            <v>523.93000000000006</v>
          </cell>
          <cell r="DK348">
            <v>488.53</v>
          </cell>
          <cell r="DT348">
            <v>488.52800000000002</v>
          </cell>
          <cell r="EB348">
            <v>100.485</v>
          </cell>
          <cell r="EC348">
            <v>260.08999999999997</v>
          </cell>
          <cell r="EL348">
            <v>408.26600000000002</v>
          </cell>
        </row>
        <row r="349">
          <cell r="A349">
            <v>39</v>
          </cell>
          <cell r="B349" t="str">
            <v>IPRM</v>
          </cell>
          <cell r="C349" t="str">
            <v>FM</v>
          </cell>
          <cell r="D349" t="str">
            <v>L/E PKO(C10-C12)</v>
          </cell>
          <cell r="E349" t="str">
            <v>B/P OF C8 H</v>
          </cell>
          <cell r="G349">
            <v>1249.8399999999999</v>
          </cell>
          <cell r="O349">
            <v>97.656000000000006</v>
          </cell>
          <cell r="P349">
            <v>1142</v>
          </cell>
          <cell r="Y349">
            <v>705.43</v>
          </cell>
          <cell r="AH349">
            <v>703.14</v>
          </cell>
          <cell r="AQ349">
            <v>704.73</v>
          </cell>
          <cell r="AY349">
            <v>34.631999999999998</v>
          </cell>
          <cell r="AZ349">
            <v>740.18</v>
          </cell>
          <cell r="BI349">
            <v>1081.08</v>
          </cell>
          <cell r="BR349">
            <v>1101.69</v>
          </cell>
          <cell r="CA349">
            <v>701.53099999999995</v>
          </cell>
          <cell r="DA349">
            <v>73.319999999999993</v>
          </cell>
        </row>
        <row r="350">
          <cell r="A350">
            <v>40</v>
          </cell>
          <cell r="B350" t="str">
            <v>IPRM</v>
          </cell>
          <cell r="C350" t="str">
            <v>FM</v>
          </cell>
          <cell r="D350" t="str">
            <v>C12+C14+C16-PKO/CNO</v>
          </cell>
          <cell r="E350" t="str">
            <v>C12+C14+C16-PKO/CNO</v>
          </cell>
        </row>
        <row r="351">
          <cell r="A351">
            <v>41</v>
          </cell>
          <cell r="B351" t="str">
            <v>IPRM</v>
          </cell>
          <cell r="C351" t="str">
            <v>FM</v>
          </cell>
          <cell r="D351" t="str">
            <v>C14+C16(C14~60)</v>
          </cell>
          <cell r="E351" t="str">
            <v>C14+C16(C14~60)</v>
          </cell>
        </row>
        <row r="352">
          <cell r="A352">
            <v>42</v>
          </cell>
          <cell r="B352" t="str">
            <v>IPRM</v>
          </cell>
          <cell r="C352" t="str">
            <v>FM</v>
          </cell>
          <cell r="D352" t="str">
            <v>C14+C16+C18(C16@65%)</v>
          </cell>
          <cell r="E352" t="str">
            <v>C14+C16+C18(C16@65%)</v>
          </cell>
        </row>
        <row r="353">
          <cell r="A353">
            <v>43</v>
          </cell>
          <cell r="B353" t="str">
            <v>IPRM</v>
          </cell>
          <cell r="C353" t="str">
            <v>FM</v>
          </cell>
          <cell r="D353" t="str">
            <v>C16+C18-PFAD/PKO(C16@80%)</v>
          </cell>
          <cell r="E353" t="str">
            <v>C16+C18-PFAD/PKO(C16@80%)</v>
          </cell>
        </row>
        <row r="354">
          <cell r="A354">
            <v>44</v>
          </cell>
          <cell r="B354" t="str">
            <v>IPRM</v>
          </cell>
          <cell r="C354" t="str">
            <v>NM</v>
          </cell>
          <cell r="D354" t="str">
            <v>L/E'S OF  S.B</v>
          </cell>
          <cell r="E354" t="str">
            <v>L/E'S OF  S.B</v>
          </cell>
          <cell r="F354">
            <v>10.548500000000001</v>
          </cell>
          <cell r="H354">
            <v>14.59</v>
          </cell>
          <cell r="I354">
            <v>102</v>
          </cell>
          <cell r="O354">
            <v>10.548500000000001</v>
          </cell>
          <cell r="Q354">
            <v>14.59</v>
          </cell>
          <cell r="R354">
            <v>80.5</v>
          </cell>
          <cell r="X354">
            <v>10.548500000000001</v>
          </cell>
          <cell r="Z354">
            <v>14.59</v>
          </cell>
          <cell r="AA354">
            <v>103.5</v>
          </cell>
          <cell r="AG354">
            <v>10.548500000000001</v>
          </cell>
          <cell r="AI354">
            <v>14.59</v>
          </cell>
          <cell r="AP354">
            <v>8.3975000000000009</v>
          </cell>
          <cell r="AR354">
            <v>14.59</v>
          </cell>
          <cell r="AY354">
            <v>8.3975000000000009</v>
          </cell>
          <cell r="BA354">
            <v>14.59</v>
          </cell>
          <cell r="BH354">
            <v>8.3975000000000009</v>
          </cell>
          <cell r="BJ354">
            <v>14.59</v>
          </cell>
          <cell r="BQ354">
            <v>8.3975000000000009</v>
          </cell>
          <cell r="BS354">
            <v>14.59</v>
          </cell>
          <cell r="BZ354">
            <v>8.3975000000000009</v>
          </cell>
          <cell r="CB354">
            <v>14.59</v>
          </cell>
          <cell r="CI354">
            <v>22.73</v>
          </cell>
          <cell r="CK354">
            <v>14.59</v>
          </cell>
          <cell r="CR354">
            <v>7.22</v>
          </cell>
          <cell r="CT354">
            <v>14.59</v>
          </cell>
          <cell r="CU354">
            <v>115</v>
          </cell>
          <cell r="DA354">
            <v>9.6199999999999992</v>
          </cell>
          <cell r="DC354">
            <v>14.59</v>
          </cell>
          <cell r="DD354">
            <v>102</v>
          </cell>
          <cell r="DJ354">
            <v>10.36</v>
          </cell>
          <cell r="DK354">
            <v>17.440000000000001</v>
          </cell>
          <cell r="DL354">
            <v>14.59</v>
          </cell>
          <cell r="DM354">
            <v>122</v>
          </cell>
          <cell r="DS354">
            <v>8.3975000000000009</v>
          </cell>
          <cell r="DU354">
            <v>14.59</v>
          </cell>
          <cell r="EB354">
            <v>8.3975000000000009</v>
          </cell>
          <cell r="ED354">
            <v>14.59</v>
          </cell>
          <cell r="EE354">
            <v>133.5</v>
          </cell>
          <cell r="EK354">
            <v>8.3975000000000009</v>
          </cell>
          <cell r="EL354">
            <v>14.272200000000002</v>
          </cell>
          <cell r="EM354">
            <v>14.59</v>
          </cell>
          <cell r="EN354">
            <v>137</v>
          </cell>
        </row>
        <row r="355">
          <cell r="A355">
            <v>45</v>
          </cell>
          <cell r="B355" t="str">
            <v>IPRM</v>
          </cell>
          <cell r="C355" t="str">
            <v>NM</v>
          </cell>
          <cell r="D355" t="str">
            <v>BAD C8/C10</v>
          </cell>
          <cell r="E355" t="str">
            <v>BAD C8/C10</v>
          </cell>
          <cell r="F355">
            <v>99.99</v>
          </cell>
          <cell r="G355">
            <v>211.58</v>
          </cell>
          <cell r="O355">
            <v>31.945</v>
          </cell>
          <cell r="P355">
            <v>32.680199999999999</v>
          </cell>
          <cell r="X355">
            <v>28</v>
          </cell>
          <cell r="Y355">
            <v>17.2192525</v>
          </cell>
          <cell r="AG355">
            <v>34.671999999999997</v>
          </cell>
          <cell r="AH355">
            <v>17.22</v>
          </cell>
          <cell r="AP355">
            <v>32.76</v>
          </cell>
          <cell r="AQ355">
            <v>17.2192525</v>
          </cell>
          <cell r="AY355">
            <v>18.43657</v>
          </cell>
          <cell r="AZ355">
            <v>17.890202499999997</v>
          </cell>
          <cell r="BI355">
            <v>17.890202499999997</v>
          </cell>
          <cell r="BQ355">
            <v>14.943569999999999</v>
          </cell>
          <cell r="BR355">
            <v>17.890202499999997</v>
          </cell>
          <cell r="BZ355">
            <v>14.943569999999999</v>
          </cell>
          <cell r="CA355">
            <v>17.890202499999997</v>
          </cell>
          <cell r="CI355">
            <v>14.94</v>
          </cell>
          <cell r="CJ355">
            <v>58.67</v>
          </cell>
          <cell r="CS355">
            <v>73.739999999999995</v>
          </cell>
          <cell r="DA355">
            <v>73.739999999999995</v>
          </cell>
          <cell r="DJ355">
            <v>69.89</v>
          </cell>
          <cell r="DS355">
            <v>86.424000000000007</v>
          </cell>
          <cell r="EB355">
            <v>8.1120000000000001</v>
          </cell>
          <cell r="EC355">
            <v>42.044402499999997</v>
          </cell>
          <cell r="EK355">
            <v>0.312</v>
          </cell>
          <cell r="EL355">
            <v>42.044402499999997</v>
          </cell>
        </row>
        <row r="356">
          <cell r="A356">
            <v>46</v>
          </cell>
          <cell r="B356" t="str">
            <v>IPRM</v>
          </cell>
          <cell r="C356" t="str">
            <v>FM</v>
          </cell>
          <cell r="D356" t="str">
            <v>L/E PKO(C12@80%)</v>
          </cell>
          <cell r="E356" t="str">
            <v>B/P OF C10</v>
          </cell>
          <cell r="X356">
            <v>173.43</v>
          </cell>
          <cell r="EB356">
            <v>113.85</v>
          </cell>
          <cell r="EK356">
            <v>112.36499999999999</v>
          </cell>
        </row>
        <row r="357">
          <cell r="A357">
            <v>47</v>
          </cell>
          <cell r="B357" t="str">
            <v>IPRM</v>
          </cell>
          <cell r="C357" t="str">
            <v>NM</v>
          </cell>
          <cell r="D357" t="str">
            <v>DAG-MCT</v>
          </cell>
          <cell r="E357" t="str">
            <v>HYD DEAC MCT</v>
          </cell>
          <cell r="F357">
            <v>95.85</v>
          </cell>
          <cell r="G357">
            <v>255.31380000000001</v>
          </cell>
          <cell r="H357">
            <v>26.38</v>
          </cell>
          <cell r="O357">
            <v>176.41</v>
          </cell>
          <cell r="P357">
            <v>256.10669999999999</v>
          </cell>
          <cell r="Q357">
            <v>26.38</v>
          </cell>
          <cell r="Y357">
            <v>467.81100000000004</v>
          </cell>
          <cell r="Z357">
            <v>26.38</v>
          </cell>
          <cell r="AH357">
            <v>464.63940000000002</v>
          </cell>
          <cell r="AI357">
            <v>26.38</v>
          </cell>
          <cell r="AQ357">
            <v>464.63940000000002</v>
          </cell>
          <cell r="AR357">
            <v>26.38</v>
          </cell>
          <cell r="AZ357">
            <v>463.05360000000002</v>
          </cell>
          <cell r="BA357">
            <v>26.38</v>
          </cell>
          <cell r="BI357">
            <v>463.05360000000002</v>
          </cell>
          <cell r="BJ357">
            <v>26.38</v>
          </cell>
          <cell r="BR357">
            <v>463.05360000000002</v>
          </cell>
          <cell r="BS357">
            <v>26.38</v>
          </cell>
          <cell r="CA357">
            <v>463.05360000000002</v>
          </cell>
          <cell r="CB357">
            <v>26.38</v>
          </cell>
          <cell r="CJ357">
            <v>460.67</v>
          </cell>
          <cell r="CK357">
            <v>26.38</v>
          </cell>
          <cell r="CS357">
            <v>460.67</v>
          </cell>
          <cell r="CT357">
            <v>26.38</v>
          </cell>
          <cell r="DA357">
            <v>460.67</v>
          </cell>
          <cell r="DC357">
            <v>26.38</v>
          </cell>
          <cell r="DK357">
            <v>460.67</v>
          </cell>
          <cell r="DL357">
            <v>26.38</v>
          </cell>
          <cell r="DT357">
            <v>466.22520000000003</v>
          </cell>
          <cell r="DU357">
            <v>26.38</v>
          </cell>
          <cell r="EC357">
            <v>466.22520000000003</v>
          </cell>
          <cell r="EL357">
            <v>466.22520000000003</v>
          </cell>
          <cell r="EM357">
            <v>26.38</v>
          </cell>
        </row>
        <row r="358">
          <cell r="A358">
            <v>247</v>
          </cell>
          <cell r="B358" t="str">
            <v>IPRM</v>
          </cell>
          <cell r="C358" t="str">
            <v>NM</v>
          </cell>
          <cell r="D358" t="str">
            <v>D ACIDIFIED MCT</v>
          </cell>
          <cell r="E358" t="str">
            <v>D ACIDIFIED MCT</v>
          </cell>
          <cell r="F358">
            <v>98.1</v>
          </cell>
          <cell r="O358">
            <v>10.8</v>
          </cell>
          <cell r="ED358">
            <v>26.38</v>
          </cell>
        </row>
        <row r="359">
          <cell r="A359">
            <v>48</v>
          </cell>
          <cell r="B359" t="str">
            <v>IPRM</v>
          </cell>
          <cell r="C359" t="str">
            <v>SM</v>
          </cell>
          <cell r="D359" t="str">
            <v>PKORESIDUE</v>
          </cell>
          <cell r="E359" t="str">
            <v>PKORESIDUE</v>
          </cell>
          <cell r="F359">
            <v>46.54</v>
          </cell>
          <cell r="H359">
            <v>936.92000000000007</v>
          </cell>
          <cell r="O359">
            <v>12.92</v>
          </cell>
          <cell r="P359">
            <v>514.60380000000009</v>
          </cell>
          <cell r="Q359">
            <v>503.81</v>
          </cell>
          <cell r="X359">
            <v>10.919</v>
          </cell>
          <cell r="Y359">
            <v>474.84900000000005</v>
          </cell>
          <cell r="Z359">
            <v>211.54</v>
          </cell>
          <cell r="AG359">
            <v>3.4289999999999998</v>
          </cell>
          <cell r="AH359">
            <v>459.38880000000006</v>
          </cell>
          <cell r="AP359">
            <v>11.92</v>
          </cell>
          <cell r="AQ359">
            <v>532.27260000000001</v>
          </cell>
          <cell r="AZ359">
            <v>454.97160000000002</v>
          </cell>
          <cell r="BH359">
            <v>15.683467999999998</v>
          </cell>
          <cell r="BI359">
            <v>459.38880000000006</v>
          </cell>
          <cell r="BQ359">
            <v>11.681118</v>
          </cell>
          <cell r="BR359">
            <v>633.86820000000012</v>
          </cell>
          <cell r="BZ359">
            <v>14.591917999999998</v>
          </cell>
          <cell r="CA359">
            <v>490.30920000000003</v>
          </cell>
          <cell r="CI359">
            <v>15.32</v>
          </cell>
          <cell r="CJ359">
            <v>256.2</v>
          </cell>
          <cell r="CS359">
            <v>1060.6100000000001</v>
          </cell>
          <cell r="DA359">
            <v>326.87</v>
          </cell>
          <cell r="DJ359">
            <v>12.41</v>
          </cell>
          <cell r="DK359">
            <v>1303.46</v>
          </cell>
          <cell r="DM359">
            <v>11.7</v>
          </cell>
          <cell r="DS359">
            <v>23.06</v>
          </cell>
          <cell r="DT359">
            <v>585.279</v>
          </cell>
          <cell r="EB359">
            <v>18.958117999999995</v>
          </cell>
          <cell r="EC359">
            <v>647.11980000000005</v>
          </cell>
          <cell r="EE359">
            <v>129.71700000000001</v>
          </cell>
          <cell r="EK359">
            <v>14.498999999999999</v>
          </cell>
          <cell r="EL359">
            <v>803.93040000000008</v>
          </cell>
        </row>
        <row r="360">
          <cell r="A360">
            <v>49</v>
          </cell>
          <cell r="B360" t="str">
            <v>IPRM</v>
          </cell>
          <cell r="C360" t="str">
            <v>SM</v>
          </cell>
          <cell r="D360" t="str">
            <v>SPKORESIDUE</v>
          </cell>
          <cell r="E360" t="str">
            <v>SPKORESIDUE</v>
          </cell>
          <cell r="P360">
            <v>199.124</v>
          </cell>
          <cell r="R360">
            <v>36.799999999999997</v>
          </cell>
          <cell r="V360">
            <v>30.7</v>
          </cell>
          <cell r="Y360">
            <v>449.73</v>
          </cell>
          <cell r="AH360">
            <v>619.6</v>
          </cell>
          <cell r="AQ360">
            <v>464.45</v>
          </cell>
          <cell r="AS360">
            <v>90.131999999999977</v>
          </cell>
          <cell r="AZ360">
            <v>387.75</v>
          </cell>
          <cell r="BB360">
            <v>203.25685714285714</v>
          </cell>
          <cell r="BI360">
            <v>523.98</v>
          </cell>
          <cell r="BK360">
            <v>203.25685714285714</v>
          </cell>
          <cell r="BR360">
            <v>619.79999999999995</v>
          </cell>
          <cell r="CA360">
            <v>939.16</v>
          </cell>
          <cell r="CI360">
            <v>0</v>
          </cell>
          <cell r="CJ360">
            <v>1328.42</v>
          </cell>
          <cell r="CS360">
            <v>627.98</v>
          </cell>
          <cell r="DA360">
            <v>1368.76</v>
          </cell>
          <cell r="DK360">
            <v>624.01</v>
          </cell>
          <cell r="DT360">
            <v>1377.82</v>
          </cell>
          <cell r="EC360">
            <v>1288.1300000000001</v>
          </cell>
          <cell r="EL360">
            <v>845.37180000000001</v>
          </cell>
          <cell r="EN360">
            <v>13.702500000000001</v>
          </cell>
        </row>
        <row r="361">
          <cell r="A361">
            <v>50</v>
          </cell>
          <cell r="B361" t="str">
            <v>IPRM</v>
          </cell>
          <cell r="C361" t="str">
            <v>SM</v>
          </cell>
          <cell r="D361" t="str">
            <v>DPKORESIDUE</v>
          </cell>
          <cell r="E361" t="str">
            <v>DPKORESIDUE</v>
          </cell>
          <cell r="F361">
            <v>13.365</v>
          </cell>
          <cell r="BT361">
            <v>223.8075</v>
          </cell>
        </row>
        <row r="362">
          <cell r="A362">
            <v>51</v>
          </cell>
          <cell r="B362" t="str">
            <v>IPRM</v>
          </cell>
          <cell r="C362" t="str">
            <v>FM</v>
          </cell>
          <cell r="D362" t="str">
            <v>SPFAD+DPKORESIDUE-DSB FEED</v>
          </cell>
          <cell r="E362" t="str">
            <v>SPFAD+DPKORESIDUE-DSB FEED</v>
          </cell>
          <cell r="F362">
            <v>399.28500000000003</v>
          </cell>
          <cell r="G362">
            <v>196.96950000000001</v>
          </cell>
          <cell r="I362">
            <v>183.9</v>
          </cell>
          <cell r="M362">
            <v>30.21</v>
          </cell>
          <cell r="P362">
            <v>26.958600000000001</v>
          </cell>
          <cell r="Y362">
            <v>150.65100000000001</v>
          </cell>
          <cell r="AH362">
            <v>3.1716000000000002</v>
          </cell>
          <cell r="AQ362">
            <v>386.94</v>
          </cell>
          <cell r="AZ362">
            <v>409.93</v>
          </cell>
          <cell r="BZ362">
            <v>256.8</v>
          </cell>
          <cell r="DV362">
            <v>5.5182857142856623</v>
          </cell>
          <cell r="EE362">
            <v>73.57714285714286</v>
          </cell>
        </row>
        <row r="363">
          <cell r="A363">
            <v>52</v>
          </cell>
          <cell r="B363" t="str">
            <v>IPRM</v>
          </cell>
          <cell r="C363" t="str">
            <v>FM</v>
          </cell>
          <cell r="D363" t="str">
            <v>SRBDPS/CPS+SCPO-JBS FEED</v>
          </cell>
          <cell r="E363" t="str">
            <v>SRBDPS/CPS+SCPO-JBS FEED</v>
          </cell>
        </row>
        <row r="364">
          <cell r="A364">
            <v>53</v>
          </cell>
          <cell r="B364" t="str">
            <v>IPRM</v>
          </cell>
          <cell r="C364" t="str">
            <v>FM</v>
          </cell>
          <cell r="D364" t="str">
            <v>SRBDPS/CPS+B/PPKO-JBS FEED</v>
          </cell>
          <cell r="E364" t="str">
            <v>SRBDPS/CPS+B/PPKO-JBS FEED</v>
          </cell>
          <cell r="O364">
            <v>507.6</v>
          </cell>
          <cell r="X364">
            <v>406.8</v>
          </cell>
          <cell r="AG364">
            <v>67.2</v>
          </cell>
          <cell r="AH364">
            <v>212.49720000000002</v>
          </cell>
          <cell r="DD364">
            <v>140.69999999999999</v>
          </cell>
          <cell r="DV364">
            <v>91.35</v>
          </cell>
          <cell r="EN364">
            <v>197.14</v>
          </cell>
          <cell r="ER364">
            <v>15</v>
          </cell>
        </row>
        <row r="365">
          <cell r="A365">
            <v>54</v>
          </cell>
          <cell r="B365" t="str">
            <v>IPRM</v>
          </cell>
          <cell r="C365" t="str">
            <v>FM</v>
          </cell>
          <cell r="D365" t="str">
            <v>SPFAD&gt;C16(C16@15-25%)</v>
          </cell>
          <cell r="E365" t="str">
            <v>D B/P&gt;C16 FOR ALC</v>
          </cell>
        </row>
        <row r="366">
          <cell r="A366">
            <v>55</v>
          </cell>
          <cell r="B366" t="str">
            <v>IPRM</v>
          </cell>
          <cell r="C366" t="str">
            <v>FM</v>
          </cell>
          <cell r="D366" t="str">
            <v>SPFAD&gt;C16(C16@15-25%)</v>
          </cell>
          <cell r="E366" t="str">
            <v>B/P&gt;C16 FOR ALC</v>
          </cell>
        </row>
        <row r="367">
          <cell r="A367">
            <v>56</v>
          </cell>
          <cell r="B367" t="str">
            <v>IPRM</v>
          </cell>
          <cell r="C367" t="str">
            <v>SM</v>
          </cell>
          <cell r="D367" t="str">
            <v>MIX RESIDUE</v>
          </cell>
          <cell r="E367" t="str">
            <v>MIX RESIDUE</v>
          </cell>
          <cell r="G367">
            <v>348.95880000000005</v>
          </cell>
          <cell r="H367">
            <v>1095.17</v>
          </cell>
          <cell r="I367">
            <v>48.3</v>
          </cell>
          <cell r="J367">
            <v>14.218</v>
          </cell>
          <cell r="P367">
            <v>154.602</v>
          </cell>
          <cell r="Q367">
            <v>991.36</v>
          </cell>
          <cell r="S367">
            <v>16.395</v>
          </cell>
          <cell r="V367">
            <v>9.02</v>
          </cell>
          <cell r="Y367">
            <v>377.67060000000004</v>
          </cell>
          <cell r="Z367">
            <v>991.36</v>
          </cell>
          <cell r="AA367">
            <v>12.1</v>
          </cell>
          <cell r="AB367">
            <v>38.115000000000002</v>
          </cell>
          <cell r="AG367">
            <v>10.202999999999999</v>
          </cell>
          <cell r="AH367">
            <v>538.89840000000004</v>
          </cell>
          <cell r="AI367">
            <v>991.36</v>
          </cell>
          <cell r="AJ367">
            <v>47.5</v>
          </cell>
          <cell r="AP367">
            <v>5.5490000000000004</v>
          </cell>
          <cell r="AQ367">
            <v>702.33480000000009</v>
          </cell>
          <cell r="AR367">
            <v>976.88</v>
          </cell>
          <cell r="AS367">
            <v>41.635714285714286</v>
          </cell>
          <cell r="AT367">
            <v>16.940000000000001</v>
          </cell>
          <cell r="AY367">
            <v>20.047999999999998</v>
          </cell>
          <cell r="AZ367">
            <v>753.13260000000014</v>
          </cell>
          <cell r="BA367">
            <v>976.88</v>
          </cell>
          <cell r="BB367">
            <v>16.654285714285713</v>
          </cell>
          <cell r="BH367">
            <v>5.5490000000000004</v>
          </cell>
          <cell r="BI367">
            <v>568.71450000000004</v>
          </cell>
          <cell r="BJ367">
            <v>976.88</v>
          </cell>
          <cell r="BK367">
            <v>105.75471428571429</v>
          </cell>
          <cell r="BR367">
            <v>150.18480000000002</v>
          </cell>
          <cell r="BS367">
            <v>976.88</v>
          </cell>
          <cell r="BT367">
            <v>59.95542857142857</v>
          </cell>
          <cell r="BX367">
            <v>19.760000000000002</v>
          </cell>
          <cell r="BZ367">
            <v>9.6660000000000004</v>
          </cell>
          <cell r="CA367">
            <v>288.22230000000002</v>
          </cell>
          <cell r="CB367">
            <v>976.88</v>
          </cell>
          <cell r="CC367">
            <v>45.382928571428565</v>
          </cell>
          <cell r="CI367">
            <v>21.3</v>
          </cell>
          <cell r="CJ367">
            <v>322.45999999999998</v>
          </cell>
          <cell r="CK367">
            <v>976.88</v>
          </cell>
          <cell r="CL367">
            <v>6.2</v>
          </cell>
          <cell r="CM367">
            <v>29.584</v>
          </cell>
          <cell r="CR367">
            <v>10.92</v>
          </cell>
          <cell r="CS367">
            <v>426.26</v>
          </cell>
          <cell r="CT367">
            <v>693.47</v>
          </cell>
          <cell r="CU367">
            <v>81.2</v>
          </cell>
          <cell r="CV367">
            <v>28.434000000000001</v>
          </cell>
          <cell r="DA367">
            <v>558.78</v>
          </cell>
          <cell r="DC367">
            <v>463.23</v>
          </cell>
          <cell r="DD367">
            <v>127.4</v>
          </cell>
          <cell r="DE367">
            <v>26.437999999999999</v>
          </cell>
          <cell r="DJ367">
            <v>9.85</v>
          </cell>
          <cell r="DK367">
            <v>483.68</v>
          </cell>
          <cell r="DL367">
            <v>463.23</v>
          </cell>
          <cell r="DM367">
            <v>10.8</v>
          </cell>
          <cell r="DN367">
            <v>24.925999999999998</v>
          </cell>
          <cell r="DT367">
            <v>686.8746000000001</v>
          </cell>
          <cell r="DU367">
            <v>463.23</v>
          </cell>
          <cell r="DV367">
            <v>1.665428571428595</v>
          </cell>
          <cell r="DW367">
            <v>25.832999999999998</v>
          </cell>
          <cell r="DZ367">
            <v>32.93</v>
          </cell>
          <cell r="EB367">
            <v>2.1480000000000001</v>
          </cell>
          <cell r="EC367">
            <v>906.04</v>
          </cell>
          <cell r="ED367">
            <v>463.23</v>
          </cell>
          <cell r="EE367">
            <v>15.821571428571417</v>
          </cell>
          <cell r="EF367">
            <v>18.754999999999999</v>
          </cell>
          <cell r="EL367">
            <v>963.92</v>
          </cell>
          <cell r="EM367">
            <v>463.23</v>
          </cell>
          <cell r="EN367">
            <v>9.992571428571452</v>
          </cell>
          <cell r="EO367">
            <v>28.010999999999999</v>
          </cell>
          <cell r="ER367">
            <v>20.75</v>
          </cell>
        </row>
        <row r="368">
          <cell r="A368">
            <v>57</v>
          </cell>
          <cell r="B368" t="str">
            <v>IPRM</v>
          </cell>
          <cell r="C368" t="str">
            <v>SM</v>
          </cell>
          <cell r="D368" t="str">
            <v>SMIX RESIDUE</v>
          </cell>
          <cell r="E368" t="str">
            <v>SMIX RESIDUE</v>
          </cell>
          <cell r="F368">
            <v>66.456000000000003</v>
          </cell>
          <cell r="G368">
            <v>290.43090000000001</v>
          </cell>
          <cell r="P368">
            <v>69.775200000000012</v>
          </cell>
          <cell r="BI368">
            <v>107.8344</v>
          </cell>
          <cell r="BR368">
            <v>325.089</v>
          </cell>
          <cell r="CC368">
            <v>238.42350000000002</v>
          </cell>
          <cell r="CG368">
            <v>16.39</v>
          </cell>
          <cell r="CJ368">
            <v>158.58000000000001</v>
          </cell>
          <cell r="CS368">
            <v>505.87</v>
          </cell>
          <cell r="DA368">
            <v>400.78</v>
          </cell>
          <cell r="DK368">
            <v>231.53</v>
          </cell>
        </row>
        <row r="369">
          <cell r="A369">
            <v>58</v>
          </cell>
          <cell r="B369" t="str">
            <v>IPRM</v>
          </cell>
          <cell r="C369" t="str">
            <v>FM</v>
          </cell>
          <cell r="D369" t="str">
            <v>DMIX RESIDUE</v>
          </cell>
          <cell r="E369" t="str">
            <v>DMIX RESIDUE</v>
          </cell>
          <cell r="F369">
            <v>8.3249999999999993</v>
          </cell>
          <cell r="G369">
            <v>297.5</v>
          </cell>
          <cell r="I369">
            <v>119.5</v>
          </cell>
          <cell r="O369">
            <v>7.4249999999999998</v>
          </cell>
          <cell r="P369">
            <v>375</v>
          </cell>
          <cell r="R369">
            <v>37.1</v>
          </cell>
          <cell r="V369">
            <v>29.18</v>
          </cell>
          <cell r="X369">
            <v>10.175000000000001</v>
          </cell>
          <cell r="Y369">
            <v>148.75</v>
          </cell>
          <cell r="AA369">
            <v>201.5</v>
          </cell>
          <cell r="AG369">
            <v>2.0350000000000001</v>
          </cell>
          <cell r="AH369">
            <v>148.75</v>
          </cell>
          <cell r="AJ369">
            <v>200.1</v>
          </cell>
          <cell r="AP369">
            <v>3.7</v>
          </cell>
          <cell r="AQ369">
            <v>147.5</v>
          </cell>
          <cell r="AS369">
            <v>200.1</v>
          </cell>
          <cell r="AY369">
            <v>11.1</v>
          </cell>
          <cell r="AZ369">
            <v>150</v>
          </cell>
          <cell r="BB369">
            <v>200.1</v>
          </cell>
          <cell r="BH369">
            <v>26.92</v>
          </cell>
          <cell r="BI369">
            <v>187.5</v>
          </cell>
          <cell r="BK369">
            <v>193.14</v>
          </cell>
          <cell r="BQ369">
            <v>8.14</v>
          </cell>
          <cell r="BR369">
            <v>225</v>
          </cell>
          <cell r="BZ369">
            <v>11.4535</v>
          </cell>
          <cell r="CA369">
            <v>275</v>
          </cell>
          <cell r="CI369">
            <v>7</v>
          </cell>
          <cell r="CL369">
            <v>3.2</v>
          </cell>
          <cell r="DA369">
            <v>100</v>
          </cell>
          <cell r="DJ369">
            <v>14</v>
          </cell>
          <cell r="DK369">
            <v>200</v>
          </cell>
          <cell r="DM369">
            <v>224.5</v>
          </cell>
          <cell r="DS369">
            <v>21.83</v>
          </cell>
          <cell r="DT369">
            <v>292.5</v>
          </cell>
          <cell r="EB369">
            <v>89.634999999999991</v>
          </cell>
          <cell r="EE369">
            <v>110.36571428571429</v>
          </cell>
          <cell r="EK369">
            <v>9.6199999999999992</v>
          </cell>
        </row>
        <row r="370">
          <cell r="A370">
            <v>59</v>
          </cell>
          <cell r="B370" t="str">
            <v>IPRM</v>
          </cell>
          <cell r="C370" t="str">
            <v>FM</v>
          </cell>
          <cell r="D370" t="str">
            <v>HYD D RFA</v>
          </cell>
          <cell r="E370" t="str">
            <v>HYD D RFA</v>
          </cell>
          <cell r="R370">
            <v>53.9</v>
          </cell>
          <cell r="AA370">
            <v>8.5</v>
          </cell>
          <cell r="CI370">
            <v>55.48</v>
          </cell>
          <cell r="CL370">
            <v>186.7</v>
          </cell>
          <cell r="CU370">
            <v>171.1</v>
          </cell>
          <cell r="EE370">
            <v>127.02</v>
          </cell>
          <cell r="EK370">
            <v>21</v>
          </cell>
          <cell r="EN370">
            <v>133.97999999999999</v>
          </cell>
        </row>
        <row r="371">
          <cell r="A371">
            <v>60</v>
          </cell>
          <cell r="B371" t="str">
            <v>IPRM</v>
          </cell>
          <cell r="C371" t="str">
            <v>FM</v>
          </cell>
          <cell r="D371" t="str">
            <v>B/P SMUSTARD&gt;C18</v>
          </cell>
          <cell r="E371" t="str">
            <v>B/P SMUSTARD&gt;C18</v>
          </cell>
        </row>
        <row r="372">
          <cell r="A372">
            <v>61</v>
          </cell>
          <cell r="B372" t="str">
            <v>IPRM</v>
          </cell>
          <cell r="C372" t="str">
            <v>FM</v>
          </cell>
          <cell r="D372" t="str">
            <v>B/P SMUSTARD&gt;C20</v>
          </cell>
          <cell r="E372" t="str">
            <v>B/P SMUSTARD&gt;C20</v>
          </cell>
          <cell r="G372">
            <v>120</v>
          </cell>
          <cell r="I372">
            <v>257.60000000000002</v>
          </cell>
          <cell r="P372">
            <v>120</v>
          </cell>
          <cell r="R372">
            <v>237.5</v>
          </cell>
          <cell r="Y372">
            <v>120</v>
          </cell>
          <cell r="AA372">
            <v>400.5</v>
          </cell>
          <cell r="AH372">
            <v>120</v>
          </cell>
          <cell r="AJ372">
            <v>204.6</v>
          </cell>
          <cell r="AQ372">
            <v>120</v>
          </cell>
          <cell r="AZ372">
            <v>120</v>
          </cell>
          <cell r="BI372">
            <v>120</v>
          </cell>
          <cell r="BR372">
            <v>120</v>
          </cell>
          <cell r="BT372">
            <v>65.77200000000002</v>
          </cell>
          <cell r="CA372">
            <v>120</v>
          </cell>
          <cell r="CL372">
            <v>23.8</v>
          </cell>
          <cell r="CU372">
            <v>220.3</v>
          </cell>
          <cell r="DD372">
            <v>414.8</v>
          </cell>
          <cell r="DM372">
            <v>266.8</v>
          </cell>
          <cell r="DT372">
            <v>120</v>
          </cell>
          <cell r="EE372">
            <v>1.8270000000000259</v>
          </cell>
        </row>
        <row r="373">
          <cell r="A373">
            <v>62</v>
          </cell>
          <cell r="B373" t="str">
            <v>IPRM</v>
          </cell>
          <cell r="C373" t="str">
            <v>SM</v>
          </cell>
          <cell r="D373" t="str">
            <v>DFA C18+22(20@50%)</v>
          </cell>
          <cell r="E373" t="str">
            <v>DFA C18+22(20@50%)</v>
          </cell>
        </row>
        <row r="374">
          <cell r="A374">
            <v>63</v>
          </cell>
          <cell r="B374" t="str">
            <v>IPRM</v>
          </cell>
          <cell r="C374" t="str">
            <v>NM</v>
          </cell>
          <cell r="D374" t="str">
            <v>MUSTARD RESIDUE</v>
          </cell>
          <cell r="E374" t="str">
            <v>MUSTARD RESIDUE</v>
          </cell>
          <cell r="F374">
            <v>42.52</v>
          </cell>
          <cell r="H374">
            <v>1362.7</v>
          </cell>
          <cell r="I374">
            <v>123.2</v>
          </cell>
          <cell r="L374">
            <v>4.5</v>
          </cell>
          <cell r="O374">
            <v>61.93</v>
          </cell>
          <cell r="Q374">
            <v>1662.41</v>
          </cell>
          <cell r="R374">
            <v>53.7</v>
          </cell>
          <cell r="U374">
            <v>4.5</v>
          </cell>
          <cell r="X374">
            <v>41.99</v>
          </cell>
          <cell r="Z374">
            <v>1568.83</v>
          </cell>
          <cell r="AA374">
            <v>65</v>
          </cell>
          <cell r="AD374">
            <v>4.5</v>
          </cell>
          <cell r="AG374">
            <v>41.99</v>
          </cell>
          <cell r="AI374">
            <v>1568.83</v>
          </cell>
          <cell r="AJ374">
            <v>161.5</v>
          </cell>
          <cell r="AM374">
            <v>4.5</v>
          </cell>
          <cell r="AP374">
            <v>41.99</v>
          </cell>
          <cell r="AR374">
            <v>1568.83</v>
          </cell>
          <cell r="AS374">
            <v>179.86628571428574</v>
          </cell>
          <cell r="AY374">
            <v>41.99</v>
          </cell>
          <cell r="BA374">
            <v>1664.95</v>
          </cell>
          <cell r="BB374">
            <v>114.91457142857143</v>
          </cell>
          <cell r="BD374">
            <v>4.5</v>
          </cell>
          <cell r="BH374">
            <v>41.99</v>
          </cell>
          <cell r="BJ374">
            <v>1832.63</v>
          </cell>
          <cell r="BK374">
            <v>33.724928571428578</v>
          </cell>
          <cell r="BN374">
            <v>4.5</v>
          </cell>
          <cell r="BQ374">
            <v>40.9</v>
          </cell>
          <cell r="BS374">
            <v>1832.63</v>
          </cell>
          <cell r="BT374">
            <v>37.472142857142856</v>
          </cell>
          <cell r="BW374">
            <v>4.5</v>
          </cell>
          <cell r="BZ374">
            <v>40.9</v>
          </cell>
          <cell r="CB374">
            <v>1832.63</v>
          </cell>
          <cell r="CC374">
            <v>108.25285714285714</v>
          </cell>
          <cell r="CF374">
            <v>4.5</v>
          </cell>
          <cell r="CI374">
            <v>40.9</v>
          </cell>
          <cell r="CK374">
            <v>1832.63</v>
          </cell>
          <cell r="CL374">
            <v>193.2</v>
          </cell>
          <cell r="CR374">
            <v>40.9</v>
          </cell>
          <cell r="CT374">
            <v>1860.63</v>
          </cell>
          <cell r="CU374">
            <v>183.6</v>
          </cell>
          <cell r="DA374">
            <v>40.9</v>
          </cell>
          <cell r="DC374">
            <v>1860.63</v>
          </cell>
          <cell r="DD374">
            <v>183.6</v>
          </cell>
          <cell r="DJ374">
            <v>40.9</v>
          </cell>
          <cell r="DL374">
            <v>1937.32</v>
          </cell>
          <cell r="DM374">
            <v>192.4</v>
          </cell>
          <cell r="DS374">
            <v>40.9</v>
          </cell>
          <cell r="DT374">
            <v>63.432000000000009</v>
          </cell>
          <cell r="DU374">
            <v>1976.26</v>
          </cell>
          <cell r="DV374">
            <v>114.91457142857143</v>
          </cell>
          <cell r="DZ374">
            <v>68.03</v>
          </cell>
          <cell r="EB374">
            <v>40.9</v>
          </cell>
          <cell r="EC374">
            <v>299.71620000000001</v>
          </cell>
          <cell r="ED374">
            <v>1976.26</v>
          </cell>
          <cell r="EK374">
            <v>40.9</v>
          </cell>
          <cell r="EL374">
            <v>299.71620000000001</v>
          </cell>
          <cell r="EM374">
            <v>1976.26</v>
          </cell>
        </row>
        <row r="375">
          <cell r="A375">
            <v>64</v>
          </cell>
          <cell r="B375" t="str">
            <v>IPRM</v>
          </cell>
          <cell r="C375" t="str">
            <v>NM</v>
          </cell>
          <cell r="D375" t="str">
            <v>SMUSTARD RESIDUE</v>
          </cell>
          <cell r="E375" t="str">
            <v>SMUSTARD RESIDUE</v>
          </cell>
          <cell r="G375">
            <v>538.73820000000001</v>
          </cell>
          <cell r="H375">
            <v>648.51</v>
          </cell>
          <cell r="P375">
            <v>555.77340000000004</v>
          </cell>
          <cell r="Q375">
            <v>506.72</v>
          </cell>
          <cell r="Y375">
            <v>692.05499999999995</v>
          </cell>
          <cell r="Z375">
            <v>498.73</v>
          </cell>
          <cell r="AH375">
            <v>685.66680000000008</v>
          </cell>
          <cell r="AI375">
            <v>498.73</v>
          </cell>
          <cell r="AQ375">
            <v>685.66680000000008</v>
          </cell>
          <cell r="AR375">
            <v>498.73</v>
          </cell>
          <cell r="AZ375">
            <v>685.66680000000008</v>
          </cell>
          <cell r="BA375">
            <v>498.73</v>
          </cell>
          <cell r="BI375">
            <v>708.02549999999997</v>
          </cell>
          <cell r="BJ375">
            <v>498.73</v>
          </cell>
          <cell r="BR375">
            <v>704.83140000000003</v>
          </cell>
          <cell r="BS375">
            <v>498.73</v>
          </cell>
          <cell r="CA375">
            <v>704.83140000000003</v>
          </cell>
          <cell r="CB375">
            <v>498.73</v>
          </cell>
          <cell r="CJ375">
            <v>738.09</v>
          </cell>
          <cell r="CK375">
            <v>498.73</v>
          </cell>
          <cell r="CS375">
            <v>755.94</v>
          </cell>
          <cell r="CT375">
            <v>498.73</v>
          </cell>
          <cell r="DA375">
            <v>766.58</v>
          </cell>
          <cell r="DC375">
            <v>498.73</v>
          </cell>
          <cell r="DJ375">
            <v>29.89</v>
          </cell>
          <cell r="DK375">
            <v>762.33</v>
          </cell>
          <cell r="DL375">
            <v>498.73</v>
          </cell>
          <cell r="DT375">
            <v>763.38990000000001</v>
          </cell>
          <cell r="DU375">
            <v>498.73</v>
          </cell>
          <cell r="EC375">
            <v>374.77440000000001</v>
          </cell>
          <cell r="ED375">
            <v>498.73</v>
          </cell>
          <cell r="EL375">
            <v>14.905799999999999</v>
          </cell>
          <cell r="EM375">
            <v>498.73</v>
          </cell>
        </row>
        <row r="376">
          <cell r="A376">
            <v>65</v>
          </cell>
          <cell r="B376" t="str">
            <v>IPRM</v>
          </cell>
          <cell r="C376" t="str">
            <v>NM</v>
          </cell>
          <cell r="D376" t="str">
            <v>DMUSTARD RESIDUE</v>
          </cell>
          <cell r="E376" t="str">
            <v>DMUSTARD RESIDUE</v>
          </cell>
          <cell r="G376">
            <v>31.765492400000007</v>
          </cell>
          <cell r="P376">
            <v>31.765492400000007</v>
          </cell>
          <cell r="Y376">
            <v>31.765492400000007</v>
          </cell>
          <cell r="AH376">
            <v>31.765492400000007</v>
          </cell>
          <cell r="AQ376">
            <v>31.765492400000007</v>
          </cell>
          <cell r="AZ376">
            <v>33.518042400000006</v>
          </cell>
          <cell r="BI376">
            <v>33.518042400000006</v>
          </cell>
          <cell r="BR376">
            <v>33.518042400000006</v>
          </cell>
          <cell r="CA376">
            <v>33.518042400000006</v>
          </cell>
          <cell r="CJ376">
            <v>928.9</v>
          </cell>
          <cell r="CS376">
            <v>913.48</v>
          </cell>
          <cell r="DA376">
            <v>925.27499999999998</v>
          </cell>
          <cell r="DK376">
            <v>895.38</v>
          </cell>
          <cell r="EC376">
            <v>51.043542400000007</v>
          </cell>
          <cell r="EL376">
            <v>51.043542400000007</v>
          </cell>
        </row>
        <row r="377">
          <cell r="A377">
            <v>66</v>
          </cell>
          <cell r="B377" t="str">
            <v>IPRM</v>
          </cell>
          <cell r="C377" t="str">
            <v>NM</v>
          </cell>
          <cell r="D377" t="str">
            <v>CONTAMINATED MUST</v>
          </cell>
          <cell r="E377" t="str">
            <v>CONTAMINATED MUST</v>
          </cell>
          <cell r="CJ377">
            <v>120</v>
          </cell>
          <cell r="CK377">
            <v>40.11</v>
          </cell>
          <cell r="CL377">
            <v>25</v>
          </cell>
          <cell r="CS377">
            <v>120</v>
          </cell>
          <cell r="CT377">
            <v>40.11</v>
          </cell>
          <cell r="DA377">
            <v>120</v>
          </cell>
          <cell r="DC377">
            <v>40.11</v>
          </cell>
          <cell r="DD377">
            <v>25</v>
          </cell>
          <cell r="DK377">
            <v>120</v>
          </cell>
          <cell r="DL377">
            <v>40.11</v>
          </cell>
          <cell r="DM377">
            <v>25</v>
          </cell>
          <cell r="DU377">
            <v>40.11</v>
          </cell>
          <cell r="EC377">
            <v>120</v>
          </cell>
          <cell r="ED377">
            <v>40.11</v>
          </cell>
          <cell r="EL377">
            <v>120</v>
          </cell>
          <cell r="EM377">
            <v>40.11</v>
          </cell>
        </row>
        <row r="378">
          <cell r="A378">
            <v>67</v>
          </cell>
          <cell r="B378" t="str">
            <v>IPRM</v>
          </cell>
          <cell r="C378" t="str">
            <v>NM</v>
          </cell>
          <cell r="D378" t="str">
            <v>HYD SPFAD</v>
          </cell>
          <cell r="E378" t="str">
            <v>HYD SPFAD</v>
          </cell>
          <cell r="I378">
            <v>4.8</v>
          </cell>
          <cell r="M378">
            <v>12.88</v>
          </cell>
          <cell r="X378">
            <v>37.996000000000002</v>
          </cell>
          <cell r="AG378">
            <v>64.209000000000003</v>
          </cell>
          <cell r="AJ378">
            <v>29.8</v>
          </cell>
          <cell r="AP378">
            <v>16.283999999999999</v>
          </cell>
          <cell r="AS378">
            <v>54.635999999999996</v>
          </cell>
          <cell r="AW378">
            <v>30.46</v>
          </cell>
          <cell r="AY378">
            <v>4.0709999999999997</v>
          </cell>
          <cell r="BQ378">
            <v>48.155000000000001</v>
          </cell>
          <cell r="BZ378">
            <v>55.935000000000002</v>
          </cell>
          <cell r="CC378">
            <v>99.528000000000006</v>
          </cell>
          <cell r="CG378">
            <v>18.27</v>
          </cell>
          <cell r="CL378">
            <v>120.8</v>
          </cell>
          <cell r="CR378">
            <v>64</v>
          </cell>
          <cell r="CU378">
            <v>151.69999999999999</v>
          </cell>
          <cell r="CY378">
            <v>15</v>
          </cell>
          <cell r="DA378">
            <v>90.62</v>
          </cell>
          <cell r="DD378">
            <v>70.900000000000006</v>
          </cell>
          <cell r="DH378">
            <v>18</v>
          </cell>
          <cell r="DV378">
            <v>217.5</v>
          </cell>
        </row>
        <row r="379">
          <cell r="A379">
            <v>68</v>
          </cell>
          <cell r="B379" t="str">
            <v>IPRM</v>
          </cell>
          <cell r="C379" t="str">
            <v>NM</v>
          </cell>
          <cell r="D379" t="str">
            <v>C16 RICH (FOR SB)</v>
          </cell>
          <cell r="E379" t="str">
            <v>C16 RICH (FOR SB)</v>
          </cell>
          <cell r="F379">
            <v>66</v>
          </cell>
          <cell r="AG379">
            <v>3.4649999999999999</v>
          </cell>
          <cell r="AP379">
            <v>280.8</v>
          </cell>
          <cell r="AY379">
            <v>320.39999999999998</v>
          </cell>
          <cell r="BH379">
            <v>342</v>
          </cell>
          <cell r="BQ379">
            <v>126</v>
          </cell>
          <cell r="CI379">
            <v>30.58</v>
          </cell>
          <cell r="DJ379">
            <v>50.93</v>
          </cell>
        </row>
        <row r="380">
          <cell r="A380">
            <v>69</v>
          </cell>
          <cell r="B380" t="str">
            <v>IPRM</v>
          </cell>
          <cell r="C380" t="str">
            <v>NM</v>
          </cell>
          <cell r="D380" t="str">
            <v>B/P PFAD (FOR C16/C18)</v>
          </cell>
          <cell r="E380" t="str">
            <v>B/P PFAD (FOR C16/C18)</v>
          </cell>
          <cell r="BZ380">
            <v>24.640999999999998</v>
          </cell>
          <cell r="CI380">
            <v>84.13</v>
          </cell>
          <cell r="CL380">
            <v>275.89999999999998</v>
          </cell>
          <cell r="CR380">
            <v>100.42</v>
          </cell>
        </row>
        <row r="381">
          <cell r="A381">
            <v>70</v>
          </cell>
          <cell r="B381" t="str">
            <v>IPRM</v>
          </cell>
          <cell r="C381" t="str">
            <v>NM</v>
          </cell>
          <cell r="D381" t="str">
            <v>DFA C8&gt;90%</v>
          </cell>
          <cell r="E381" t="str">
            <v>DFA C8&gt;90%</v>
          </cell>
        </row>
        <row r="382">
          <cell r="A382">
            <v>71</v>
          </cell>
          <cell r="B382" t="str">
            <v>IPRM</v>
          </cell>
          <cell r="C382" t="str">
            <v>NM</v>
          </cell>
          <cell r="D382" t="str">
            <v>FEED FOR DTP-CT</v>
          </cell>
          <cell r="E382" t="str">
            <v>FEED FOR DTP-CT</v>
          </cell>
          <cell r="CL382">
            <v>7.4</v>
          </cell>
          <cell r="CP382">
            <v>35</v>
          </cell>
        </row>
        <row r="383">
          <cell r="A383">
            <v>72</v>
          </cell>
          <cell r="B383" t="str">
            <v>IPRM</v>
          </cell>
          <cell r="C383" t="str">
            <v>NM</v>
          </cell>
          <cell r="D383" t="str">
            <v>C16 RICH FROM PFAD</v>
          </cell>
          <cell r="E383" t="str">
            <v>C16 RICH FROM PFAD</v>
          </cell>
          <cell r="DS383">
            <v>9.4049999999999994</v>
          </cell>
          <cell r="EB383">
            <v>59.85</v>
          </cell>
          <cell r="EK383">
            <v>156.41999999999999</v>
          </cell>
        </row>
        <row r="384">
          <cell r="A384">
            <v>73</v>
          </cell>
          <cell r="B384" t="str">
            <v>IPRM</v>
          </cell>
          <cell r="C384" t="str">
            <v>NM</v>
          </cell>
          <cell r="D384" t="str">
            <v>FEED FOR P-12</v>
          </cell>
          <cell r="E384" t="str">
            <v>FEED FOR P-12</v>
          </cell>
          <cell r="DS384">
            <v>56.075000000000003</v>
          </cell>
          <cell r="EC384">
            <v>272.68</v>
          </cell>
          <cell r="EL384">
            <v>272.68</v>
          </cell>
        </row>
        <row r="385">
          <cell r="A385">
            <v>74</v>
          </cell>
          <cell r="B385" t="str">
            <v>IPRM</v>
          </cell>
          <cell r="C385" t="str">
            <v>NM</v>
          </cell>
          <cell r="D385" t="str">
            <v>HYD P-12</v>
          </cell>
          <cell r="E385" t="str">
            <v>HYD P-12</v>
          </cell>
          <cell r="DS385">
            <v>7</v>
          </cell>
        </row>
        <row r="386">
          <cell r="A386">
            <v>75</v>
          </cell>
          <cell r="B386" t="str">
            <v>IPRM</v>
          </cell>
          <cell r="C386" t="str">
            <v>NM</v>
          </cell>
          <cell r="D386" t="str">
            <v>D HYD P-12</v>
          </cell>
          <cell r="E386" t="str">
            <v>D HYD P-12</v>
          </cell>
          <cell r="DZ386">
            <v>95.95</v>
          </cell>
        </row>
        <row r="387">
          <cell r="A387">
            <v>76</v>
          </cell>
          <cell r="B387" t="str">
            <v>IPRM</v>
          </cell>
          <cell r="C387" t="str">
            <v>NM</v>
          </cell>
          <cell r="D387" t="str">
            <v>DFA C16/18  FOR TRANSLUCENT</v>
          </cell>
          <cell r="E387" t="str">
            <v>DFA C16/18  FOR TRANSLUCENT</v>
          </cell>
          <cell r="DA387">
            <v>258.20999999999998</v>
          </cell>
          <cell r="DM387">
            <v>131.5</v>
          </cell>
          <cell r="DQ387">
            <v>75</v>
          </cell>
        </row>
        <row r="388">
          <cell r="A388">
            <v>77</v>
          </cell>
          <cell r="B388" t="str">
            <v>IPRM</v>
          </cell>
          <cell r="C388" t="str">
            <v>NM</v>
          </cell>
          <cell r="D388" t="str">
            <v>GLY RES</v>
          </cell>
          <cell r="E388" t="str">
            <v>GLY RES</v>
          </cell>
          <cell r="O388">
            <v>38.5</v>
          </cell>
          <cell r="X388">
            <v>38.5</v>
          </cell>
          <cell r="AG388">
            <v>38.5</v>
          </cell>
          <cell r="AP388">
            <v>38.5</v>
          </cell>
          <cell r="AY388">
            <v>38.5</v>
          </cell>
          <cell r="BH388">
            <v>38.5</v>
          </cell>
          <cell r="BQ388">
            <v>38.5</v>
          </cell>
          <cell r="BZ388">
            <v>19.25</v>
          </cell>
          <cell r="CI388">
            <v>38.5</v>
          </cell>
          <cell r="CR388">
            <v>38.5</v>
          </cell>
          <cell r="DA388">
            <v>38.5</v>
          </cell>
          <cell r="DJ388">
            <v>38.5</v>
          </cell>
          <cell r="DS388">
            <v>38.5</v>
          </cell>
          <cell r="EB388">
            <v>38.5</v>
          </cell>
          <cell r="EK388">
            <v>21</v>
          </cell>
        </row>
        <row r="389">
          <cell r="A389">
            <v>78</v>
          </cell>
          <cell r="B389" t="str">
            <v>IPRM</v>
          </cell>
          <cell r="C389" t="str">
            <v>NM</v>
          </cell>
          <cell r="D389" t="str">
            <v>D B/P PKO</v>
          </cell>
          <cell r="E389" t="str">
            <v>D B/P PKO</v>
          </cell>
          <cell r="X389">
            <v>280.8</v>
          </cell>
          <cell r="AG389">
            <v>313.2</v>
          </cell>
          <cell r="AP389">
            <v>218.7</v>
          </cell>
          <cell r="AS389">
            <v>529.83000000000004</v>
          </cell>
          <cell r="AY389">
            <v>187.2</v>
          </cell>
          <cell r="BB389">
            <v>582.89700000000005</v>
          </cell>
          <cell r="BF389">
            <v>52.58</v>
          </cell>
          <cell r="BK389">
            <v>259.40999999999997</v>
          </cell>
          <cell r="BZ389">
            <v>121.77</v>
          </cell>
          <cell r="EK389">
            <v>188.1</v>
          </cell>
        </row>
        <row r="390">
          <cell r="A390">
            <v>79</v>
          </cell>
          <cell r="B390" t="str">
            <v>IPRM</v>
          </cell>
          <cell r="C390" t="str">
            <v>NM</v>
          </cell>
          <cell r="D390" t="str">
            <v>FOR NEEM SOAP</v>
          </cell>
          <cell r="E390" t="str">
            <v>FOR NEEM SOAP</v>
          </cell>
          <cell r="J390">
            <v>1.9319999999999999</v>
          </cell>
          <cell r="K390">
            <v>400.09</v>
          </cell>
          <cell r="M390">
            <v>37.450000000000003</v>
          </cell>
          <cell r="S390">
            <v>42.78</v>
          </cell>
          <cell r="AB390">
            <v>59.201999999999998</v>
          </cell>
          <cell r="AJ390">
            <v>59.201999999999998</v>
          </cell>
          <cell r="AT390">
            <v>59.201999999999998</v>
          </cell>
          <cell r="BC390">
            <v>59.201999999999998</v>
          </cell>
          <cell r="BL390">
            <v>59.201999999999998</v>
          </cell>
          <cell r="BU390">
            <v>114.092</v>
          </cell>
          <cell r="CD390">
            <v>114.092</v>
          </cell>
          <cell r="CM390">
            <v>114.02</v>
          </cell>
          <cell r="CV390">
            <v>114.092</v>
          </cell>
          <cell r="DE390">
            <v>65.135999999999996</v>
          </cell>
        </row>
        <row r="391">
          <cell r="A391">
            <v>239</v>
          </cell>
          <cell r="B391" t="str">
            <v>IPRM</v>
          </cell>
          <cell r="C391" t="str">
            <v>NM</v>
          </cell>
          <cell r="D391" t="str">
            <v>FEED FOR ITC</v>
          </cell>
          <cell r="E391" t="str">
            <v>FEED FOR ITC</v>
          </cell>
        </row>
        <row r="392">
          <cell r="A392">
            <v>240</v>
          </cell>
          <cell r="B392" t="str">
            <v>IPRM</v>
          </cell>
          <cell r="C392" t="str">
            <v>NM</v>
          </cell>
          <cell r="D392" t="str">
            <v>MUSTARD-MCT</v>
          </cell>
          <cell r="E392" t="str">
            <v>MUSTARD-MCT</v>
          </cell>
          <cell r="F392">
            <v>29.8935</v>
          </cell>
          <cell r="G392">
            <v>108.8202</v>
          </cell>
          <cell r="O392">
            <v>29.8935</v>
          </cell>
          <cell r="P392">
            <v>108.8202</v>
          </cell>
          <cell r="X392">
            <v>29.8935</v>
          </cell>
          <cell r="Y392">
            <v>125.08319999999999</v>
          </cell>
          <cell r="AG392">
            <v>29.8935</v>
          </cell>
          <cell r="AH392">
            <v>120.2043</v>
          </cell>
          <cell r="AP392">
            <v>29.8935</v>
          </cell>
          <cell r="AQ392">
            <v>120.2043</v>
          </cell>
          <cell r="AY392">
            <v>29.8935</v>
          </cell>
          <cell r="AZ392">
            <v>126.70950000000001</v>
          </cell>
          <cell r="BH392">
            <v>29.8935</v>
          </cell>
          <cell r="BI392">
            <v>118.578</v>
          </cell>
          <cell r="BQ392">
            <v>29.3825</v>
          </cell>
          <cell r="BR392">
            <v>118.578</v>
          </cell>
          <cell r="BZ392">
            <v>29.8935</v>
          </cell>
          <cell r="CA392">
            <v>120.2043</v>
          </cell>
          <cell r="CI392">
            <v>29.89</v>
          </cell>
          <cell r="CJ392">
            <v>120.2</v>
          </cell>
          <cell r="CR392">
            <v>29.89</v>
          </cell>
          <cell r="CS392">
            <v>120.2</v>
          </cell>
          <cell r="DA392">
            <v>120.2</v>
          </cell>
          <cell r="DK392">
            <v>118.58</v>
          </cell>
          <cell r="DS392">
            <v>29.8935</v>
          </cell>
          <cell r="DT392">
            <v>118.578</v>
          </cell>
          <cell r="EB392">
            <v>29.8935</v>
          </cell>
          <cell r="EC392">
            <v>118.578</v>
          </cell>
          <cell r="EK392">
            <v>29.8935</v>
          </cell>
          <cell r="EL392">
            <v>118.578</v>
          </cell>
        </row>
        <row r="393">
          <cell r="A393">
            <v>242</v>
          </cell>
          <cell r="B393" t="str">
            <v>IPRM</v>
          </cell>
          <cell r="C393" t="str">
            <v>NM</v>
          </cell>
          <cell r="D393" t="str">
            <v>HYD STEARIC-90</v>
          </cell>
          <cell r="E393" t="str">
            <v>HYD STEARIC-90</v>
          </cell>
        </row>
        <row r="394">
          <cell r="D394" t="str">
            <v>IPRM TOTAL</v>
          </cell>
          <cell r="F394">
            <v>1068.38688</v>
          </cell>
          <cell r="G394">
            <v>5324.3192523999996</v>
          </cell>
          <cell r="H394">
            <v>4630.29</v>
          </cell>
          <cell r="I394">
            <v>1152.5999999999999</v>
          </cell>
          <cell r="J394">
            <v>16.149999999999999</v>
          </cell>
          <cell r="K394">
            <v>400.09</v>
          </cell>
          <cell r="L394">
            <v>4.5</v>
          </cell>
          <cell r="M394">
            <v>111.23</v>
          </cell>
          <cell r="N394">
            <v>0</v>
          </cell>
          <cell r="O394">
            <v>985.62799999999993</v>
          </cell>
          <cell r="P394">
            <v>4698.1532523999995</v>
          </cell>
          <cell r="Q394">
            <v>4426.3600000000006</v>
          </cell>
          <cell r="R394">
            <v>895.2</v>
          </cell>
          <cell r="S394">
            <v>59.174999999999997</v>
          </cell>
          <cell r="T394">
            <v>0</v>
          </cell>
          <cell r="U394">
            <v>4.5</v>
          </cell>
          <cell r="V394">
            <v>98.490000000000009</v>
          </cell>
          <cell r="W394">
            <v>0</v>
          </cell>
          <cell r="X394">
            <v>1128.6744999999999</v>
          </cell>
          <cell r="Y394">
            <v>4493.5325049000003</v>
          </cell>
          <cell r="Z394">
            <v>4142.82</v>
          </cell>
          <cell r="AA394">
            <v>1330.3000000000002</v>
          </cell>
          <cell r="AB394">
            <v>97.317000000000007</v>
          </cell>
          <cell r="AC394">
            <v>0</v>
          </cell>
          <cell r="AD394">
            <v>4.5</v>
          </cell>
          <cell r="AE394">
            <v>30.33</v>
          </cell>
          <cell r="AF394">
            <v>0</v>
          </cell>
          <cell r="AG394">
            <v>712.85050000000001</v>
          </cell>
          <cell r="AH394">
            <v>4831.3178524000004</v>
          </cell>
          <cell r="AI394">
            <v>3931.28</v>
          </cell>
          <cell r="AJ394">
            <v>1468.3019999999999</v>
          </cell>
          <cell r="AK394">
            <v>0</v>
          </cell>
          <cell r="AL394">
            <v>0</v>
          </cell>
          <cell r="AM394">
            <v>4.5</v>
          </cell>
          <cell r="AN394">
            <v>0</v>
          </cell>
          <cell r="AO394">
            <v>0</v>
          </cell>
          <cell r="AP394">
            <v>789.18649999999991</v>
          </cell>
          <cell r="AQ394">
            <v>4934.3272049000007</v>
          </cell>
          <cell r="AR394">
            <v>3916.7999999999997</v>
          </cell>
          <cell r="AS394">
            <v>1394.9078999999999</v>
          </cell>
          <cell r="AT394">
            <v>76.141999999999996</v>
          </cell>
          <cell r="AU394">
            <v>0</v>
          </cell>
          <cell r="AV394">
            <v>0</v>
          </cell>
          <cell r="AW394">
            <v>30.46</v>
          </cell>
          <cell r="AX394">
            <v>0</v>
          </cell>
          <cell r="AY394">
            <v>919.94857000000013</v>
          </cell>
          <cell r="AZ394">
            <v>4600.1617048999997</v>
          </cell>
          <cell r="BA394">
            <v>4012.92</v>
          </cell>
          <cell r="BB394">
            <v>1494.6445714285715</v>
          </cell>
          <cell r="BC394">
            <v>59.201999999999998</v>
          </cell>
          <cell r="BD394">
            <v>4.5</v>
          </cell>
          <cell r="BE394">
            <v>0</v>
          </cell>
          <cell r="BF394">
            <v>52.58</v>
          </cell>
          <cell r="BG394">
            <v>0</v>
          </cell>
          <cell r="BH394">
            <v>642.33596799999998</v>
          </cell>
          <cell r="BI394">
            <v>4473.643004900001</v>
          </cell>
          <cell r="BJ394">
            <v>4180.6000000000004</v>
          </cell>
          <cell r="BK394">
            <v>990.44614285714272</v>
          </cell>
          <cell r="BL394">
            <v>59.201999999999998</v>
          </cell>
          <cell r="BM394">
            <v>0</v>
          </cell>
          <cell r="BN394">
            <v>4.5</v>
          </cell>
          <cell r="BO394">
            <v>0</v>
          </cell>
          <cell r="BP394">
            <v>0</v>
          </cell>
          <cell r="BQ394">
            <v>331.049688</v>
          </cell>
          <cell r="BR394">
            <v>4742.3798049000006</v>
          </cell>
          <cell r="BS394">
            <v>4073.53</v>
          </cell>
          <cell r="BT394">
            <v>674.12136428571444</v>
          </cell>
          <cell r="BU394">
            <v>114.092</v>
          </cell>
          <cell r="BV394">
            <v>0</v>
          </cell>
          <cell r="BW394">
            <v>4.5</v>
          </cell>
          <cell r="BX394">
            <v>100.15</v>
          </cell>
          <cell r="BY394">
            <v>0</v>
          </cell>
          <cell r="BZ394">
            <v>680.06198800000004</v>
          </cell>
          <cell r="CA394">
            <v>5035.2900448999999</v>
          </cell>
          <cell r="CB394">
            <v>3654.3700000000003</v>
          </cell>
          <cell r="CC394">
            <v>691.90478571428571</v>
          </cell>
          <cell r="CD394">
            <v>114.092</v>
          </cell>
          <cell r="CE394">
            <v>0</v>
          </cell>
          <cell r="CF394">
            <v>4.5</v>
          </cell>
          <cell r="CG394">
            <v>34.659999999999997</v>
          </cell>
          <cell r="CH394">
            <v>0</v>
          </cell>
          <cell r="CI394">
            <v>418.06</v>
          </cell>
          <cell r="CJ394">
            <v>6411.9699999999993</v>
          </cell>
          <cell r="CK394">
            <v>3389.32</v>
          </cell>
          <cell r="CL394">
            <v>1041</v>
          </cell>
          <cell r="CM394">
            <v>143.60399999999998</v>
          </cell>
          <cell r="CN394">
            <v>0</v>
          </cell>
          <cell r="CO394">
            <v>0</v>
          </cell>
          <cell r="CP394">
            <v>35</v>
          </cell>
          <cell r="CQ394">
            <v>0</v>
          </cell>
          <cell r="CR394">
            <v>594.29</v>
          </cell>
          <cell r="CS394">
            <v>7064.2699999999995</v>
          </cell>
          <cell r="CT394">
            <v>3133.9100000000003</v>
          </cell>
          <cell r="CU394">
            <v>1131.3999999999999</v>
          </cell>
          <cell r="CV394">
            <v>142.52600000000001</v>
          </cell>
          <cell r="CW394">
            <v>0</v>
          </cell>
          <cell r="CX394">
            <v>0</v>
          </cell>
          <cell r="CY394">
            <v>15</v>
          </cell>
          <cell r="CZ394">
            <v>0</v>
          </cell>
          <cell r="DA394">
            <v>7782.534999999998</v>
          </cell>
          <cell r="DB394">
            <v>0</v>
          </cell>
          <cell r="DC394">
            <v>2903.67</v>
          </cell>
          <cell r="DD394">
            <v>1401.1</v>
          </cell>
          <cell r="DE394">
            <v>91.573999999999998</v>
          </cell>
          <cell r="DF394">
            <v>0</v>
          </cell>
          <cell r="DG394">
            <v>0</v>
          </cell>
          <cell r="DH394">
            <v>18</v>
          </cell>
          <cell r="DI394">
            <v>0</v>
          </cell>
          <cell r="DJ394">
            <v>365.96000000000004</v>
          </cell>
          <cell r="DK394">
            <v>7629.43</v>
          </cell>
          <cell r="DL394">
            <v>2980.36</v>
          </cell>
          <cell r="DM394">
            <v>1358.9</v>
          </cell>
          <cell r="DN394">
            <v>24.925999999999998</v>
          </cell>
          <cell r="DO394">
            <v>0</v>
          </cell>
          <cell r="DP394">
            <v>0</v>
          </cell>
          <cell r="DQ394">
            <v>75</v>
          </cell>
          <cell r="DR394">
            <v>0</v>
          </cell>
          <cell r="DS394">
            <v>494.65499999999997</v>
          </cell>
          <cell r="DT394">
            <v>6958.4412000000002</v>
          </cell>
          <cell r="DU394">
            <v>3019.3</v>
          </cell>
          <cell r="DV394">
            <v>607.44642857142856</v>
          </cell>
          <cell r="DW394">
            <v>25.832999999999998</v>
          </cell>
          <cell r="DX394">
            <v>0</v>
          </cell>
          <cell r="DY394">
            <v>0</v>
          </cell>
          <cell r="DZ394">
            <v>302.34000000000003</v>
          </cell>
          <cell r="EA394">
            <v>0</v>
          </cell>
          <cell r="EB394">
            <v>824.08911799999998</v>
          </cell>
          <cell r="EC394">
            <v>6907.9945449000006</v>
          </cell>
          <cell r="ED394">
            <v>3019.3</v>
          </cell>
          <cell r="EE394">
            <v>846.97457142857127</v>
          </cell>
          <cell r="EF394">
            <v>18.754999999999999</v>
          </cell>
          <cell r="EG394">
            <v>0</v>
          </cell>
          <cell r="EH394">
            <v>0</v>
          </cell>
          <cell r="EI394">
            <v>0</v>
          </cell>
          <cell r="EJ394">
            <v>0</v>
          </cell>
          <cell r="EK394">
            <v>951.33699999999999</v>
          </cell>
          <cell r="EL394">
            <v>6281.4063049000015</v>
          </cell>
          <cell r="EM394">
            <v>3019.3</v>
          </cell>
          <cell r="EN394">
            <v>820.01014285714291</v>
          </cell>
          <cell r="EO394">
            <v>28.010999999999999</v>
          </cell>
          <cell r="EP394">
            <v>0</v>
          </cell>
          <cell r="EQ394">
            <v>0</v>
          </cell>
          <cell r="ER394">
            <v>35.75</v>
          </cell>
          <cell r="ES394">
            <v>0</v>
          </cell>
        </row>
        <row r="395">
          <cell r="A395" t="str">
            <v>FATTY ACID FINISHED PRODUCTS</v>
          </cell>
        </row>
        <row r="396">
          <cell r="A396">
            <v>80</v>
          </cell>
          <cell r="B396" t="str">
            <v>FG</v>
          </cell>
          <cell r="C396" t="str">
            <v>FM</v>
          </cell>
          <cell r="D396" t="str">
            <v>CPKO/MUSTO/MIX II RESIDUE</v>
          </cell>
          <cell r="E396" t="str">
            <v>PITCH</v>
          </cell>
          <cell r="F396">
            <v>255.149</v>
          </cell>
          <cell r="O396">
            <v>280.92</v>
          </cell>
          <cell r="X396">
            <v>224.14500000000001</v>
          </cell>
          <cell r="AG396">
            <v>192.501</v>
          </cell>
          <cell r="AP396">
            <v>179.316</v>
          </cell>
          <cell r="AY396">
            <v>177.9975</v>
          </cell>
          <cell r="BH396">
            <v>220.66</v>
          </cell>
          <cell r="BQ396">
            <v>322.45999999999998</v>
          </cell>
          <cell r="BZ396">
            <v>234.69300000000001</v>
          </cell>
          <cell r="CA396">
            <v>105.91776000000002</v>
          </cell>
          <cell r="CI396">
            <v>187.23</v>
          </cell>
          <cell r="CJ396">
            <v>167.02</v>
          </cell>
          <cell r="CR396">
            <v>174.04</v>
          </cell>
          <cell r="CS396">
            <v>167.02</v>
          </cell>
          <cell r="DA396">
            <v>348.95</v>
          </cell>
          <cell r="DJ396">
            <v>213.6</v>
          </cell>
          <cell r="DK396">
            <v>2.38</v>
          </cell>
          <cell r="DS396">
            <v>79.11</v>
          </cell>
          <cell r="EB396">
            <v>159.5385</v>
          </cell>
          <cell r="EK396">
            <v>175.3605</v>
          </cell>
          <cell r="EN396">
            <v>89.516785714285717</v>
          </cell>
        </row>
        <row r="397">
          <cell r="A397">
            <v>81</v>
          </cell>
          <cell r="B397" t="str">
            <v>FG</v>
          </cell>
          <cell r="C397" t="str">
            <v>FM</v>
          </cell>
          <cell r="D397" t="str">
            <v>JBS(80:20)</v>
          </cell>
          <cell r="E397" t="str">
            <v>JBS(80:20)</v>
          </cell>
          <cell r="I397">
            <v>112.5</v>
          </cell>
          <cell r="R397">
            <v>272.10000000000002</v>
          </cell>
          <cell r="AA397">
            <v>236</v>
          </cell>
          <cell r="AG397">
            <v>133.613</v>
          </cell>
          <cell r="AJ397">
            <v>54.4</v>
          </cell>
          <cell r="AN397">
            <v>15</v>
          </cell>
          <cell r="AP397">
            <v>81.284379999999999</v>
          </cell>
          <cell r="AS397">
            <v>97.835849999999994</v>
          </cell>
          <cell r="AY397">
            <v>81.284379999999999</v>
          </cell>
          <cell r="BB397">
            <v>97.196399999999997</v>
          </cell>
          <cell r="BK397">
            <v>179.68545000000003</v>
          </cell>
          <cell r="BZ397">
            <v>67.5</v>
          </cell>
          <cell r="CC397">
            <v>25.578000000000003</v>
          </cell>
          <cell r="CG397">
            <v>100.21</v>
          </cell>
          <cell r="CV397">
            <v>22.44</v>
          </cell>
          <cell r="DD397">
            <v>38.4</v>
          </cell>
          <cell r="DV397">
            <v>344.62699999999995</v>
          </cell>
          <cell r="EE397">
            <v>6.3945000000000007</v>
          </cell>
        </row>
        <row r="398">
          <cell r="A398">
            <v>82</v>
          </cell>
          <cell r="B398" t="str">
            <v>FG</v>
          </cell>
          <cell r="C398" t="str">
            <v>FM</v>
          </cell>
          <cell r="D398" t="str">
            <v>TRANSLUCENT</v>
          </cell>
          <cell r="E398" t="str">
            <v>TRANSLUCENT</v>
          </cell>
          <cell r="J398">
            <v>5.22</v>
          </cell>
          <cell r="S398">
            <v>5.22</v>
          </cell>
          <cell r="AJ398">
            <v>12.72</v>
          </cell>
          <cell r="AT398">
            <v>82.27</v>
          </cell>
          <cell r="BC398">
            <v>82.27</v>
          </cell>
          <cell r="BL398">
            <v>82.27</v>
          </cell>
          <cell r="BQ398">
            <v>45</v>
          </cell>
          <cell r="BU398">
            <v>6.96</v>
          </cell>
          <cell r="CD398">
            <v>1.5</v>
          </cell>
          <cell r="CI398">
            <v>90.9</v>
          </cell>
          <cell r="CM398">
            <v>1.5</v>
          </cell>
          <cell r="CR398">
            <v>6.3</v>
          </cell>
          <cell r="DA398">
            <v>6.3</v>
          </cell>
          <cell r="DE398">
            <v>1.8</v>
          </cell>
          <cell r="DJ398">
            <v>3.42</v>
          </cell>
          <cell r="DM398">
            <v>95.9</v>
          </cell>
          <cell r="DN398">
            <v>1.8</v>
          </cell>
          <cell r="DW398">
            <v>1.8</v>
          </cell>
        </row>
        <row r="399">
          <cell r="A399">
            <v>83</v>
          </cell>
          <cell r="B399" t="str">
            <v>FG</v>
          </cell>
          <cell r="C399" t="str">
            <v>FM</v>
          </cell>
          <cell r="D399" t="str">
            <v>D.S.B</v>
          </cell>
          <cell r="E399" t="str">
            <v>DPFAD 70% + SDD PKO RES 30%</v>
          </cell>
          <cell r="I399">
            <v>262.2</v>
          </cell>
          <cell r="R399">
            <v>281.39999999999998</v>
          </cell>
          <cell r="AJ399">
            <v>44.8</v>
          </cell>
          <cell r="AN399">
            <v>60</v>
          </cell>
          <cell r="AP399">
            <v>94.545000000000002</v>
          </cell>
          <cell r="AS399">
            <v>338.9</v>
          </cell>
          <cell r="AW399">
            <v>30.99</v>
          </cell>
          <cell r="AY399">
            <v>76.23</v>
          </cell>
          <cell r="BB399">
            <v>402.9</v>
          </cell>
          <cell r="BF399">
            <v>64.88</v>
          </cell>
          <cell r="BH399">
            <v>36.134999999999998</v>
          </cell>
          <cell r="BK399">
            <v>274.96350000000001</v>
          </cell>
          <cell r="BO399">
            <v>34</v>
          </cell>
          <cell r="BT399">
            <v>161.78085000000002</v>
          </cell>
          <cell r="BZ399">
            <v>112.68178</v>
          </cell>
          <cell r="CC399">
            <v>198.25800000000001</v>
          </cell>
          <cell r="CG399">
            <v>100.26</v>
          </cell>
          <cell r="CM399">
            <v>89.286000000000001</v>
          </cell>
          <cell r="DE399">
            <v>153.32900000000001</v>
          </cell>
          <cell r="DT399">
            <v>3.1716000000000002</v>
          </cell>
        </row>
        <row r="400">
          <cell r="A400">
            <v>84</v>
          </cell>
          <cell r="B400" t="str">
            <v>FG</v>
          </cell>
          <cell r="C400" t="str">
            <v>FM</v>
          </cell>
          <cell r="D400" t="str">
            <v>JO BLEND</v>
          </cell>
          <cell r="E400" t="str">
            <v>JO BLEND</v>
          </cell>
          <cell r="AA400">
            <v>249.4</v>
          </cell>
          <cell r="AJ400">
            <v>409.2</v>
          </cell>
        </row>
        <row r="401">
          <cell r="A401">
            <v>85</v>
          </cell>
          <cell r="B401" t="str">
            <v>FG</v>
          </cell>
          <cell r="C401" t="str">
            <v>FM</v>
          </cell>
          <cell r="D401" t="str">
            <v>ITC</v>
          </cell>
          <cell r="E401" t="str">
            <v>DPFAD 70% + DCPS 30%</v>
          </cell>
        </row>
        <row r="402">
          <cell r="A402">
            <v>86</v>
          </cell>
          <cell r="B402" t="str">
            <v>FG</v>
          </cell>
          <cell r="C402" t="str">
            <v>FM</v>
          </cell>
          <cell r="D402" t="str">
            <v>DDPKORESIDUEFA</v>
          </cell>
          <cell r="E402" t="str">
            <v>S DD PKO RES</v>
          </cell>
        </row>
        <row r="403">
          <cell r="A403">
            <v>87</v>
          </cell>
          <cell r="B403" t="str">
            <v>FG</v>
          </cell>
          <cell r="C403" t="str">
            <v>FM</v>
          </cell>
          <cell r="D403" t="str">
            <v>DRBDPS FOR P-12</v>
          </cell>
          <cell r="E403" t="str">
            <v>DRBDPS/CPS 65%+B/P PKO 35%</v>
          </cell>
        </row>
        <row r="404">
          <cell r="A404">
            <v>258</v>
          </cell>
          <cell r="B404" t="str">
            <v>FG</v>
          </cell>
          <cell r="C404" t="str">
            <v>FM</v>
          </cell>
          <cell r="D404" t="str">
            <v>DRBDPS</v>
          </cell>
          <cell r="E404" t="str">
            <v>DRBDPS</v>
          </cell>
          <cell r="DV404">
            <v>133.64504999999997</v>
          </cell>
          <cell r="EE404">
            <v>146.43404999999998</v>
          </cell>
          <cell r="EN404">
            <v>66.242500000000007</v>
          </cell>
        </row>
        <row r="405">
          <cell r="A405">
            <v>88</v>
          </cell>
          <cell r="B405" t="str">
            <v>FG</v>
          </cell>
          <cell r="C405" t="str">
            <v>FM</v>
          </cell>
          <cell r="D405" t="str">
            <v>DPKO</v>
          </cell>
          <cell r="E405" t="str">
            <v>D C12-C18</v>
          </cell>
          <cell r="I405">
            <v>82.5</v>
          </cell>
          <cell r="O405">
            <v>94.545000000000002</v>
          </cell>
          <cell r="R405">
            <v>154.1</v>
          </cell>
          <cell r="X405">
            <v>77.715000000000003</v>
          </cell>
          <cell r="AA405">
            <v>70.3</v>
          </cell>
          <cell r="AG405">
            <v>30.195</v>
          </cell>
          <cell r="AJ405">
            <v>87</v>
          </cell>
          <cell r="AP405">
            <v>126.72</v>
          </cell>
          <cell r="AS405">
            <v>163.69919999999999</v>
          </cell>
          <cell r="AY405">
            <v>126.22499999999999</v>
          </cell>
          <cell r="BB405">
            <v>163.05975000000001</v>
          </cell>
          <cell r="BH405">
            <v>55.44</v>
          </cell>
          <cell r="BK405">
            <v>221.88915</v>
          </cell>
          <cell r="BQ405">
            <v>10.89</v>
          </cell>
          <cell r="BT405">
            <v>102.31200000000001</v>
          </cell>
          <cell r="BZ405">
            <v>2.4750000000000001</v>
          </cell>
          <cell r="CC405">
            <v>231.48089999999999</v>
          </cell>
          <cell r="CL405">
            <v>419.5</v>
          </cell>
          <cell r="CU405">
            <v>345.3</v>
          </cell>
          <cell r="DD405">
            <v>281.39999999999998</v>
          </cell>
          <cell r="DM405">
            <v>191.8</v>
          </cell>
          <cell r="DS405">
            <v>153.67283</v>
          </cell>
          <cell r="DW405">
            <v>206.79</v>
          </cell>
          <cell r="EE405">
            <v>109.98539999999998</v>
          </cell>
          <cell r="EF405">
            <v>243.87</v>
          </cell>
          <cell r="EN405">
            <v>328.03784999999999</v>
          </cell>
          <cell r="EO405">
            <v>260.53500000000003</v>
          </cell>
        </row>
        <row r="406">
          <cell r="A406">
            <v>89</v>
          </cell>
          <cell r="B406" t="str">
            <v>FG</v>
          </cell>
          <cell r="C406" t="str">
            <v>FM</v>
          </cell>
          <cell r="D406" t="str">
            <v>DPFAD</v>
          </cell>
          <cell r="E406" t="str">
            <v>DPFAD</v>
          </cell>
          <cell r="S406">
            <v>37.206000000000003</v>
          </cell>
          <cell r="AB406">
            <v>113.328</v>
          </cell>
          <cell r="AJ406">
            <v>145.005</v>
          </cell>
          <cell r="AT406">
            <v>73.325999999999993</v>
          </cell>
          <cell r="BC406">
            <v>91.906999999999996</v>
          </cell>
          <cell r="BL406">
            <v>108.52500000000001</v>
          </cell>
          <cell r="BU406">
            <v>140.52600000000001</v>
          </cell>
          <cell r="CD406">
            <v>71.213999999999999</v>
          </cell>
          <cell r="CG406">
            <v>39.619999999999997</v>
          </cell>
          <cell r="CI406">
            <v>50</v>
          </cell>
          <cell r="CL406">
            <v>202.1</v>
          </cell>
          <cell r="CM406">
            <v>2.512</v>
          </cell>
          <cell r="CP406">
            <v>20</v>
          </cell>
          <cell r="CR406">
            <v>14.85</v>
          </cell>
          <cell r="CU406">
            <v>176.5</v>
          </cell>
          <cell r="CV406">
            <v>208.185</v>
          </cell>
          <cell r="CY406">
            <v>57.03</v>
          </cell>
          <cell r="DD406">
            <v>100.4</v>
          </cell>
          <cell r="DJ406">
            <v>424.91</v>
          </cell>
          <cell r="DM406">
            <v>177.8</v>
          </cell>
          <cell r="DN406">
            <v>130.149</v>
          </cell>
          <cell r="DT406">
            <v>124.95</v>
          </cell>
        </row>
        <row r="407">
          <cell r="A407">
            <v>90</v>
          </cell>
          <cell r="B407" t="str">
            <v>FG</v>
          </cell>
          <cell r="C407" t="str">
            <v>NM</v>
          </cell>
          <cell r="D407" t="str">
            <v>C6&gt;98%</v>
          </cell>
          <cell r="E407" t="str">
            <v>C6&gt;98%</v>
          </cell>
          <cell r="F407">
            <v>16.742000000000001</v>
          </cell>
          <cell r="O407">
            <v>16.742000000000001</v>
          </cell>
          <cell r="X407">
            <v>16.742000000000001</v>
          </cell>
          <cell r="AG407">
            <v>16.742000000000001</v>
          </cell>
          <cell r="AP407">
            <v>16.742000000000001</v>
          </cell>
          <cell r="AY407">
            <v>21.256999999999998</v>
          </cell>
          <cell r="BH407">
            <v>61.892000000000003</v>
          </cell>
          <cell r="BQ407">
            <v>2.81</v>
          </cell>
          <cell r="BZ407">
            <v>2.81</v>
          </cell>
          <cell r="CI407">
            <v>2.81</v>
          </cell>
          <cell r="CR407">
            <v>2.81</v>
          </cell>
          <cell r="DA407">
            <v>2.81</v>
          </cell>
          <cell r="DJ407">
            <v>2.81</v>
          </cell>
          <cell r="DS407">
            <v>2.81</v>
          </cell>
          <cell r="EB407">
            <v>19.966999999999999</v>
          </cell>
          <cell r="EK407">
            <v>21.901999999999997</v>
          </cell>
        </row>
        <row r="408">
          <cell r="A408">
            <v>91</v>
          </cell>
          <cell r="B408" t="str">
            <v>FG</v>
          </cell>
          <cell r="C408" t="str">
            <v>FM</v>
          </cell>
          <cell r="D408" t="str">
            <v>C8&gt;98%</v>
          </cell>
          <cell r="E408" t="str">
            <v>C8&gt;98%</v>
          </cell>
          <cell r="F408">
            <v>49.5</v>
          </cell>
          <cell r="O408">
            <v>26.234999999999999</v>
          </cell>
          <cell r="X408">
            <v>26.234999999999999</v>
          </cell>
          <cell r="AG408">
            <v>25.74</v>
          </cell>
          <cell r="AP408">
            <v>2.4750000000000001</v>
          </cell>
          <cell r="AY408">
            <v>13.365</v>
          </cell>
          <cell r="BH408">
            <v>104.44499999999999</v>
          </cell>
          <cell r="BQ408">
            <v>92.564999999999998</v>
          </cell>
          <cell r="BZ408">
            <v>61.38</v>
          </cell>
          <cell r="CI408">
            <v>23.27</v>
          </cell>
          <cell r="CR408">
            <v>90.59</v>
          </cell>
          <cell r="DA408">
            <v>93</v>
          </cell>
          <cell r="DJ408">
            <v>81.680000000000007</v>
          </cell>
          <cell r="DS408">
            <v>30.69</v>
          </cell>
          <cell r="EB408">
            <v>78.209999999999994</v>
          </cell>
          <cell r="EK408">
            <v>64.844999999999999</v>
          </cell>
        </row>
        <row r="409">
          <cell r="A409">
            <v>92</v>
          </cell>
          <cell r="B409" t="str">
            <v>FG</v>
          </cell>
          <cell r="C409" t="str">
            <v>FM</v>
          </cell>
          <cell r="D409" t="str">
            <v>C10&gt;98%</v>
          </cell>
          <cell r="E409" t="str">
            <v>C10&gt;98%</v>
          </cell>
          <cell r="F409">
            <v>52.47</v>
          </cell>
          <cell r="O409">
            <v>31.68</v>
          </cell>
          <cell r="X409">
            <v>74.745000000000005</v>
          </cell>
          <cell r="AG409">
            <v>73.754999999999995</v>
          </cell>
          <cell r="AP409">
            <v>58.905000000000001</v>
          </cell>
          <cell r="AY409">
            <v>58.905000000000001</v>
          </cell>
          <cell r="BH409">
            <v>11.385</v>
          </cell>
          <cell r="BQ409">
            <v>5.4450000000000003</v>
          </cell>
          <cell r="BZ409">
            <v>128.20500000000001</v>
          </cell>
          <cell r="CI409">
            <v>26.24</v>
          </cell>
          <cell r="CR409">
            <v>20.3</v>
          </cell>
          <cell r="DA409">
            <v>139.59</v>
          </cell>
          <cell r="DJ409">
            <v>157.41</v>
          </cell>
          <cell r="DS409">
            <v>122.265</v>
          </cell>
          <cell r="EB409">
            <v>112.36499999999999</v>
          </cell>
          <cell r="EK409">
            <v>93.06</v>
          </cell>
        </row>
        <row r="410">
          <cell r="A410">
            <v>93</v>
          </cell>
          <cell r="B410" t="str">
            <v>FG</v>
          </cell>
          <cell r="C410" t="str">
            <v>FM</v>
          </cell>
          <cell r="D410" t="str">
            <v>C8+C10&gt;98%</v>
          </cell>
          <cell r="E410" t="str">
            <v>C8+C10&gt;98%</v>
          </cell>
          <cell r="F410">
            <v>123.04164999999999</v>
          </cell>
          <cell r="G410">
            <v>111.00999999999999</v>
          </cell>
          <cell r="O410">
            <v>122.37835</v>
          </cell>
          <cell r="P410">
            <v>108.63</v>
          </cell>
          <cell r="X410">
            <v>172.78915000000001</v>
          </cell>
          <cell r="Y410">
            <v>285.26</v>
          </cell>
          <cell r="AG410">
            <v>140.95075</v>
          </cell>
          <cell r="AH410">
            <v>325.20999999999998</v>
          </cell>
          <cell r="AI410">
            <v>48.16</v>
          </cell>
          <cell r="AP410">
            <v>122.37835</v>
          </cell>
          <cell r="AQ410">
            <v>60.01</v>
          </cell>
          <cell r="AR410">
            <v>505.82</v>
          </cell>
          <cell r="AY410">
            <v>122.0467</v>
          </cell>
          <cell r="AZ410">
            <v>60.86</v>
          </cell>
          <cell r="BH410">
            <v>123.1953</v>
          </cell>
          <cell r="BI410">
            <v>60.86</v>
          </cell>
          <cell r="BQ410">
            <v>107.952</v>
          </cell>
          <cell r="BR410">
            <v>60.86</v>
          </cell>
          <cell r="BZ410">
            <v>218.68700000000001</v>
          </cell>
          <cell r="CA410">
            <v>60.86</v>
          </cell>
          <cell r="CI410">
            <v>204.76</v>
          </cell>
          <cell r="CJ410">
            <v>60.86</v>
          </cell>
          <cell r="CS410">
            <v>62.14</v>
          </cell>
          <cell r="DA410">
            <v>104.59</v>
          </cell>
          <cell r="DJ410">
            <v>35.49</v>
          </cell>
          <cell r="DK410">
            <v>62.14</v>
          </cell>
          <cell r="DS410">
            <v>35.486049999999999</v>
          </cell>
          <cell r="DT410">
            <v>52.53</v>
          </cell>
          <cell r="EB410">
            <v>127.3531</v>
          </cell>
          <cell r="EC410">
            <v>52.53</v>
          </cell>
          <cell r="EK410">
            <v>126.35814999999999</v>
          </cell>
          <cell r="EL410">
            <v>52.53</v>
          </cell>
        </row>
        <row r="411">
          <cell r="A411">
            <v>94</v>
          </cell>
          <cell r="B411" t="str">
            <v>FG</v>
          </cell>
          <cell r="C411" t="str">
            <v>FM</v>
          </cell>
          <cell r="D411" t="str">
            <v>C12&gt;99%</v>
          </cell>
          <cell r="E411" t="str">
            <v>C12&gt;99%</v>
          </cell>
          <cell r="I411">
            <v>425</v>
          </cell>
          <cell r="J411">
            <v>13.12</v>
          </cell>
          <cell r="Q411">
            <v>997.39</v>
          </cell>
          <cell r="R411">
            <v>425</v>
          </cell>
          <cell r="S411">
            <v>13.12</v>
          </cell>
          <cell r="Z411">
            <v>997.39</v>
          </cell>
          <cell r="AA411">
            <v>414</v>
          </cell>
          <cell r="AI411">
            <v>858.09</v>
          </cell>
          <cell r="AJ411">
            <v>413.9</v>
          </cell>
          <cell r="AR411">
            <v>1.28</v>
          </cell>
          <cell r="AS411">
            <v>399.15599999999995</v>
          </cell>
          <cell r="BA411">
            <v>1.28</v>
          </cell>
          <cell r="BB411">
            <v>384.44057142857139</v>
          </cell>
          <cell r="BJ411">
            <v>1.2799999999999159</v>
          </cell>
          <cell r="BK411">
            <v>367.88571428571424</v>
          </cell>
          <cell r="BO411">
            <v>15.87</v>
          </cell>
          <cell r="BS411">
            <v>1500.49</v>
          </cell>
          <cell r="BT411">
            <v>367.88571428571424</v>
          </cell>
          <cell r="CB411">
            <v>1180.1300000000001</v>
          </cell>
          <cell r="CC411">
            <v>367.88571428571424</v>
          </cell>
          <cell r="CG411">
            <v>74.39</v>
          </cell>
          <cell r="CL411">
            <v>353.2</v>
          </cell>
          <cell r="CU411">
            <v>353.2</v>
          </cell>
          <cell r="DD411">
            <v>340.3</v>
          </cell>
          <cell r="DH411">
            <v>35</v>
          </cell>
          <cell r="DM411">
            <v>321.89999999999998</v>
          </cell>
          <cell r="DV411">
            <v>289.70999999999998</v>
          </cell>
          <cell r="EE411">
            <v>252.85928571428573</v>
          </cell>
          <cell r="EN411">
            <v>228.62357142857147</v>
          </cell>
        </row>
        <row r="412">
          <cell r="A412">
            <v>95</v>
          </cell>
          <cell r="B412" t="str">
            <v>FG</v>
          </cell>
          <cell r="C412" t="str">
            <v>FM</v>
          </cell>
          <cell r="D412" t="str">
            <v>C14&gt;99%</v>
          </cell>
          <cell r="E412" t="str">
            <v>C14&gt;99%</v>
          </cell>
        </row>
        <row r="413">
          <cell r="A413">
            <v>96</v>
          </cell>
          <cell r="B413" t="str">
            <v>FG</v>
          </cell>
          <cell r="C413" t="str">
            <v>FM</v>
          </cell>
          <cell r="D413" t="str">
            <v>C12+14&gt;99</v>
          </cell>
          <cell r="E413" t="str">
            <v>C12-C14</v>
          </cell>
          <cell r="I413">
            <v>923.2</v>
          </cell>
          <cell r="R413">
            <v>1096.8</v>
          </cell>
          <cell r="AA413">
            <v>951.9</v>
          </cell>
          <cell r="AJ413">
            <v>297.8</v>
          </cell>
          <cell r="AS413">
            <v>129.71700000000001</v>
          </cell>
          <cell r="BB413">
            <v>129.71700000000001</v>
          </cell>
          <cell r="BK413">
            <v>529.79999999999995</v>
          </cell>
          <cell r="BT413">
            <v>627.53300000000002</v>
          </cell>
          <cell r="CC413">
            <v>32.885999999999946</v>
          </cell>
          <cell r="CL413">
            <v>171.4</v>
          </cell>
          <cell r="CU413">
            <v>351.7</v>
          </cell>
          <cell r="DD413">
            <v>285</v>
          </cell>
          <cell r="DM413">
            <v>330.7</v>
          </cell>
          <cell r="DV413">
            <v>1406.8</v>
          </cell>
          <cell r="EE413">
            <v>998.1</v>
          </cell>
          <cell r="EN413">
            <v>1261.3</v>
          </cell>
        </row>
        <row r="414">
          <cell r="A414">
            <v>248</v>
          </cell>
          <cell r="B414" t="str">
            <v>FG</v>
          </cell>
          <cell r="C414" t="str">
            <v>FM</v>
          </cell>
          <cell r="D414" t="str">
            <v>C12+14&gt;99 (IMP)</v>
          </cell>
          <cell r="E414" t="str">
            <v>C12-C14 (IMP)</v>
          </cell>
          <cell r="H414">
            <v>997.39</v>
          </cell>
        </row>
        <row r="415">
          <cell r="A415">
            <v>97</v>
          </cell>
          <cell r="B415" t="str">
            <v>FG</v>
          </cell>
          <cell r="C415" t="str">
            <v>FM</v>
          </cell>
          <cell r="D415" t="str">
            <v>C12+C14+C16&gt;99</v>
          </cell>
          <cell r="E415" t="str">
            <v>C12-C16</v>
          </cell>
          <cell r="AS415">
            <v>204.624</v>
          </cell>
          <cell r="BB415">
            <v>23.750999999999948</v>
          </cell>
          <cell r="BK415">
            <v>1112.5999999999999</v>
          </cell>
          <cell r="BT415">
            <v>1178.4000000000001</v>
          </cell>
          <cell r="CC415">
            <v>1173.8</v>
          </cell>
          <cell r="CL415">
            <v>772.8</v>
          </cell>
          <cell r="CU415">
            <v>1207.5999999999999</v>
          </cell>
          <cell r="DD415">
            <v>1207.5999999999999</v>
          </cell>
          <cell r="DM415">
            <v>926.3</v>
          </cell>
          <cell r="DV415">
            <v>528.91649999999993</v>
          </cell>
          <cell r="EE415">
            <v>528.91649999999993</v>
          </cell>
          <cell r="EN415">
            <v>583.72649999999999</v>
          </cell>
        </row>
        <row r="416">
          <cell r="A416">
            <v>98</v>
          </cell>
          <cell r="B416" t="str">
            <v>FG</v>
          </cell>
          <cell r="C416" t="str">
            <v>FM</v>
          </cell>
          <cell r="D416" t="str">
            <v>C16&gt;90%</v>
          </cell>
          <cell r="E416" t="str">
            <v>C16&gt;90%</v>
          </cell>
        </row>
        <row r="417">
          <cell r="A417">
            <v>99</v>
          </cell>
          <cell r="B417" t="str">
            <v>FG</v>
          </cell>
          <cell r="C417" t="str">
            <v>FM</v>
          </cell>
          <cell r="D417" t="str">
            <v>C16&gt;99%</v>
          </cell>
          <cell r="E417" t="str">
            <v>C16&gt;99%</v>
          </cell>
          <cell r="BO417">
            <v>19.79</v>
          </cell>
          <cell r="BT417">
            <v>178.669725</v>
          </cell>
          <cell r="BX417">
            <v>158.6</v>
          </cell>
          <cell r="BZ417">
            <v>7.92</v>
          </cell>
          <cell r="CC417">
            <v>328.23</v>
          </cell>
          <cell r="CL417">
            <v>1.8</v>
          </cell>
          <cell r="CP417">
            <v>15</v>
          </cell>
          <cell r="CU417">
            <v>4.8</v>
          </cell>
          <cell r="DD417">
            <v>35.1</v>
          </cell>
          <cell r="DM417">
            <v>215.3</v>
          </cell>
          <cell r="DQ417">
            <v>60</v>
          </cell>
          <cell r="DV417">
            <v>274.67142857142858</v>
          </cell>
          <cell r="EE417">
            <v>475.02</v>
          </cell>
          <cell r="EN417">
            <v>164.43</v>
          </cell>
        </row>
        <row r="418">
          <cell r="A418">
            <v>100</v>
          </cell>
          <cell r="B418" t="str">
            <v>FG</v>
          </cell>
          <cell r="C418" t="str">
            <v>FM</v>
          </cell>
          <cell r="D418" t="str">
            <v>DFA C16/C18</v>
          </cell>
          <cell r="E418" t="str">
            <v>DFA C16/C18</v>
          </cell>
          <cell r="CK418">
            <v>1126.0719999999999</v>
          </cell>
          <cell r="CT418">
            <v>1126.0719999999999</v>
          </cell>
          <cell r="DC418">
            <v>997.46199999999999</v>
          </cell>
          <cell r="DL418">
            <v>457.642</v>
          </cell>
          <cell r="DQ418">
            <v>110</v>
          </cell>
          <cell r="DU418">
            <v>376.072</v>
          </cell>
          <cell r="ED418">
            <v>376.07200000000012</v>
          </cell>
          <cell r="EM418">
            <v>22.812000000000126</v>
          </cell>
          <cell r="ER418">
            <v>120.63</v>
          </cell>
        </row>
        <row r="419">
          <cell r="A419">
            <v>101</v>
          </cell>
          <cell r="B419" t="str">
            <v>FG</v>
          </cell>
          <cell r="C419" t="str">
            <v>FM</v>
          </cell>
          <cell r="D419" t="str">
            <v>C18&gt;95%</v>
          </cell>
          <cell r="E419" t="str">
            <v>C18&gt;95%</v>
          </cell>
          <cell r="H419">
            <v>1028.9000000000001</v>
          </cell>
          <cell r="Q419">
            <v>1028.9000000000001</v>
          </cell>
          <cell r="AI419">
            <v>1028.9000000000001</v>
          </cell>
          <cell r="AR419">
            <v>1028.9000000000001</v>
          </cell>
          <cell r="BA419">
            <v>1028.9000000000001</v>
          </cell>
          <cell r="BS419">
            <v>771.26</v>
          </cell>
          <cell r="CB419">
            <v>1748.33</v>
          </cell>
          <cell r="DU419">
            <v>2128.15</v>
          </cell>
          <cell r="DV419">
            <v>78.560999999999993</v>
          </cell>
          <cell r="ED419">
            <v>1619.68</v>
          </cell>
          <cell r="EE419">
            <v>36.366</v>
          </cell>
          <cell r="EM419">
            <v>1619.68</v>
          </cell>
          <cell r="EN419">
            <v>36.366</v>
          </cell>
        </row>
        <row r="420">
          <cell r="A420">
            <v>102</v>
          </cell>
          <cell r="B420" t="str">
            <v>FG</v>
          </cell>
          <cell r="C420" t="str">
            <v>FM</v>
          </cell>
          <cell r="D420" t="str">
            <v>OLEIC-K</v>
          </cell>
          <cell r="E420" t="str">
            <v>OLEIC-K</v>
          </cell>
          <cell r="F420">
            <v>272.85000000000002</v>
          </cell>
          <cell r="O420">
            <v>413.02</v>
          </cell>
          <cell r="X420">
            <v>291.04000000000002</v>
          </cell>
          <cell r="AG420">
            <v>240.75</v>
          </cell>
          <cell r="AP420">
            <v>383.06</v>
          </cell>
          <cell r="AY420">
            <v>418.37</v>
          </cell>
          <cell r="BH420">
            <v>222.56</v>
          </cell>
          <cell r="BQ420">
            <v>70.62</v>
          </cell>
          <cell r="BT420">
            <v>468.99</v>
          </cell>
          <cell r="BZ420">
            <v>22.47</v>
          </cell>
          <cell r="CC420">
            <v>427.08865500000002</v>
          </cell>
          <cell r="CI420">
            <v>67.41</v>
          </cell>
          <cell r="CL420">
            <v>427.1</v>
          </cell>
          <cell r="CR420">
            <v>13.19</v>
          </cell>
          <cell r="DA420">
            <v>5.35</v>
          </cell>
          <cell r="DJ420">
            <v>88.81</v>
          </cell>
          <cell r="DS420">
            <v>154.08000000000001</v>
          </cell>
          <cell r="EB420">
            <v>59.92</v>
          </cell>
          <cell r="EK420">
            <v>129.47</v>
          </cell>
        </row>
        <row r="421">
          <cell r="A421">
            <v>103</v>
          </cell>
          <cell r="B421" t="str">
            <v>FG</v>
          </cell>
          <cell r="C421" t="str">
            <v>FM</v>
          </cell>
          <cell r="D421" t="str">
            <v>C16+C18(30:70)TA</v>
          </cell>
          <cell r="E421" t="str">
            <v>C16-C18</v>
          </cell>
          <cell r="CI421">
            <v>286.24</v>
          </cell>
          <cell r="CR421">
            <v>382.18</v>
          </cell>
          <cell r="DA421">
            <v>280.13</v>
          </cell>
          <cell r="DD421">
            <v>430.4</v>
          </cell>
          <cell r="DH421">
            <v>80</v>
          </cell>
          <cell r="DM421">
            <v>594.1</v>
          </cell>
          <cell r="DV421">
            <v>31.270285714285762</v>
          </cell>
          <cell r="DZ421">
            <v>213</v>
          </cell>
          <cell r="EE421">
            <v>86.453142857142836</v>
          </cell>
        </row>
        <row r="422">
          <cell r="A422">
            <v>104</v>
          </cell>
          <cell r="B422" t="str">
            <v>FG</v>
          </cell>
          <cell r="C422" t="str">
            <v>FM</v>
          </cell>
          <cell r="D422" t="str">
            <v>HYD.RBDPS-G3</v>
          </cell>
          <cell r="E422" t="str">
            <v>HYD.RBDPS</v>
          </cell>
          <cell r="I422">
            <v>285.3</v>
          </cell>
          <cell r="R422">
            <v>156</v>
          </cell>
          <cell r="AA422">
            <v>78.199999999999989</v>
          </cell>
          <cell r="AJ422">
            <v>71.7</v>
          </cell>
          <cell r="AS422">
            <v>37.323</v>
          </cell>
          <cell r="BB422">
            <v>37.323</v>
          </cell>
          <cell r="BK422">
            <v>37.323</v>
          </cell>
          <cell r="BT422">
            <v>38.799999999999997</v>
          </cell>
          <cell r="DM422">
            <v>119.2</v>
          </cell>
          <cell r="DV422">
            <v>125.889</v>
          </cell>
          <cell r="DZ422">
            <v>15.31</v>
          </cell>
          <cell r="EE422">
            <v>32.19</v>
          </cell>
          <cell r="EN422">
            <v>0.3</v>
          </cell>
        </row>
        <row r="423">
          <cell r="A423">
            <v>105</v>
          </cell>
          <cell r="B423" t="str">
            <v>FG</v>
          </cell>
          <cell r="C423" t="str">
            <v>SM</v>
          </cell>
          <cell r="D423" t="str">
            <v>L/E MUSTARD C1820</v>
          </cell>
          <cell r="E423" t="str">
            <v>DFA C18C20 MFA</v>
          </cell>
          <cell r="AA423">
            <v>1126.8</v>
          </cell>
          <cell r="AJ423">
            <v>1180.5</v>
          </cell>
          <cell r="AS423">
            <v>1195</v>
          </cell>
          <cell r="BB423">
            <v>1175.8</v>
          </cell>
          <cell r="BK423">
            <v>1163.2</v>
          </cell>
          <cell r="BS423">
            <v>921.19</v>
          </cell>
          <cell r="BT423">
            <v>169.01490000000001</v>
          </cell>
          <cell r="CC423">
            <v>248.5</v>
          </cell>
          <cell r="CL423">
            <v>397</v>
          </cell>
          <cell r="CT423">
            <v>1577.68</v>
          </cell>
          <cell r="CU423">
            <v>486.8</v>
          </cell>
          <cell r="CY423">
            <v>14.96</v>
          </cell>
          <cell r="DC423">
            <v>1561.78</v>
          </cell>
          <cell r="DD423">
            <v>757.30000000000007</v>
          </cell>
          <cell r="DL423">
            <v>1859.6</v>
          </cell>
          <cell r="DM423">
            <v>394</v>
          </cell>
          <cell r="DV423">
            <v>192.27</v>
          </cell>
          <cell r="EE423">
            <v>192.27</v>
          </cell>
          <cell r="EN423">
            <v>187.01892857142857</v>
          </cell>
        </row>
        <row r="424">
          <cell r="A424">
            <v>106</v>
          </cell>
          <cell r="B424" t="str">
            <v>FG</v>
          </cell>
          <cell r="C424" t="str">
            <v>SM</v>
          </cell>
          <cell r="D424" t="str">
            <v>L/E MUSTARD UPTO C18 (OLEIC 15)</v>
          </cell>
          <cell r="E424" t="str">
            <v>DFA C18 PURE MFA (OLEIC 15)</v>
          </cell>
          <cell r="I424">
            <v>589.20000000000005</v>
          </cell>
          <cell r="R424">
            <v>725</v>
          </cell>
          <cell r="Z424">
            <v>1028.9000000000001</v>
          </cell>
          <cell r="BJ424">
            <v>997.05</v>
          </cell>
          <cell r="BO424">
            <v>8.58</v>
          </cell>
          <cell r="CK424">
            <v>1657.08</v>
          </cell>
        </row>
        <row r="425">
          <cell r="A425">
            <v>107</v>
          </cell>
          <cell r="B425" t="str">
            <v>FG</v>
          </cell>
          <cell r="C425" t="str">
            <v>SM</v>
          </cell>
          <cell r="D425" t="str">
            <v>DC20+22&gt;98%</v>
          </cell>
          <cell r="E425" t="str">
            <v>C20-C22</v>
          </cell>
          <cell r="AA425">
            <v>173</v>
          </cell>
          <cell r="AS425">
            <v>65.77200000000002</v>
          </cell>
          <cell r="BB425">
            <v>65.77200000000002</v>
          </cell>
          <cell r="BK425">
            <v>65.77200000000002</v>
          </cell>
          <cell r="CC425">
            <v>137.02500000000001</v>
          </cell>
          <cell r="DV425">
            <v>315.58799999999997</v>
          </cell>
          <cell r="EE425">
            <v>286.23</v>
          </cell>
          <cell r="EN425">
            <v>285.58619999999996</v>
          </cell>
        </row>
        <row r="426">
          <cell r="A426">
            <v>108</v>
          </cell>
          <cell r="B426" t="str">
            <v>FG</v>
          </cell>
          <cell r="C426" t="str">
            <v>FM</v>
          </cell>
          <cell r="D426" t="str">
            <v>DC22:1&gt;90%</v>
          </cell>
          <cell r="E426" t="str">
            <v>ERUCIC</v>
          </cell>
          <cell r="I426">
            <v>167.1</v>
          </cell>
          <cell r="R426">
            <v>261</v>
          </cell>
          <cell r="AA426">
            <v>200.5</v>
          </cell>
          <cell r="AJ426">
            <v>341.4</v>
          </cell>
          <cell r="AS426">
            <v>372.6</v>
          </cell>
          <cell r="BB426">
            <v>350.6</v>
          </cell>
          <cell r="BF426">
            <v>8</v>
          </cell>
          <cell r="BK426">
            <v>288.83999999999997</v>
          </cell>
          <cell r="BT426">
            <v>248.82</v>
          </cell>
          <cell r="CC426">
            <v>288.59640000000002</v>
          </cell>
          <cell r="CL426">
            <v>452.7</v>
          </cell>
          <cell r="CU426">
            <v>452.7</v>
          </cell>
          <cell r="DD426">
            <v>452.6</v>
          </cell>
          <cell r="DM426">
            <v>533.69999999999993</v>
          </cell>
          <cell r="DV426">
            <v>545.88</v>
          </cell>
          <cell r="EE426">
            <v>446.7</v>
          </cell>
          <cell r="EN426">
            <v>344.8</v>
          </cell>
        </row>
        <row r="427">
          <cell r="A427">
            <v>109</v>
          </cell>
          <cell r="B427" t="str">
            <v>FG</v>
          </cell>
          <cell r="C427" t="str">
            <v>FM</v>
          </cell>
          <cell r="D427" t="str">
            <v>D C18/C22 - R</v>
          </cell>
          <cell r="E427" t="str">
            <v>D C18/C22 - R</v>
          </cell>
          <cell r="G427">
            <v>895.37840000000006</v>
          </cell>
          <cell r="P427">
            <v>898.09100000000001</v>
          </cell>
          <cell r="Y427">
            <v>898.09100000000001</v>
          </cell>
          <cell r="AH427">
            <v>911.654</v>
          </cell>
          <cell r="AQ427">
            <v>884.52800000000002</v>
          </cell>
          <cell r="AZ427">
            <v>895.37840000000006</v>
          </cell>
          <cell r="BI427">
            <v>895.37840000000006</v>
          </cell>
          <cell r="BR427">
            <v>895.37840000000006</v>
          </cell>
          <cell r="CA427">
            <v>895.37840000000006</v>
          </cell>
          <cell r="DT427">
            <v>895.37840000000006</v>
          </cell>
          <cell r="EC427">
            <v>1074.4100000000001</v>
          </cell>
          <cell r="EL427">
            <v>1242.5911999999998</v>
          </cell>
        </row>
        <row r="428">
          <cell r="A428">
            <v>110</v>
          </cell>
          <cell r="B428" t="str">
            <v>FG</v>
          </cell>
          <cell r="C428" t="str">
            <v>FM</v>
          </cell>
          <cell r="D428" t="str">
            <v>BEHENIC-90</v>
          </cell>
          <cell r="E428" t="str">
            <v>BEHENIC-90</v>
          </cell>
          <cell r="AA428">
            <v>31.3</v>
          </cell>
          <cell r="AS428">
            <v>240.8</v>
          </cell>
          <cell r="BB428">
            <v>136.99</v>
          </cell>
          <cell r="BF428">
            <v>90</v>
          </cell>
          <cell r="BK428">
            <v>239.8</v>
          </cell>
          <cell r="BT428">
            <v>248.58199999999999</v>
          </cell>
          <cell r="CC428">
            <v>141.75700000000001</v>
          </cell>
        </row>
        <row r="429">
          <cell r="A429">
            <v>111</v>
          </cell>
          <cell r="B429" t="str">
            <v>FG</v>
          </cell>
          <cell r="C429" t="str">
            <v>FM</v>
          </cell>
          <cell r="D429" t="str">
            <v>BEHENIC-75</v>
          </cell>
          <cell r="E429" t="str">
            <v>BEHENIC-75</v>
          </cell>
        </row>
        <row r="430">
          <cell r="A430">
            <v>112</v>
          </cell>
          <cell r="B430" t="str">
            <v>FG</v>
          </cell>
          <cell r="C430" t="str">
            <v>FM</v>
          </cell>
          <cell r="D430" t="str">
            <v>BEHENIC-85</v>
          </cell>
          <cell r="E430" t="str">
            <v>BEHENIC-85</v>
          </cell>
        </row>
        <row r="431">
          <cell r="A431">
            <v>113</v>
          </cell>
          <cell r="B431" t="str">
            <v>FG</v>
          </cell>
          <cell r="C431" t="str">
            <v>FM</v>
          </cell>
          <cell r="D431" t="str">
            <v>UTSR</v>
          </cell>
          <cell r="E431" t="str">
            <v>UTSR</v>
          </cell>
          <cell r="F431">
            <v>13.491</v>
          </cell>
          <cell r="O431">
            <v>14.173</v>
          </cell>
          <cell r="X431">
            <v>99</v>
          </cell>
          <cell r="BH431">
            <v>14.855</v>
          </cell>
          <cell r="BQ431">
            <v>9.0579999999999998</v>
          </cell>
          <cell r="BT431">
            <v>18.7</v>
          </cell>
          <cell r="CI431">
            <v>48.48</v>
          </cell>
          <cell r="DA431">
            <v>60.01</v>
          </cell>
          <cell r="DD431">
            <v>48.1</v>
          </cell>
          <cell r="DJ431">
            <v>146.39000000000001</v>
          </cell>
          <cell r="DS431">
            <v>170.28</v>
          </cell>
          <cell r="EK431">
            <v>41.085000000000001</v>
          </cell>
        </row>
        <row r="432">
          <cell r="A432">
            <v>114</v>
          </cell>
          <cell r="B432" t="str">
            <v>FG</v>
          </cell>
          <cell r="C432" t="str">
            <v>FM</v>
          </cell>
          <cell r="D432" t="str">
            <v>P-12</v>
          </cell>
          <cell r="E432" t="str">
            <v>P-12</v>
          </cell>
          <cell r="DS432">
            <v>94.5</v>
          </cell>
          <cell r="EE432">
            <v>6.96</v>
          </cell>
        </row>
        <row r="433">
          <cell r="A433">
            <v>115</v>
          </cell>
          <cell r="B433" t="str">
            <v>FG</v>
          </cell>
          <cell r="C433" t="str">
            <v>FM</v>
          </cell>
          <cell r="D433" t="str">
            <v>DTP-7</v>
          </cell>
          <cell r="E433" t="str">
            <v>DTP-7</v>
          </cell>
          <cell r="I433">
            <v>105.5</v>
          </cell>
          <cell r="R433">
            <v>54.8</v>
          </cell>
          <cell r="AA433">
            <v>23.1</v>
          </cell>
          <cell r="AS433">
            <v>65.597999999999999</v>
          </cell>
          <cell r="BB433">
            <v>29.58</v>
          </cell>
          <cell r="CC433">
            <v>194.38410000000002</v>
          </cell>
          <cell r="CU433">
            <v>85.6</v>
          </cell>
          <cell r="DD433">
            <v>259.10000000000002</v>
          </cell>
          <cell r="DM433">
            <v>34.799999999999997</v>
          </cell>
          <cell r="EE433">
            <v>248.21100000000001</v>
          </cell>
        </row>
        <row r="434">
          <cell r="A434">
            <v>116</v>
          </cell>
          <cell r="B434" t="str">
            <v>FG</v>
          </cell>
          <cell r="C434" t="str">
            <v>FM</v>
          </cell>
          <cell r="D434" t="str">
            <v>DTP-CT</v>
          </cell>
          <cell r="E434" t="str">
            <v>DTP-CT</v>
          </cell>
          <cell r="CL434">
            <v>100.7</v>
          </cell>
          <cell r="CU434">
            <v>42</v>
          </cell>
        </row>
        <row r="435">
          <cell r="A435">
            <v>117</v>
          </cell>
          <cell r="B435" t="str">
            <v>FG</v>
          </cell>
          <cell r="C435" t="str">
            <v>FM</v>
          </cell>
          <cell r="D435" t="str">
            <v>REFINED GLYCERINE-CP</v>
          </cell>
          <cell r="E435" t="str">
            <v>REFINED GLYCERINE-CP</v>
          </cell>
          <cell r="K435">
            <v>25.989000000000001</v>
          </cell>
          <cell r="O435">
            <v>3.9950000000000001</v>
          </cell>
          <cell r="S435">
            <v>57.988999999999997</v>
          </cell>
          <cell r="T435">
            <v>25.989000000000001</v>
          </cell>
          <cell r="X435">
            <v>12.925000000000001</v>
          </cell>
          <cell r="AB435">
            <v>58.167999999999999</v>
          </cell>
          <cell r="AC435">
            <v>25.989000000000001</v>
          </cell>
          <cell r="AG435">
            <v>12.93</v>
          </cell>
          <cell r="AK435">
            <v>116.52200000000001</v>
          </cell>
          <cell r="AP435">
            <v>12.925000000000001</v>
          </cell>
          <cell r="AT435">
            <v>51.417000000000002</v>
          </cell>
          <cell r="AY435">
            <v>12.925000000000001</v>
          </cell>
          <cell r="BC435">
            <v>103.258</v>
          </cell>
          <cell r="BH435">
            <v>12.925000000000001</v>
          </cell>
          <cell r="BL435">
            <v>40.999000000000002</v>
          </cell>
          <cell r="BQ435">
            <v>12.925000000000001</v>
          </cell>
          <cell r="BU435">
            <v>45.100999999999999</v>
          </cell>
          <cell r="BZ435">
            <v>7.05</v>
          </cell>
          <cell r="CD435">
            <v>66.727000000000004</v>
          </cell>
          <cell r="CI435">
            <v>12.93</v>
          </cell>
          <cell r="CR435">
            <v>12.93</v>
          </cell>
          <cell r="DA435">
            <v>12.93</v>
          </cell>
          <cell r="DS435">
            <v>12.925000000000001</v>
          </cell>
          <cell r="DW435">
            <v>56.709000000000003</v>
          </cell>
          <cell r="EB435">
            <v>12.925000000000001</v>
          </cell>
          <cell r="EK435">
            <v>18.8</v>
          </cell>
          <cell r="EO435">
            <v>83.37</v>
          </cell>
        </row>
        <row r="436">
          <cell r="A436">
            <v>118</v>
          </cell>
          <cell r="B436" t="str">
            <v>FG</v>
          </cell>
          <cell r="C436" t="str">
            <v>FM</v>
          </cell>
          <cell r="D436" t="str">
            <v>REFINED GLYCERINE-IP</v>
          </cell>
          <cell r="E436" t="str">
            <v>REFINED GLYCERINE-IP</v>
          </cell>
          <cell r="S436">
            <v>42.863</v>
          </cell>
          <cell r="AB436">
            <v>12.646000000000001</v>
          </cell>
          <cell r="AK436">
            <v>32.323</v>
          </cell>
          <cell r="AT436">
            <v>31.100999999999999</v>
          </cell>
          <cell r="BC436">
            <v>26.100999999999999</v>
          </cell>
          <cell r="BL436">
            <v>114.31699999999999</v>
          </cell>
          <cell r="BU436">
            <v>76.763000000000005</v>
          </cell>
          <cell r="CD436">
            <v>66.058999999999997</v>
          </cell>
          <cell r="DW436">
            <v>72.259</v>
          </cell>
          <cell r="EO436">
            <v>28.314</v>
          </cell>
        </row>
        <row r="437">
          <cell r="A437">
            <v>119</v>
          </cell>
          <cell r="B437" t="str">
            <v>FG</v>
          </cell>
          <cell r="C437" t="str">
            <v>FM</v>
          </cell>
          <cell r="D437" t="str">
            <v>REFINED GLYCERINE-USP</v>
          </cell>
          <cell r="E437" t="str">
            <v>REFINED GLYCERINE-USP</v>
          </cell>
          <cell r="F437">
            <v>18.2</v>
          </cell>
          <cell r="O437">
            <v>37</v>
          </cell>
          <cell r="X437">
            <v>45.07</v>
          </cell>
          <cell r="AG437">
            <v>35.5</v>
          </cell>
          <cell r="AP437">
            <v>63.82</v>
          </cell>
          <cell r="AY437">
            <v>86.16</v>
          </cell>
          <cell r="BH437">
            <v>43.33</v>
          </cell>
          <cell r="BQ437">
            <v>101.47</v>
          </cell>
          <cell r="BZ437">
            <v>78.39</v>
          </cell>
          <cell r="CD437">
            <v>71.325999999999993</v>
          </cell>
          <cell r="CI437">
            <v>59.13</v>
          </cell>
          <cell r="CR437">
            <v>67.990000000000009</v>
          </cell>
          <cell r="DA437">
            <v>39.93</v>
          </cell>
          <cell r="DJ437">
            <v>55.05</v>
          </cell>
          <cell r="DS437">
            <v>36.79</v>
          </cell>
          <cell r="EB437">
            <v>60.61</v>
          </cell>
          <cell r="EK437">
            <v>19.25</v>
          </cell>
        </row>
        <row r="438">
          <cell r="A438">
            <v>120</v>
          </cell>
          <cell r="B438" t="str">
            <v>FG</v>
          </cell>
          <cell r="C438" t="str">
            <v>FM</v>
          </cell>
          <cell r="D438" t="str">
            <v>REFINED GLYCERINE-JP</v>
          </cell>
          <cell r="E438" t="str">
            <v>REFINED GLYCERINE-JP</v>
          </cell>
          <cell r="F438">
            <v>6</v>
          </cell>
          <cell r="O438">
            <v>5</v>
          </cell>
          <cell r="X438">
            <v>6</v>
          </cell>
          <cell r="AG438">
            <v>6</v>
          </cell>
          <cell r="AP438">
            <v>6</v>
          </cell>
          <cell r="AY438">
            <v>7</v>
          </cell>
          <cell r="BH438">
            <v>7</v>
          </cell>
          <cell r="BQ438">
            <v>6</v>
          </cell>
          <cell r="BZ438">
            <v>6</v>
          </cell>
          <cell r="CI438">
            <v>6</v>
          </cell>
          <cell r="CR438">
            <v>6</v>
          </cell>
          <cell r="DA438">
            <v>17</v>
          </cell>
          <cell r="DJ438">
            <v>17</v>
          </cell>
          <cell r="DS438">
            <v>17</v>
          </cell>
          <cell r="EB438">
            <v>16</v>
          </cell>
          <cell r="EK438">
            <v>17</v>
          </cell>
        </row>
        <row r="439">
          <cell r="A439">
            <v>238</v>
          </cell>
          <cell r="B439" t="str">
            <v>FG</v>
          </cell>
          <cell r="C439" t="str">
            <v>FM</v>
          </cell>
          <cell r="D439" t="str">
            <v>DFA C18/C22 C22:1</v>
          </cell>
          <cell r="E439" t="str">
            <v>DFA C18/C22 C22:1</v>
          </cell>
        </row>
        <row r="440">
          <cell r="A440">
            <v>243</v>
          </cell>
          <cell r="B440" t="str">
            <v>FG</v>
          </cell>
          <cell r="C440" t="str">
            <v>FM</v>
          </cell>
          <cell r="D440" t="str">
            <v>STEARIC-90</v>
          </cell>
          <cell r="E440" t="str">
            <v>STEARIC-90</v>
          </cell>
        </row>
        <row r="441">
          <cell r="A441">
            <v>245</v>
          </cell>
          <cell r="B441" t="str">
            <v>FG</v>
          </cell>
          <cell r="C441" t="str">
            <v>FM</v>
          </cell>
          <cell r="D441" t="str">
            <v>HPS</v>
          </cell>
          <cell r="E441" t="str">
            <v>HPS</v>
          </cell>
        </row>
        <row r="442">
          <cell r="A442">
            <v>249</v>
          </cell>
          <cell r="B442" t="str">
            <v>FG</v>
          </cell>
          <cell r="C442" t="str">
            <v>FM</v>
          </cell>
          <cell r="D442" t="str">
            <v>OLEIC - IG</v>
          </cell>
          <cell r="E442" t="str">
            <v>OLEIC - IG</v>
          </cell>
          <cell r="BB442">
            <v>17.5</v>
          </cell>
        </row>
        <row r="443">
          <cell r="F443">
            <v>807.44365000000005</v>
          </cell>
          <cell r="G443">
            <v>1006.3884</v>
          </cell>
          <cell r="H443">
            <v>2026.29</v>
          </cell>
          <cell r="I443">
            <v>2952.5000000000005</v>
          </cell>
          <cell r="J443">
            <v>18.34</v>
          </cell>
          <cell r="K443">
            <v>25.989000000000001</v>
          </cell>
          <cell r="L443">
            <v>0</v>
          </cell>
          <cell r="M443">
            <v>0</v>
          </cell>
          <cell r="N443">
            <v>0</v>
          </cell>
          <cell r="O443">
            <v>1045.6883499999999</v>
          </cell>
          <cell r="P443">
            <v>1006.721</v>
          </cell>
          <cell r="Q443">
            <v>2026.29</v>
          </cell>
          <cell r="R443">
            <v>3426.2</v>
          </cell>
          <cell r="S443">
            <v>156.398</v>
          </cell>
          <cell r="T443">
            <v>25.989000000000001</v>
          </cell>
          <cell r="U443">
            <v>0</v>
          </cell>
          <cell r="V443">
            <v>0</v>
          </cell>
          <cell r="W443">
            <v>0</v>
          </cell>
          <cell r="X443">
            <v>1046.40615</v>
          </cell>
          <cell r="Y443">
            <v>1183.3510000000001</v>
          </cell>
          <cell r="Z443">
            <v>2026.29</v>
          </cell>
          <cell r="AA443">
            <v>3554.5</v>
          </cell>
          <cell r="AB443">
            <v>184.142</v>
          </cell>
          <cell r="AC443">
            <v>25.989000000000001</v>
          </cell>
          <cell r="AD443">
            <v>0</v>
          </cell>
          <cell r="AE443">
            <v>0</v>
          </cell>
          <cell r="AF443">
            <v>0</v>
          </cell>
          <cell r="AG443">
            <v>908.67674999999997</v>
          </cell>
          <cell r="AH443">
            <v>1236.864</v>
          </cell>
          <cell r="AI443">
            <v>1935.15</v>
          </cell>
          <cell r="AJ443">
            <v>3058.4250000000002</v>
          </cell>
          <cell r="AK443">
            <v>148.845</v>
          </cell>
          <cell r="AL443">
            <v>0</v>
          </cell>
          <cell r="AM443">
            <v>0</v>
          </cell>
          <cell r="AN443">
            <v>75</v>
          </cell>
          <cell r="AO443">
            <v>0</v>
          </cell>
          <cell r="AP443">
            <v>1148.1707299999998</v>
          </cell>
          <cell r="AQ443">
            <v>944.53800000000001</v>
          </cell>
          <cell r="AR443">
            <v>1536</v>
          </cell>
          <cell r="AS443">
            <v>3311.0250499999997</v>
          </cell>
          <cell r="AT443">
            <v>238.114</v>
          </cell>
          <cell r="AU443">
            <v>0</v>
          </cell>
          <cell r="AV443">
            <v>0</v>
          </cell>
          <cell r="AW443">
            <v>30.99</v>
          </cell>
          <cell r="AX443">
            <v>0</v>
          </cell>
          <cell r="AY443">
            <v>1201.7655800000002</v>
          </cell>
          <cell r="AZ443">
            <v>956.23840000000007</v>
          </cell>
          <cell r="BA443">
            <v>1030.18</v>
          </cell>
          <cell r="BB443">
            <v>3014.6297214285714</v>
          </cell>
          <cell r="BC443">
            <v>303.536</v>
          </cell>
          <cell r="BD443">
            <v>0</v>
          </cell>
          <cell r="BE443">
            <v>0</v>
          </cell>
          <cell r="BF443">
            <v>162.88</v>
          </cell>
          <cell r="BG443">
            <v>0</v>
          </cell>
          <cell r="BH443">
            <v>913.82229999999993</v>
          </cell>
          <cell r="BI443">
            <v>956.23840000000007</v>
          </cell>
          <cell r="BJ443">
            <v>998.32999999999993</v>
          </cell>
          <cell r="BK443">
            <v>4481.7588142857148</v>
          </cell>
          <cell r="BL443">
            <v>346.11099999999999</v>
          </cell>
          <cell r="BM443">
            <v>0</v>
          </cell>
          <cell r="BN443">
            <v>0</v>
          </cell>
          <cell r="BO443">
            <v>78.239999999999995</v>
          </cell>
          <cell r="BP443">
            <v>0</v>
          </cell>
          <cell r="BQ443">
            <v>787.19499999999994</v>
          </cell>
          <cell r="BR443">
            <v>956.23840000000007</v>
          </cell>
          <cell r="BS443">
            <v>3192.94</v>
          </cell>
          <cell r="BT443">
            <v>3809.4881892857147</v>
          </cell>
          <cell r="BU443">
            <v>269.35000000000002</v>
          </cell>
          <cell r="BV443">
            <v>0</v>
          </cell>
          <cell r="BW443">
            <v>0</v>
          </cell>
          <cell r="BX443">
            <v>158.6</v>
          </cell>
          <cell r="BY443">
            <v>0</v>
          </cell>
          <cell r="BZ443">
            <v>950.26177999999993</v>
          </cell>
          <cell r="CA443">
            <v>1062.15616</v>
          </cell>
          <cell r="CB443">
            <v>2928.46</v>
          </cell>
          <cell r="CC443">
            <v>3795.4697692857144</v>
          </cell>
          <cell r="CD443">
            <v>276.82600000000002</v>
          </cell>
          <cell r="CE443">
            <v>0</v>
          </cell>
          <cell r="CF443">
            <v>0</v>
          </cell>
          <cell r="CG443">
            <v>314.48</v>
          </cell>
          <cell r="CH443">
            <v>0</v>
          </cell>
          <cell r="CI443">
            <v>1065.4000000000001</v>
          </cell>
          <cell r="CJ443">
            <v>227.88</v>
          </cell>
          <cell r="CK443">
            <v>2783.152</v>
          </cell>
          <cell r="CL443">
            <v>3298.2999999999997</v>
          </cell>
          <cell r="CM443">
            <v>93.298000000000002</v>
          </cell>
          <cell r="CN443">
            <v>0</v>
          </cell>
          <cell r="CO443">
            <v>0</v>
          </cell>
          <cell r="CP443">
            <v>35</v>
          </cell>
          <cell r="CQ443">
            <v>0</v>
          </cell>
          <cell r="CR443">
            <v>791.18</v>
          </cell>
          <cell r="CS443">
            <v>229.16000000000003</v>
          </cell>
          <cell r="CT443">
            <v>2703.752</v>
          </cell>
          <cell r="CU443">
            <v>3506.2000000000003</v>
          </cell>
          <cell r="CV443">
            <v>230.625</v>
          </cell>
          <cell r="CW443">
            <v>0</v>
          </cell>
          <cell r="CX443">
            <v>0</v>
          </cell>
          <cell r="CY443">
            <v>71.990000000000009</v>
          </cell>
          <cell r="CZ443">
            <v>0</v>
          </cell>
          <cell r="DA443">
            <v>1110.5900000000001</v>
          </cell>
          <cell r="DB443">
            <v>0</v>
          </cell>
          <cell r="DC443">
            <v>2559.2420000000002</v>
          </cell>
          <cell r="DD443">
            <v>4235.7</v>
          </cell>
          <cell r="DE443">
            <v>155.12900000000002</v>
          </cell>
          <cell r="DF443">
            <v>0</v>
          </cell>
          <cell r="DG443">
            <v>0</v>
          </cell>
          <cell r="DH443">
            <v>115</v>
          </cell>
          <cell r="DI443">
            <v>0</v>
          </cell>
          <cell r="DJ443">
            <v>1226.5700000000002</v>
          </cell>
          <cell r="DK443">
            <v>64.52</v>
          </cell>
          <cell r="DL443">
            <v>2317.2419999999997</v>
          </cell>
          <cell r="DM443">
            <v>3935.5</v>
          </cell>
          <cell r="DN443">
            <v>131.94900000000001</v>
          </cell>
          <cell r="DO443">
            <v>0</v>
          </cell>
          <cell r="DP443">
            <v>0</v>
          </cell>
          <cell r="DQ443">
            <v>170</v>
          </cell>
          <cell r="DR443">
            <v>0</v>
          </cell>
          <cell r="DS443">
            <v>909.60887999999989</v>
          </cell>
          <cell r="DT443">
            <v>1076.03</v>
          </cell>
          <cell r="DU443">
            <v>2504.2220000000002</v>
          </cell>
          <cell r="DV443">
            <v>4267.8282642857139</v>
          </cell>
          <cell r="DW443">
            <v>337.55799999999999</v>
          </cell>
          <cell r="DX443">
            <v>0</v>
          </cell>
          <cell r="DY443">
            <v>0</v>
          </cell>
          <cell r="DZ443">
            <v>228.31</v>
          </cell>
          <cell r="EA443">
            <v>0</v>
          </cell>
          <cell r="EB443">
            <v>646.88859999999988</v>
          </cell>
          <cell r="EC443">
            <v>1126.94</v>
          </cell>
          <cell r="ED443">
            <v>1995.7520000000002</v>
          </cell>
          <cell r="EE443">
            <v>3853.089878571428</v>
          </cell>
          <cell r="EF443">
            <v>243.87</v>
          </cell>
          <cell r="EG443">
            <v>0</v>
          </cell>
          <cell r="EH443">
            <v>0</v>
          </cell>
          <cell r="EI443">
            <v>0</v>
          </cell>
          <cell r="EJ443">
            <v>0</v>
          </cell>
          <cell r="EK443">
            <v>707.13064999999995</v>
          </cell>
          <cell r="EL443">
            <v>1295.1211999999998</v>
          </cell>
          <cell r="EM443">
            <v>1642.4920000000002</v>
          </cell>
          <cell r="EN443">
            <v>3575.9483357142863</v>
          </cell>
          <cell r="EO443">
            <v>372.21900000000005</v>
          </cell>
          <cell r="EP443">
            <v>0</v>
          </cell>
          <cell r="EQ443">
            <v>0</v>
          </cell>
          <cell r="ER443">
            <v>120.63</v>
          </cell>
          <cell r="ES443">
            <v>0</v>
          </cell>
        </row>
        <row r="444">
          <cell r="A444" t="str">
            <v>DRUMS</v>
          </cell>
        </row>
        <row r="445">
          <cell r="A445">
            <v>121</v>
          </cell>
          <cell r="B445" t="str">
            <v>FG</v>
          </cell>
          <cell r="C445" t="str">
            <v>FM</v>
          </cell>
          <cell r="D445" t="str">
            <v>REFINED GLYCERINE-CP</v>
          </cell>
          <cell r="F445">
            <v>3</v>
          </cell>
          <cell r="H445">
            <v>0.33999999999999997</v>
          </cell>
          <cell r="O445">
            <v>2</v>
          </cell>
          <cell r="Q445">
            <v>0.33999999999999997</v>
          </cell>
          <cell r="S445">
            <v>23.25</v>
          </cell>
          <cell r="X445">
            <v>3.5</v>
          </cell>
          <cell r="Z445">
            <v>0.34</v>
          </cell>
          <cell r="AB445">
            <v>30.75</v>
          </cell>
          <cell r="AI445">
            <v>0.34</v>
          </cell>
          <cell r="AK445">
            <v>35.75</v>
          </cell>
          <cell r="AP445">
            <v>1</v>
          </cell>
          <cell r="AR445">
            <v>0.34</v>
          </cell>
          <cell r="AT445">
            <v>24.5</v>
          </cell>
          <cell r="AY445">
            <v>13.5</v>
          </cell>
          <cell r="BA445">
            <v>0.34</v>
          </cell>
          <cell r="BC445">
            <v>29</v>
          </cell>
          <cell r="BH445">
            <v>4.5</v>
          </cell>
          <cell r="BJ445">
            <v>0.34</v>
          </cell>
          <cell r="BL445">
            <v>43</v>
          </cell>
          <cell r="BQ445">
            <v>3.5</v>
          </cell>
          <cell r="BS445">
            <v>0.34</v>
          </cell>
          <cell r="BU445">
            <v>26.5</v>
          </cell>
          <cell r="BZ445">
            <v>1.5</v>
          </cell>
          <cell r="CB445">
            <v>0.34</v>
          </cell>
          <cell r="CD445">
            <v>2.75</v>
          </cell>
          <cell r="CI445">
            <v>2.5</v>
          </cell>
          <cell r="CK445">
            <v>0.25</v>
          </cell>
          <cell r="CR445">
            <v>2.5</v>
          </cell>
          <cell r="CT445">
            <v>0.25</v>
          </cell>
          <cell r="DA445">
            <v>2.5</v>
          </cell>
          <cell r="DC445">
            <v>0.25</v>
          </cell>
          <cell r="DL445">
            <v>0.25</v>
          </cell>
          <cell r="DS445">
            <v>10.25</v>
          </cell>
          <cell r="DU445">
            <v>0.34</v>
          </cell>
          <cell r="DW445">
            <v>16.75</v>
          </cell>
          <cell r="EB445">
            <v>1.25</v>
          </cell>
          <cell r="ED445">
            <v>0.34</v>
          </cell>
          <cell r="EK445">
            <v>1.25</v>
          </cell>
          <cell r="EM445">
            <v>0.34</v>
          </cell>
          <cell r="EO445">
            <v>41</v>
          </cell>
        </row>
        <row r="446">
          <cell r="A446">
            <v>122</v>
          </cell>
          <cell r="B446" t="str">
            <v>FG</v>
          </cell>
          <cell r="C446" t="str">
            <v>FM</v>
          </cell>
          <cell r="D446" t="str">
            <v>REFINED GLYCERINE-IP</v>
          </cell>
          <cell r="F446">
            <v>2.5</v>
          </cell>
          <cell r="O446">
            <v>5</v>
          </cell>
          <cell r="S446">
            <v>16</v>
          </cell>
          <cell r="X446">
            <v>4</v>
          </cell>
          <cell r="AG446">
            <v>0.5</v>
          </cell>
          <cell r="AK446">
            <v>36.75</v>
          </cell>
          <cell r="AP446">
            <v>0.5</v>
          </cell>
          <cell r="AT446">
            <v>42.75</v>
          </cell>
          <cell r="AY446">
            <v>0.5</v>
          </cell>
          <cell r="BC446">
            <v>32.75</v>
          </cell>
          <cell r="BH446">
            <v>0.5</v>
          </cell>
          <cell r="BL446">
            <v>0.25</v>
          </cell>
          <cell r="BQ446">
            <v>4</v>
          </cell>
          <cell r="BU446">
            <v>17.75</v>
          </cell>
          <cell r="BZ446">
            <v>4</v>
          </cell>
          <cell r="CD446">
            <v>38</v>
          </cell>
          <cell r="CK446">
            <v>0.09</v>
          </cell>
          <cell r="CR446">
            <v>10</v>
          </cell>
          <cell r="CT446">
            <v>0.09</v>
          </cell>
          <cell r="DA446">
            <v>9.5</v>
          </cell>
          <cell r="DC446">
            <v>0.09</v>
          </cell>
          <cell r="DK446">
            <v>9.5</v>
          </cell>
          <cell r="DL446">
            <v>0.09</v>
          </cell>
          <cell r="DS446">
            <v>3.5</v>
          </cell>
          <cell r="DW446">
            <v>3.25</v>
          </cell>
          <cell r="EB446">
            <v>3.5</v>
          </cell>
          <cell r="EK446">
            <v>1</v>
          </cell>
          <cell r="EO446">
            <v>8.75</v>
          </cell>
        </row>
        <row r="447">
          <cell r="A447">
            <v>123</v>
          </cell>
          <cell r="B447" t="str">
            <v>FG</v>
          </cell>
          <cell r="C447" t="str">
            <v>FM</v>
          </cell>
          <cell r="D447" t="str">
            <v>REFINED GLYCERINE-USP</v>
          </cell>
          <cell r="O447">
            <v>18</v>
          </cell>
          <cell r="BH447">
            <v>18</v>
          </cell>
          <cell r="BZ447">
            <v>20</v>
          </cell>
          <cell r="CI447">
            <v>3</v>
          </cell>
          <cell r="CR447">
            <v>0</v>
          </cell>
          <cell r="DA447">
            <v>20</v>
          </cell>
          <cell r="DS447">
            <v>5</v>
          </cell>
          <cell r="EB447">
            <v>38</v>
          </cell>
        </row>
        <row r="448">
          <cell r="A448">
            <v>124</v>
          </cell>
          <cell r="B448" t="str">
            <v>FG</v>
          </cell>
          <cell r="C448" t="str">
            <v>FM</v>
          </cell>
          <cell r="D448" t="str">
            <v>REFINED GLYCERINE-JP</v>
          </cell>
          <cell r="EK448">
            <v>40</v>
          </cell>
        </row>
        <row r="449">
          <cell r="A449">
            <v>125</v>
          </cell>
          <cell r="B449" t="str">
            <v>FG</v>
          </cell>
          <cell r="C449" t="str">
            <v>FM</v>
          </cell>
          <cell r="D449" t="str">
            <v>DPKO</v>
          </cell>
          <cell r="F449">
            <v>4.95</v>
          </cell>
          <cell r="O449">
            <v>10.8</v>
          </cell>
          <cell r="X449">
            <v>5.22</v>
          </cell>
          <cell r="AG449">
            <v>9.4499999999999993</v>
          </cell>
          <cell r="AP449">
            <v>8.01</v>
          </cell>
          <cell r="AY449">
            <v>7.1099999999999994</v>
          </cell>
          <cell r="BQ449">
            <v>5.22</v>
          </cell>
          <cell r="BZ449">
            <v>5.22</v>
          </cell>
          <cell r="CI449">
            <v>5.67</v>
          </cell>
          <cell r="CR449">
            <v>5.22</v>
          </cell>
          <cell r="DA449">
            <v>5.22</v>
          </cell>
          <cell r="DD449">
            <v>14.67</v>
          </cell>
          <cell r="DK449">
            <v>5.22</v>
          </cell>
          <cell r="DM449">
            <v>3.69</v>
          </cell>
          <cell r="DS449">
            <v>1.3499999999999999</v>
          </cell>
          <cell r="DV449">
            <v>3.69</v>
          </cell>
          <cell r="EE449">
            <v>16.29</v>
          </cell>
          <cell r="EN449">
            <v>20.16</v>
          </cell>
        </row>
        <row r="450">
          <cell r="A450">
            <v>126</v>
          </cell>
          <cell r="B450" t="str">
            <v>FG</v>
          </cell>
          <cell r="C450" t="str">
            <v>FM</v>
          </cell>
          <cell r="D450" t="str">
            <v>C6&gt;98%</v>
          </cell>
          <cell r="F450">
            <v>0.18</v>
          </cell>
          <cell r="H450">
            <v>0.89999999999999991</v>
          </cell>
          <cell r="O450">
            <v>0.18</v>
          </cell>
          <cell r="Q450">
            <v>0.89999999999999991</v>
          </cell>
          <cell r="X450">
            <v>0.18</v>
          </cell>
          <cell r="Z450">
            <v>0.9</v>
          </cell>
          <cell r="AG450">
            <v>0.18</v>
          </cell>
          <cell r="AI450">
            <v>0.9</v>
          </cell>
          <cell r="AP450">
            <v>0.18</v>
          </cell>
          <cell r="AR450">
            <v>0.9</v>
          </cell>
          <cell r="AY450">
            <v>0.18</v>
          </cell>
          <cell r="BA450">
            <v>0.9</v>
          </cell>
          <cell r="BH450">
            <v>0.18</v>
          </cell>
          <cell r="BJ450">
            <v>0.9</v>
          </cell>
          <cell r="BQ450">
            <v>57.78</v>
          </cell>
          <cell r="BS450">
            <v>0.9</v>
          </cell>
          <cell r="BZ450">
            <v>0.18</v>
          </cell>
          <cell r="CB450">
            <v>0.9</v>
          </cell>
          <cell r="CI450">
            <v>0.18</v>
          </cell>
          <cell r="CK450">
            <v>0.86</v>
          </cell>
          <cell r="CR450">
            <v>0.18</v>
          </cell>
          <cell r="CT450">
            <v>0.86</v>
          </cell>
          <cell r="DA450">
            <v>0.18</v>
          </cell>
          <cell r="DC450">
            <v>0.86</v>
          </cell>
          <cell r="DK450">
            <v>0.18</v>
          </cell>
          <cell r="DL450">
            <v>0.86</v>
          </cell>
          <cell r="DS450">
            <v>0.18</v>
          </cell>
          <cell r="DU450">
            <v>0.9</v>
          </cell>
          <cell r="EB450">
            <v>0.18</v>
          </cell>
          <cell r="ED450">
            <v>0.9</v>
          </cell>
          <cell r="EK450">
            <v>0.18</v>
          </cell>
          <cell r="EM450">
            <v>0.9</v>
          </cell>
        </row>
        <row r="451">
          <cell r="A451">
            <v>127</v>
          </cell>
          <cell r="B451" t="str">
            <v>FG</v>
          </cell>
          <cell r="C451" t="str">
            <v>FM</v>
          </cell>
          <cell r="D451" t="str">
            <v>C8&gt;98%</v>
          </cell>
          <cell r="F451">
            <v>16.02</v>
          </cell>
          <cell r="H451">
            <v>7.02</v>
          </cell>
          <cell r="O451">
            <v>16.02</v>
          </cell>
          <cell r="Q451">
            <v>7.02</v>
          </cell>
          <cell r="Z451">
            <v>7.02</v>
          </cell>
          <cell r="AG451">
            <v>3.96</v>
          </cell>
          <cell r="AI451">
            <v>7.02</v>
          </cell>
          <cell r="AP451">
            <v>3.42</v>
          </cell>
          <cell r="AR451">
            <v>7.02</v>
          </cell>
          <cell r="AY451">
            <v>3.42</v>
          </cell>
          <cell r="BA451">
            <v>7.02</v>
          </cell>
          <cell r="BH451">
            <v>3.42</v>
          </cell>
          <cell r="BJ451">
            <v>7.02</v>
          </cell>
          <cell r="BQ451">
            <v>2.88</v>
          </cell>
          <cell r="BS451">
            <v>7.02</v>
          </cell>
          <cell r="BZ451">
            <v>2.52</v>
          </cell>
          <cell r="CB451">
            <v>7.02</v>
          </cell>
          <cell r="CI451">
            <v>2.52</v>
          </cell>
          <cell r="CK451">
            <v>7.02</v>
          </cell>
          <cell r="CR451">
            <v>2.52</v>
          </cell>
          <cell r="CT451">
            <v>7.02</v>
          </cell>
          <cell r="DA451">
            <v>2.52</v>
          </cell>
          <cell r="DC451">
            <v>7.02</v>
          </cell>
          <cell r="DK451">
            <v>2.52</v>
          </cell>
          <cell r="DL451">
            <v>7.02</v>
          </cell>
          <cell r="DS451">
            <v>2.52</v>
          </cell>
          <cell r="DU451">
            <v>7.02</v>
          </cell>
          <cell r="EB451">
            <v>0.72</v>
          </cell>
          <cell r="ED451">
            <v>7.02</v>
          </cell>
          <cell r="EK451">
            <v>12.24</v>
          </cell>
          <cell r="EM451">
            <v>7.02</v>
          </cell>
        </row>
        <row r="452">
          <cell r="A452">
            <v>128</v>
          </cell>
          <cell r="B452" t="str">
            <v>FG</v>
          </cell>
          <cell r="C452" t="str">
            <v>FM</v>
          </cell>
          <cell r="D452" t="str">
            <v>C10&gt;98%</v>
          </cell>
          <cell r="F452">
            <v>0.18</v>
          </cell>
          <cell r="H452">
            <v>0.18</v>
          </cell>
          <cell r="O452">
            <v>0.18</v>
          </cell>
          <cell r="Q452">
            <v>0.18</v>
          </cell>
          <cell r="Z452">
            <v>0.18</v>
          </cell>
          <cell r="AI452">
            <v>0.18</v>
          </cell>
          <cell r="AR452">
            <v>0.18</v>
          </cell>
          <cell r="BA452">
            <v>0.18</v>
          </cell>
          <cell r="BJ452">
            <v>0.18</v>
          </cell>
          <cell r="BS452">
            <v>0.18</v>
          </cell>
          <cell r="CB452">
            <v>0.18</v>
          </cell>
          <cell r="CK452">
            <v>0.18</v>
          </cell>
          <cell r="CT452">
            <v>0.18</v>
          </cell>
          <cell r="DC452">
            <v>0.18</v>
          </cell>
          <cell r="DL452">
            <v>0.18</v>
          </cell>
          <cell r="DU452">
            <v>0.18</v>
          </cell>
          <cell r="ED452">
            <v>0.18</v>
          </cell>
          <cell r="EK452">
            <v>6.84</v>
          </cell>
          <cell r="EM452">
            <v>0.18</v>
          </cell>
        </row>
        <row r="453">
          <cell r="A453">
            <v>129</v>
          </cell>
          <cell r="B453" t="str">
            <v>FG</v>
          </cell>
          <cell r="C453" t="str">
            <v>FM</v>
          </cell>
          <cell r="D453" t="str">
            <v>C8+C10&gt;98%</v>
          </cell>
          <cell r="F453">
            <v>4.5</v>
          </cell>
          <cell r="H453">
            <v>4.7050000000000001</v>
          </cell>
          <cell r="O453">
            <v>4.5</v>
          </cell>
          <cell r="Q453">
            <v>4.7050000000000001</v>
          </cell>
          <cell r="X453">
            <v>1.62</v>
          </cell>
          <cell r="Z453">
            <v>4.7050000000000001</v>
          </cell>
          <cell r="AG453">
            <v>2.7</v>
          </cell>
          <cell r="AI453">
            <v>4.7050000000000001</v>
          </cell>
          <cell r="AP453">
            <v>2.7</v>
          </cell>
          <cell r="AR453">
            <v>3.7749999999999999</v>
          </cell>
          <cell r="AY453">
            <v>2.6999999999999997</v>
          </cell>
          <cell r="BA453">
            <v>3.7749999999999999</v>
          </cell>
          <cell r="BH453">
            <v>2.52</v>
          </cell>
          <cell r="BJ453">
            <v>4.7050000000000001</v>
          </cell>
          <cell r="BQ453">
            <v>1.62</v>
          </cell>
          <cell r="BS453">
            <v>3.7749999999999999</v>
          </cell>
          <cell r="BZ453">
            <v>1.6199999999999999</v>
          </cell>
          <cell r="CB453">
            <v>3.7749999999999999</v>
          </cell>
          <cell r="CI453">
            <v>1.62</v>
          </cell>
          <cell r="CK453">
            <v>3.7749999999999999</v>
          </cell>
          <cell r="CR453">
            <v>1.62</v>
          </cell>
          <cell r="CT453">
            <v>3.7749999999999999</v>
          </cell>
          <cell r="DA453">
            <v>1.08</v>
          </cell>
          <cell r="DC453">
            <v>3.7749999999999999</v>
          </cell>
          <cell r="DD453">
            <v>24.93</v>
          </cell>
          <cell r="DK453">
            <v>8.2799999999999994</v>
          </cell>
          <cell r="DL453">
            <v>3.7749999999999999</v>
          </cell>
          <cell r="DS453">
            <v>1.08</v>
          </cell>
          <cell r="DU453">
            <v>3.7749999999999999</v>
          </cell>
          <cell r="EB453">
            <v>0.54</v>
          </cell>
          <cell r="ED453">
            <v>3.7749999999999999</v>
          </cell>
          <cell r="EK453">
            <v>0.54</v>
          </cell>
          <cell r="EM453">
            <v>3.7749999999999999</v>
          </cell>
        </row>
        <row r="454">
          <cell r="A454">
            <v>130</v>
          </cell>
          <cell r="B454" t="str">
            <v>FG</v>
          </cell>
          <cell r="C454" t="str">
            <v>FM</v>
          </cell>
          <cell r="D454" t="str">
            <v>OLEIC-15</v>
          </cell>
          <cell r="H454">
            <v>0.45999999999999996</v>
          </cell>
          <cell r="Q454">
            <v>0.45999999999999996</v>
          </cell>
          <cell r="R454">
            <v>2.79</v>
          </cell>
          <cell r="Z454">
            <v>0.46</v>
          </cell>
          <cell r="AI454">
            <v>0.46</v>
          </cell>
          <cell r="AJ454">
            <v>1.53</v>
          </cell>
          <cell r="AR454">
            <v>0.185</v>
          </cell>
          <cell r="AS454">
            <v>0.54</v>
          </cell>
          <cell r="BA454">
            <v>0.185</v>
          </cell>
          <cell r="BB454">
            <v>9.9</v>
          </cell>
          <cell r="BJ454">
            <v>0.45999999999999996</v>
          </cell>
          <cell r="BK454">
            <v>8.64</v>
          </cell>
          <cell r="BS454">
            <v>0.185</v>
          </cell>
          <cell r="BT454">
            <v>123.57</v>
          </cell>
          <cell r="CB454">
            <v>0.185</v>
          </cell>
          <cell r="CC454">
            <v>79.56</v>
          </cell>
          <cell r="CK454">
            <v>0.185</v>
          </cell>
          <cell r="CL454">
            <v>38.79</v>
          </cell>
          <cell r="CT454">
            <v>0.185</v>
          </cell>
          <cell r="DC454">
            <v>0.185</v>
          </cell>
          <cell r="DL454">
            <v>0.185</v>
          </cell>
          <cell r="DM454">
            <v>82.26</v>
          </cell>
          <cell r="DU454">
            <v>0.27500000000000002</v>
          </cell>
          <cell r="DV454">
            <v>81.72</v>
          </cell>
          <cell r="ED454">
            <v>0.185</v>
          </cell>
          <cell r="EE454">
            <v>90</v>
          </cell>
          <cell r="EM454">
            <v>0.185</v>
          </cell>
          <cell r="EN454">
            <v>89.28</v>
          </cell>
        </row>
        <row r="455">
          <cell r="A455">
            <v>131</v>
          </cell>
          <cell r="B455" t="str">
            <v>FG</v>
          </cell>
          <cell r="C455" t="str">
            <v>NM</v>
          </cell>
          <cell r="D455" t="str">
            <v>OLEIC-20</v>
          </cell>
          <cell r="H455">
            <v>0.09</v>
          </cell>
          <cell r="Q455">
            <v>0.09</v>
          </cell>
          <cell r="Z455">
            <v>0.09</v>
          </cell>
          <cell r="AI455">
            <v>0.09</v>
          </cell>
          <cell r="AR455">
            <v>0.09</v>
          </cell>
          <cell r="BA455">
            <v>0.09</v>
          </cell>
          <cell r="BJ455">
            <v>0.09</v>
          </cell>
          <cell r="BS455">
            <v>0.09</v>
          </cell>
          <cell r="CB455">
            <v>0.09</v>
          </cell>
          <cell r="CK455">
            <v>0.09</v>
          </cell>
          <cell r="CT455">
            <v>0.09</v>
          </cell>
          <cell r="DC455">
            <v>0.09</v>
          </cell>
          <cell r="DL455">
            <v>0.09</v>
          </cell>
          <cell r="ED455">
            <v>0.09</v>
          </cell>
          <cell r="EM455">
            <v>0.09</v>
          </cell>
        </row>
        <row r="456">
          <cell r="A456">
            <v>132</v>
          </cell>
          <cell r="B456" t="str">
            <v>FG</v>
          </cell>
          <cell r="C456" t="str">
            <v>NM</v>
          </cell>
          <cell r="D456" t="str">
            <v>OLEIC-26</v>
          </cell>
          <cell r="AR456">
            <v>0.63</v>
          </cell>
          <cell r="BS456">
            <v>0.63</v>
          </cell>
          <cell r="CB456">
            <v>0.63</v>
          </cell>
          <cell r="CK456">
            <v>0.36499999999999999</v>
          </cell>
          <cell r="CT456">
            <v>0.36499999999999999</v>
          </cell>
          <cell r="DC456">
            <v>0.36499999999999999</v>
          </cell>
          <cell r="DL456">
            <v>0.36499999999999999</v>
          </cell>
          <cell r="DU456">
            <v>0.63</v>
          </cell>
          <cell r="ED456">
            <v>0.63</v>
          </cell>
          <cell r="EM456">
            <v>0.63</v>
          </cell>
        </row>
        <row r="457">
          <cell r="A457">
            <v>133</v>
          </cell>
          <cell r="B457" t="str">
            <v>FG</v>
          </cell>
          <cell r="C457" t="str">
            <v>NM</v>
          </cell>
          <cell r="D457" t="str">
            <v>OLEIC-29</v>
          </cell>
          <cell r="H457">
            <v>0.2</v>
          </cell>
          <cell r="Q457">
            <v>0.2</v>
          </cell>
          <cell r="Z457">
            <v>0.2</v>
          </cell>
          <cell r="AI457">
            <v>0.2</v>
          </cell>
          <cell r="AR457">
            <v>0.18</v>
          </cell>
          <cell r="BA457">
            <v>0.18</v>
          </cell>
          <cell r="BJ457">
            <v>0.2</v>
          </cell>
          <cell r="BS457">
            <v>0.18</v>
          </cell>
          <cell r="CB457">
            <v>0.18</v>
          </cell>
          <cell r="CK457">
            <v>0.63</v>
          </cell>
          <cell r="CT457">
            <v>0.63</v>
          </cell>
          <cell r="DC457">
            <v>0.63</v>
          </cell>
          <cell r="DL457">
            <v>0.63</v>
          </cell>
          <cell r="DU457">
            <v>0.18</v>
          </cell>
          <cell r="ED457">
            <v>0.18</v>
          </cell>
          <cell r="EM457">
            <v>0.18</v>
          </cell>
        </row>
        <row r="458">
          <cell r="A458">
            <v>134</v>
          </cell>
          <cell r="B458" t="str">
            <v>FG</v>
          </cell>
          <cell r="C458" t="str">
            <v>FM</v>
          </cell>
          <cell r="D458" t="str">
            <v>OLEIC-K</v>
          </cell>
          <cell r="F458">
            <v>4.32</v>
          </cell>
          <cell r="H458">
            <v>4.6050000000000004</v>
          </cell>
          <cell r="O458">
            <v>3.24</v>
          </cell>
          <cell r="Q458">
            <v>4.6050000000000004</v>
          </cell>
          <cell r="X458">
            <v>2.34</v>
          </cell>
          <cell r="Z458">
            <v>4.6050000000000004</v>
          </cell>
          <cell r="AG458">
            <v>2.52</v>
          </cell>
          <cell r="AI458">
            <v>4.6050000000000004</v>
          </cell>
          <cell r="AP458">
            <v>1.62</v>
          </cell>
          <cell r="AR458">
            <v>4.0650000000000004</v>
          </cell>
          <cell r="AY458">
            <v>1.6199999999999999</v>
          </cell>
          <cell r="BA458">
            <v>4.0650000000000004</v>
          </cell>
          <cell r="BH458">
            <v>2.52</v>
          </cell>
          <cell r="BJ458">
            <v>4.6050000000000004</v>
          </cell>
          <cell r="BQ458">
            <v>2.16</v>
          </cell>
          <cell r="BS458">
            <v>4.0650000000000004</v>
          </cell>
          <cell r="BZ458">
            <v>2.34</v>
          </cell>
          <cell r="CB458">
            <v>4.0650000000000004</v>
          </cell>
          <cell r="CC458">
            <v>0.54</v>
          </cell>
          <cell r="CI458">
            <v>1.62</v>
          </cell>
          <cell r="CK458">
            <v>4.0650000000000004</v>
          </cell>
          <cell r="CL458">
            <v>8.5399999999999991</v>
          </cell>
          <cell r="CR458">
            <v>1.62</v>
          </cell>
          <cell r="CT458">
            <v>4.0650000000000004</v>
          </cell>
          <cell r="DA458">
            <v>1.62</v>
          </cell>
          <cell r="DC458">
            <v>4.0650000000000004</v>
          </cell>
          <cell r="DD458">
            <v>0.54</v>
          </cell>
          <cell r="DK458">
            <v>1.08</v>
          </cell>
          <cell r="DL458">
            <v>4.0650000000000004</v>
          </cell>
          <cell r="DM458">
            <v>0.54</v>
          </cell>
          <cell r="DU458">
            <v>4.0650000000000004</v>
          </cell>
          <cell r="DV458">
            <v>0.54</v>
          </cell>
          <cell r="ED458">
            <v>4.0650000000000004</v>
          </cell>
          <cell r="EE458">
            <v>2.52</v>
          </cell>
          <cell r="EM458">
            <v>4.0650000000000004</v>
          </cell>
          <cell r="EN458">
            <v>2.52</v>
          </cell>
        </row>
        <row r="459">
          <cell r="A459">
            <v>135</v>
          </cell>
          <cell r="B459" t="str">
            <v>FG</v>
          </cell>
          <cell r="C459" t="str">
            <v>NM</v>
          </cell>
          <cell r="D459" t="str">
            <v>OLEIC-70</v>
          </cell>
          <cell r="H459">
            <v>0.185</v>
          </cell>
          <cell r="Q459">
            <v>0.185</v>
          </cell>
          <cell r="Z459">
            <v>0.185</v>
          </cell>
          <cell r="AI459">
            <v>0.185</v>
          </cell>
          <cell r="AR459">
            <v>0.185</v>
          </cell>
          <cell r="BA459">
            <v>0.185</v>
          </cell>
          <cell r="BJ459">
            <v>0.185</v>
          </cell>
          <cell r="BS459">
            <v>0.185</v>
          </cell>
          <cell r="CB459">
            <v>0.185</v>
          </cell>
          <cell r="DU459">
            <v>0.185</v>
          </cell>
          <cell r="ED459">
            <v>0.185</v>
          </cell>
          <cell r="EM459">
            <v>0.185</v>
          </cell>
        </row>
        <row r="460">
          <cell r="A460">
            <v>136</v>
          </cell>
          <cell r="B460" t="str">
            <v>FG</v>
          </cell>
          <cell r="C460" t="str">
            <v>FM</v>
          </cell>
          <cell r="D460" t="str">
            <v>C22:1&gt;90</v>
          </cell>
          <cell r="F460">
            <v>0.18</v>
          </cell>
          <cell r="I460">
            <v>6.48</v>
          </cell>
          <cell r="O460">
            <v>0.18</v>
          </cell>
          <cell r="X460">
            <v>0.18</v>
          </cell>
          <cell r="AG460">
            <v>0.36</v>
          </cell>
          <cell r="AP460">
            <v>0.18</v>
          </cell>
          <cell r="AS460">
            <v>22.68</v>
          </cell>
          <cell r="AY460">
            <v>0.18</v>
          </cell>
          <cell r="BB460">
            <v>8.2799999999999994</v>
          </cell>
          <cell r="BH460">
            <v>0.18</v>
          </cell>
          <cell r="BK460">
            <v>8.2799999999999994</v>
          </cell>
          <cell r="BQ460">
            <v>0.18</v>
          </cell>
          <cell r="BT460">
            <v>8.2799999999999994</v>
          </cell>
          <cell r="BZ460">
            <v>0.18</v>
          </cell>
          <cell r="CC460">
            <v>8.2799999999999994</v>
          </cell>
          <cell r="CI460">
            <v>0.36</v>
          </cell>
          <cell r="CL460">
            <v>8.2799999999999994</v>
          </cell>
          <cell r="CR460">
            <v>0.36</v>
          </cell>
          <cell r="DA460">
            <v>0.36</v>
          </cell>
          <cell r="DD460">
            <v>8.2799999999999994</v>
          </cell>
          <cell r="DK460">
            <v>0.36</v>
          </cell>
          <cell r="DM460">
            <v>8.2799999999999994</v>
          </cell>
          <cell r="DS460">
            <v>0.36</v>
          </cell>
          <cell r="DV460">
            <v>8.2799999999999994</v>
          </cell>
          <cell r="EB460">
            <v>0.18</v>
          </cell>
          <cell r="EE460">
            <v>8.2799999999999994</v>
          </cell>
          <cell r="EK460">
            <v>0.18</v>
          </cell>
          <cell r="EN460">
            <v>1.44</v>
          </cell>
        </row>
        <row r="461">
          <cell r="A461">
            <v>137</v>
          </cell>
          <cell r="B461" t="str">
            <v>FG</v>
          </cell>
          <cell r="C461" t="str">
            <v>NM</v>
          </cell>
          <cell r="D461" t="str">
            <v>DCPS</v>
          </cell>
        </row>
        <row r="462">
          <cell r="A462">
            <v>138</v>
          </cell>
          <cell r="B462" t="str">
            <v>FG</v>
          </cell>
          <cell r="C462" t="str">
            <v>NM</v>
          </cell>
          <cell r="D462" t="str">
            <v>DFA C12/C14</v>
          </cell>
          <cell r="DD462">
            <v>2.04</v>
          </cell>
          <cell r="DM462">
            <v>2.04</v>
          </cell>
          <cell r="DV462">
            <v>2.04</v>
          </cell>
          <cell r="EE462">
            <v>0.68</v>
          </cell>
          <cell r="EN462">
            <v>0.68</v>
          </cell>
        </row>
        <row r="463">
          <cell r="A463">
            <v>139</v>
          </cell>
          <cell r="B463" t="str">
            <v>FG</v>
          </cell>
          <cell r="C463" t="str">
            <v>NM</v>
          </cell>
          <cell r="D463" t="str">
            <v>OLEIC-IG</v>
          </cell>
          <cell r="BK463">
            <v>8.19</v>
          </cell>
          <cell r="BT463">
            <v>8.19</v>
          </cell>
          <cell r="CC463">
            <v>8.19</v>
          </cell>
          <cell r="CL463">
            <v>5.22</v>
          </cell>
          <cell r="DD463">
            <v>5.22</v>
          </cell>
          <cell r="DM463">
            <v>2.25</v>
          </cell>
          <cell r="DV463">
            <v>2.25</v>
          </cell>
          <cell r="EE463">
            <v>17.37</v>
          </cell>
          <cell r="EN463">
            <v>8.3699999999999992</v>
          </cell>
        </row>
        <row r="464">
          <cell r="A464">
            <v>140</v>
          </cell>
          <cell r="B464" t="str">
            <v>FG</v>
          </cell>
          <cell r="C464" t="str">
            <v>NM</v>
          </cell>
          <cell r="D464" t="str">
            <v>Vegarol 1214</v>
          </cell>
          <cell r="I464">
            <v>13.6</v>
          </cell>
          <cell r="R464">
            <v>11.22</v>
          </cell>
          <cell r="AJ464">
            <v>5.95</v>
          </cell>
          <cell r="AS464">
            <v>22.1</v>
          </cell>
          <cell r="BB464">
            <v>22.1</v>
          </cell>
          <cell r="BK464">
            <v>30.6</v>
          </cell>
          <cell r="BT464">
            <v>15.81</v>
          </cell>
          <cell r="CC464">
            <v>15.81</v>
          </cell>
          <cell r="CL464">
            <v>12.41</v>
          </cell>
          <cell r="DD464">
            <v>12.41</v>
          </cell>
          <cell r="DM464">
            <v>10.71</v>
          </cell>
          <cell r="DV464">
            <v>8.16</v>
          </cell>
          <cell r="EE464">
            <v>17</v>
          </cell>
          <cell r="EN464">
            <v>9.18</v>
          </cell>
        </row>
        <row r="465">
          <cell r="A465">
            <v>257</v>
          </cell>
          <cell r="B465" t="str">
            <v>FG</v>
          </cell>
          <cell r="C465" t="str">
            <v>NM</v>
          </cell>
          <cell r="D465" t="str">
            <v>Vegarol 10</v>
          </cell>
          <cell r="BK465">
            <v>14.28</v>
          </cell>
          <cell r="BT465">
            <v>14.28</v>
          </cell>
          <cell r="CC465">
            <v>14.28</v>
          </cell>
          <cell r="CL465">
            <v>14.28</v>
          </cell>
          <cell r="DD465">
            <v>14.28</v>
          </cell>
          <cell r="DM465">
            <v>14.28</v>
          </cell>
          <cell r="DV465">
            <v>14.28</v>
          </cell>
          <cell r="EE465">
            <v>14.28</v>
          </cell>
          <cell r="EN465">
            <v>14.28</v>
          </cell>
        </row>
        <row r="466">
          <cell r="F466">
            <v>35.83</v>
          </cell>
          <cell r="G466">
            <v>0</v>
          </cell>
          <cell r="H466">
            <v>18.684999999999999</v>
          </cell>
          <cell r="I466">
            <v>20.079999999999998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60.1</v>
          </cell>
          <cell r="P466">
            <v>0</v>
          </cell>
          <cell r="Q466">
            <v>18.684999999999999</v>
          </cell>
          <cell r="R466">
            <v>14.010000000000002</v>
          </cell>
          <cell r="S466">
            <v>39.25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17.04</v>
          </cell>
          <cell r="Y466">
            <v>0</v>
          </cell>
          <cell r="Z466">
            <v>18.684999999999999</v>
          </cell>
          <cell r="AA466">
            <v>0</v>
          </cell>
          <cell r="AB466">
            <v>30.75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19.669999999999998</v>
          </cell>
          <cell r="AH466">
            <v>0</v>
          </cell>
          <cell r="AI466">
            <v>18.684999999999999</v>
          </cell>
          <cell r="AJ466">
            <v>7.48</v>
          </cell>
          <cell r="AK466">
            <v>72.5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17.61</v>
          </cell>
          <cell r="AQ466">
            <v>0</v>
          </cell>
          <cell r="AR466">
            <v>17.55</v>
          </cell>
          <cell r="AS466">
            <v>45.32</v>
          </cell>
          <cell r="AT466">
            <v>67.25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29.21</v>
          </cell>
          <cell r="AZ466">
            <v>0</v>
          </cell>
          <cell r="BA466">
            <v>16.919999999999998</v>
          </cell>
          <cell r="BB466">
            <v>40.28</v>
          </cell>
          <cell r="BC466">
            <v>61.75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31.82</v>
          </cell>
          <cell r="BI466">
            <v>0</v>
          </cell>
          <cell r="BJ466">
            <v>18.684999999999999</v>
          </cell>
          <cell r="BK466">
            <v>69.989999999999995</v>
          </cell>
          <cell r="BL466">
            <v>43.25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77.34</v>
          </cell>
          <cell r="BR466">
            <v>0</v>
          </cell>
          <cell r="BS466">
            <v>17.55</v>
          </cell>
          <cell r="BT466">
            <v>170.13</v>
          </cell>
          <cell r="BU466">
            <v>44.25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37.559999999999995</v>
          </cell>
          <cell r="CA466">
            <v>0</v>
          </cell>
          <cell r="CB466">
            <v>17.55</v>
          </cell>
          <cell r="CC466">
            <v>126.66000000000001</v>
          </cell>
          <cell r="CD466">
            <v>40.75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17.47</v>
          </cell>
          <cell r="CJ466">
            <v>0</v>
          </cell>
          <cell r="CK466">
            <v>17.510000000000002</v>
          </cell>
          <cell r="CL466">
            <v>87.52</v>
          </cell>
          <cell r="CM466">
            <v>0</v>
          </cell>
          <cell r="CN466">
            <v>0</v>
          </cell>
          <cell r="CO466">
            <v>0</v>
          </cell>
          <cell r="CP466">
            <v>0</v>
          </cell>
          <cell r="CQ466">
            <v>0</v>
          </cell>
          <cell r="CR466">
            <v>24.02</v>
          </cell>
          <cell r="CS466">
            <v>0</v>
          </cell>
          <cell r="CT466">
            <v>17.510000000000002</v>
          </cell>
          <cell r="CU466">
            <v>0</v>
          </cell>
          <cell r="CV466">
            <v>0</v>
          </cell>
          <cell r="CW466">
            <v>0</v>
          </cell>
          <cell r="CX466">
            <v>0</v>
          </cell>
          <cell r="CY466">
            <v>0</v>
          </cell>
          <cell r="CZ466">
            <v>0</v>
          </cell>
          <cell r="DA466">
            <v>42.98</v>
          </cell>
          <cell r="DB466">
            <v>0</v>
          </cell>
          <cell r="DC466">
            <v>17.510000000000002</v>
          </cell>
          <cell r="DD466">
            <v>82.37</v>
          </cell>
          <cell r="DE466">
            <v>0</v>
          </cell>
          <cell r="DF466">
            <v>0</v>
          </cell>
          <cell r="DG466">
            <v>0</v>
          </cell>
          <cell r="DH466">
            <v>0</v>
          </cell>
          <cell r="DI466">
            <v>0</v>
          </cell>
          <cell r="DJ466">
            <v>0</v>
          </cell>
          <cell r="DK466">
            <v>27.139999999999993</v>
          </cell>
          <cell r="DL466">
            <v>17.510000000000002</v>
          </cell>
          <cell r="DM466">
            <v>124.05000000000001</v>
          </cell>
          <cell r="DN466">
            <v>0</v>
          </cell>
          <cell r="DO466">
            <v>0</v>
          </cell>
          <cell r="DP466">
            <v>0</v>
          </cell>
          <cell r="DQ466">
            <v>0</v>
          </cell>
          <cell r="DR466">
            <v>0</v>
          </cell>
          <cell r="DS466">
            <v>24.240000000000002</v>
          </cell>
          <cell r="DT466">
            <v>0</v>
          </cell>
          <cell r="DU466">
            <v>17.55</v>
          </cell>
          <cell r="DV466">
            <v>120.96000000000001</v>
          </cell>
          <cell r="DW466">
            <v>20</v>
          </cell>
          <cell r="DX466">
            <v>0</v>
          </cell>
          <cell r="DY466">
            <v>0</v>
          </cell>
          <cell r="DZ466">
            <v>0</v>
          </cell>
          <cell r="EA466">
            <v>0</v>
          </cell>
          <cell r="EB466">
            <v>44.37</v>
          </cell>
          <cell r="EC466">
            <v>0</v>
          </cell>
          <cell r="ED466">
            <v>17.55</v>
          </cell>
          <cell r="EE466">
            <v>166.42</v>
          </cell>
          <cell r="EF466">
            <v>0</v>
          </cell>
          <cell r="EG466">
            <v>0</v>
          </cell>
          <cell r="EH466">
            <v>0</v>
          </cell>
          <cell r="EI466">
            <v>0</v>
          </cell>
          <cell r="EJ466">
            <v>0</v>
          </cell>
          <cell r="EK466">
            <v>62.230000000000004</v>
          </cell>
          <cell r="EL466">
            <v>0</v>
          </cell>
          <cell r="EM466">
            <v>17.55</v>
          </cell>
          <cell r="EN466">
            <v>145.91</v>
          </cell>
          <cell r="EO466">
            <v>49.75</v>
          </cell>
          <cell r="EP466">
            <v>0</v>
          </cell>
          <cell r="EQ466">
            <v>0</v>
          </cell>
          <cell r="ER466">
            <v>0</v>
          </cell>
          <cell r="ES466">
            <v>0</v>
          </cell>
        </row>
        <row r="467">
          <cell r="A467" t="str">
            <v>FATTY ACID FLAKES</v>
          </cell>
        </row>
        <row r="468">
          <cell r="A468">
            <v>141</v>
          </cell>
          <cell r="B468" t="str">
            <v>FG</v>
          </cell>
          <cell r="C468" t="str">
            <v>FM</v>
          </cell>
          <cell r="D468" t="str">
            <v>C14&gt;99%</v>
          </cell>
          <cell r="I468">
            <v>32.875</v>
          </cell>
          <cell r="R468">
            <v>32.875</v>
          </cell>
          <cell r="AJ468">
            <v>32.875</v>
          </cell>
          <cell r="AS468">
            <v>32.875</v>
          </cell>
          <cell r="BB468">
            <v>32.875</v>
          </cell>
          <cell r="BK468">
            <v>32.875</v>
          </cell>
          <cell r="BT468">
            <v>32.875</v>
          </cell>
          <cell r="CC468">
            <v>32.875</v>
          </cell>
          <cell r="CL468">
            <v>7.875</v>
          </cell>
          <cell r="CU468">
            <v>7.875</v>
          </cell>
          <cell r="DD468">
            <v>7.875</v>
          </cell>
          <cell r="DM468">
            <v>7.875</v>
          </cell>
          <cell r="DV468">
            <v>32.875</v>
          </cell>
          <cell r="EE468">
            <v>32.875</v>
          </cell>
          <cell r="EN468">
            <v>32.875</v>
          </cell>
        </row>
        <row r="469">
          <cell r="A469">
            <v>142</v>
          </cell>
          <cell r="B469" t="str">
            <v>FG</v>
          </cell>
          <cell r="C469" t="str">
            <v>FM</v>
          </cell>
          <cell r="D469" t="str">
            <v>C16 85%</v>
          </cell>
        </row>
        <row r="470">
          <cell r="A470">
            <v>143</v>
          </cell>
          <cell r="B470" t="str">
            <v>FG</v>
          </cell>
          <cell r="C470" t="str">
            <v>FM</v>
          </cell>
          <cell r="D470" t="str">
            <v>UTSR</v>
          </cell>
          <cell r="F470">
            <v>84.95</v>
          </cell>
          <cell r="H470">
            <v>57.35</v>
          </cell>
          <cell r="I470">
            <v>151.16</v>
          </cell>
          <cell r="O470">
            <v>95.3</v>
          </cell>
          <cell r="Q470">
            <v>7.35</v>
          </cell>
          <cell r="R470">
            <v>351.78500000000003</v>
          </cell>
          <cell r="X470">
            <v>42.3</v>
          </cell>
          <cell r="Z470">
            <v>16.350000000000001</v>
          </cell>
          <cell r="AI470">
            <v>45.35</v>
          </cell>
          <cell r="AJ470">
            <v>205.71</v>
          </cell>
          <cell r="AP470">
            <v>30</v>
          </cell>
          <cell r="AR470">
            <v>45.35</v>
          </cell>
          <cell r="AS470">
            <v>89.21</v>
          </cell>
          <cell r="AY470">
            <v>14</v>
          </cell>
          <cell r="BA470">
            <v>45.35</v>
          </cell>
          <cell r="BB470">
            <v>46.21</v>
          </cell>
          <cell r="BH470">
            <v>5</v>
          </cell>
          <cell r="BJ470">
            <v>4.3499999999999996</v>
          </cell>
          <cell r="BK470">
            <v>23.21</v>
          </cell>
          <cell r="BQ470">
            <v>76.5</v>
          </cell>
          <cell r="BS470">
            <v>45.35</v>
          </cell>
          <cell r="BT470">
            <v>172.91</v>
          </cell>
          <cell r="BZ470">
            <v>63.1</v>
          </cell>
          <cell r="CB470">
            <v>45.35</v>
          </cell>
          <cell r="CC470">
            <v>102.16</v>
          </cell>
          <cell r="CI470">
            <v>37.1</v>
          </cell>
          <cell r="CK470">
            <v>45.35</v>
          </cell>
          <cell r="CL470">
            <v>90.11</v>
          </cell>
          <cell r="CR470">
            <v>81.099999999999994</v>
          </cell>
          <cell r="CT470">
            <v>45.35</v>
          </cell>
          <cell r="CU470">
            <v>33.71</v>
          </cell>
          <cell r="DA470">
            <v>115.85</v>
          </cell>
          <cell r="DD470">
            <v>119.035</v>
          </cell>
          <cell r="DK470">
            <v>150.5</v>
          </cell>
          <cell r="DL470">
            <v>41.35</v>
          </cell>
          <cell r="DM470">
            <v>104.58499999999999</v>
          </cell>
          <cell r="DS470">
            <v>145.9</v>
          </cell>
          <cell r="DU470">
            <v>41.35</v>
          </cell>
          <cell r="DV470">
            <v>208.01</v>
          </cell>
          <cell r="EB470">
            <v>233.75</v>
          </cell>
          <cell r="ED470">
            <v>41.35</v>
          </cell>
          <cell r="EE470">
            <v>102.61</v>
          </cell>
          <cell r="EK470">
            <v>199.5</v>
          </cell>
          <cell r="EM470">
            <v>41.35</v>
          </cell>
          <cell r="EN470">
            <v>114.06</v>
          </cell>
        </row>
        <row r="471">
          <cell r="A471">
            <v>144</v>
          </cell>
          <cell r="B471" t="str">
            <v>FG</v>
          </cell>
          <cell r="C471" t="str">
            <v>FM</v>
          </cell>
          <cell r="D471" t="str">
            <v>UTSR SPECIAL</v>
          </cell>
        </row>
        <row r="472">
          <cell r="A472">
            <v>145</v>
          </cell>
          <cell r="B472" t="str">
            <v>FG</v>
          </cell>
          <cell r="C472" t="str">
            <v>FM</v>
          </cell>
          <cell r="D472" t="str">
            <v>DTP-7</v>
          </cell>
          <cell r="H472">
            <v>0.9</v>
          </cell>
          <cell r="I472">
            <v>316.14999999999998</v>
          </cell>
          <cell r="Q472">
            <v>0.9</v>
          </cell>
          <cell r="R472">
            <v>164.05</v>
          </cell>
          <cell r="Z472">
            <v>0.9</v>
          </cell>
          <cell r="AI472">
            <v>0.9</v>
          </cell>
          <cell r="AJ472">
            <v>162.69999999999999</v>
          </cell>
          <cell r="AR472">
            <v>0.9000000000000028</v>
          </cell>
          <cell r="AS472">
            <v>97.7</v>
          </cell>
          <cell r="AY472">
            <v>0.35</v>
          </cell>
          <cell r="BA472">
            <v>0.9</v>
          </cell>
          <cell r="BB472">
            <v>159.4</v>
          </cell>
          <cell r="BH472">
            <v>0.35</v>
          </cell>
          <cell r="BJ472">
            <v>0.9</v>
          </cell>
          <cell r="BK472">
            <v>62.65</v>
          </cell>
          <cell r="BS472">
            <v>0.9</v>
          </cell>
          <cell r="BT472">
            <v>3.65</v>
          </cell>
          <cell r="CB472">
            <v>0.9</v>
          </cell>
          <cell r="CC472">
            <v>24.05</v>
          </cell>
          <cell r="CI472">
            <v>17.5</v>
          </cell>
          <cell r="CK472">
            <v>0.9</v>
          </cell>
          <cell r="CL472">
            <v>16.399999999999999</v>
          </cell>
          <cell r="CR472">
            <v>17.5</v>
          </cell>
          <cell r="CT472">
            <v>0.9</v>
          </cell>
          <cell r="CU472">
            <v>122.75</v>
          </cell>
          <cell r="DA472">
            <v>1.5</v>
          </cell>
          <cell r="DD472">
            <v>19.5</v>
          </cell>
          <cell r="DL472">
            <v>0.9</v>
          </cell>
          <cell r="DM472">
            <v>118.8</v>
          </cell>
          <cell r="DU472">
            <v>0.9</v>
          </cell>
          <cell r="DV472">
            <v>3.8</v>
          </cell>
          <cell r="ED472">
            <v>0.9000000000000028</v>
          </cell>
          <cell r="EE472">
            <v>26.9</v>
          </cell>
          <cell r="EM472">
            <v>0.9000000000000028</v>
          </cell>
          <cell r="EN472">
            <v>14.7</v>
          </cell>
        </row>
        <row r="473">
          <cell r="A473">
            <v>146</v>
          </cell>
          <cell r="B473" t="str">
            <v>FG</v>
          </cell>
          <cell r="C473" t="str">
            <v>FM</v>
          </cell>
          <cell r="D473" t="str">
            <v>DTP-CT</v>
          </cell>
          <cell r="F473">
            <v>4.8499999999999996</v>
          </cell>
          <cell r="H473">
            <v>69</v>
          </cell>
          <cell r="O473">
            <v>2.35</v>
          </cell>
          <cell r="Q473">
            <v>60.35</v>
          </cell>
          <cell r="X473">
            <v>2.35</v>
          </cell>
          <cell r="Z473">
            <v>50.35</v>
          </cell>
          <cell r="AI473">
            <v>8.35</v>
          </cell>
          <cell r="AP473">
            <v>0.35</v>
          </cell>
          <cell r="AR473">
            <v>1.35</v>
          </cell>
          <cell r="BA473">
            <v>1.35</v>
          </cell>
          <cell r="BJ473">
            <v>1.35</v>
          </cell>
          <cell r="BQ473">
            <v>0.15</v>
          </cell>
          <cell r="BS473">
            <v>1.35</v>
          </cell>
          <cell r="BZ473">
            <v>0.15</v>
          </cell>
          <cell r="CB473">
            <v>0.35</v>
          </cell>
          <cell r="CI473">
            <v>0.15</v>
          </cell>
          <cell r="CK473">
            <v>0.35</v>
          </cell>
          <cell r="CL473">
            <v>7.5</v>
          </cell>
          <cell r="CR473">
            <v>0.15</v>
          </cell>
          <cell r="CT473">
            <v>0.35</v>
          </cell>
          <cell r="CU473">
            <v>28.75</v>
          </cell>
          <cell r="DA473">
            <v>0.15</v>
          </cell>
          <cell r="DD473">
            <v>52.6</v>
          </cell>
          <cell r="DK473">
            <v>0.15</v>
          </cell>
          <cell r="DL473">
            <v>0.35</v>
          </cell>
          <cell r="DM473">
            <v>35.4</v>
          </cell>
          <cell r="DU473">
            <v>0.35</v>
          </cell>
          <cell r="DV473">
            <v>26.4</v>
          </cell>
          <cell r="EB473">
            <v>0.15</v>
          </cell>
          <cell r="ED473">
            <v>0.35000000000000142</v>
          </cell>
          <cell r="EE473">
            <v>9.9</v>
          </cell>
          <cell r="EK473">
            <v>0.15</v>
          </cell>
          <cell r="EM473">
            <v>0.35000000000000142</v>
          </cell>
        </row>
        <row r="474">
          <cell r="A474">
            <v>147</v>
          </cell>
          <cell r="B474" t="str">
            <v>FG</v>
          </cell>
          <cell r="C474" t="str">
            <v>FM</v>
          </cell>
          <cell r="D474" t="str">
            <v>P-12</v>
          </cell>
          <cell r="F474">
            <v>60.3</v>
          </cell>
          <cell r="H474">
            <v>79.224999999999994</v>
          </cell>
          <cell r="I474">
            <v>82.4</v>
          </cell>
          <cell r="O474">
            <v>60.3</v>
          </cell>
          <cell r="Q474">
            <v>79.224999999999994</v>
          </cell>
          <cell r="R474">
            <v>26.9</v>
          </cell>
          <cell r="X474">
            <v>60.3</v>
          </cell>
          <cell r="Z474">
            <v>79.224999999999994</v>
          </cell>
          <cell r="AI474">
            <v>79.224999999999994</v>
          </cell>
          <cell r="AJ474">
            <v>2.1</v>
          </cell>
          <cell r="AP474">
            <v>29.1</v>
          </cell>
          <cell r="AR474">
            <v>79.174999999999997</v>
          </cell>
          <cell r="AS474">
            <v>0.1</v>
          </cell>
          <cell r="AY474">
            <v>24.1</v>
          </cell>
          <cell r="BA474">
            <v>79.174999999999997</v>
          </cell>
          <cell r="BB474">
            <v>0.1</v>
          </cell>
          <cell r="BH474">
            <v>6.1</v>
          </cell>
          <cell r="BJ474">
            <v>53.225000000000001</v>
          </cell>
          <cell r="BK474">
            <v>0.1</v>
          </cell>
          <cell r="BQ474">
            <v>3.8</v>
          </cell>
          <cell r="BS474">
            <v>37.174999999999997</v>
          </cell>
          <cell r="BZ474">
            <v>3.8</v>
          </cell>
          <cell r="CB474">
            <v>12.175000000000001</v>
          </cell>
          <cell r="CK474">
            <v>12.175000000000001</v>
          </cell>
          <cell r="CT474">
            <v>12.175000000000001</v>
          </cell>
          <cell r="DL474">
            <v>1.2</v>
          </cell>
          <cell r="DU474">
            <v>1.2</v>
          </cell>
          <cell r="ED474">
            <v>1.2</v>
          </cell>
          <cell r="EE474">
            <v>145.19999999999999</v>
          </cell>
          <cell r="EM474">
            <v>1.2</v>
          </cell>
          <cell r="EN474">
            <v>85.2</v>
          </cell>
        </row>
        <row r="475">
          <cell r="A475">
            <v>148</v>
          </cell>
          <cell r="B475" t="str">
            <v>FG</v>
          </cell>
          <cell r="C475" t="str">
            <v>FM</v>
          </cell>
          <cell r="D475" t="str">
            <v>P-12 SPECIAL</v>
          </cell>
        </row>
        <row r="476">
          <cell r="A476">
            <v>149</v>
          </cell>
          <cell r="B476" t="str">
            <v>FG</v>
          </cell>
          <cell r="C476" t="str">
            <v>NM</v>
          </cell>
          <cell r="D476" t="str">
            <v>BEHENIC-75</v>
          </cell>
        </row>
        <row r="477">
          <cell r="A477">
            <v>150</v>
          </cell>
          <cell r="B477" t="str">
            <v>FG</v>
          </cell>
          <cell r="C477" t="str">
            <v>NM</v>
          </cell>
          <cell r="D477" t="str">
            <v>BEHENIC-85</v>
          </cell>
          <cell r="CL477">
            <v>187.5</v>
          </cell>
          <cell r="CU477">
            <v>187.5</v>
          </cell>
          <cell r="DM477">
            <v>187.5</v>
          </cell>
        </row>
        <row r="478">
          <cell r="A478">
            <v>151</v>
          </cell>
          <cell r="B478" t="str">
            <v>FG</v>
          </cell>
          <cell r="C478" t="str">
            <v>FM</v>
          </cell>
          <cell r="D478" t="str">
            <v>BEHENIC-90</v>
          </cell>
          <cell r="F478">
            <v>3.5</v>
          </cell>
          <cell r="O478">
            <v>3.5</v>
          </cell>
          <cell r="X478">
            <v>3.5</v>
          </cell>
          <cell r="AP478">
            <v>3.5</v>
          </cell>
          <cell r="AY478">
            <v>3.5</v>
          </cell>
          <cell r="BH478">
            <v>3.5</v>
          </cell>
          <cell r="BQ478">
            <v>3.5</v>
          </cell>
          <cell r="BZ478">
            <v>3.5</v>
          </cell>
          <cell r="CC478">
            <v>67</v>
          </cell>
          <cell r="CR478">
            <v>3.5</v>
          </cell>
          <cell r="DA478">
            <v>3</v>
          </cell>
          <cell r="DD478">
            <v>187.5</v>
          </cell>
          <cell r="DK478">
            <v>3</v>
          </cell>
          <cell r="DV478">
            <v>147.5</v>
          </cell>
          <cell r="EE478">
            <v>147.5</v>
          </cell>
          <cell r="EN478">
            <v>147.5</v>
          </cell>
        </row>
        <row r="479">
          <cell r="A479">
            <v>152</v>
          </cell>
          <cell r="B479" t="str">
            <v>FG</v>
          </cell>
          <cell r="C479" t="str">
            <v>FM</v>
          </cell>
          <cell r="D479" t="str">
            <v>G3 STEARIC</v>
          </cell>
          <cell r="H479">
            <v>1.75</v>
          </cell>
          <cell r="Q479">
            <v>1.75</v>
          </cell>
          <cell r="Z479">
            <v>1.75</v>
          </cell>
          <cell r="AI479">
            <v>1.75</v>
          </cell>
          <cell r="AJ479">
            <v>15.95</v>
          </cell>
          <cell r="AR479">
            <v>3.9</v>
          </cell>
          <cell r="AS479">
            <v>15.95</v>
          </cell>
          <cell r="BA479">
            <v>3.9</v>
          </cell>
          <cell r="BJ479">
            <v>1.75</v>
          </cell>
          <cell r="BS479">
            <v>3.9</v>
          </cell>
          <cell r="CB479">
            <v>3.9</v>
          </cell>
          <cell r="CK479">
            <v>3.9</v>
          </cell>
          <cell r="CT479">
            <v>3.9</v>
          </cell>
          <cell r="DL479">
            <v>3.9</v>
          </cell>
          <cell r="DU479">
            <v>3.9</v>
          </cell>
          <cell r="DV479">
            <v>32.950000000000003</v>
          </cell>
          <cell r="ED479">
            <v>3.9</v>
          </cell>
          <cell r="EE479">
            <v>5.95</v>
          </cell>
          <cell r="EM479">
            <v>3.9</v>
          </cell>
          <cell r="EN479">
            <v>40.450000000000003</v>
          </cell>
        </row>
        <row r="480">
          <cell r="A480">
            <v>153</v>
          </cell>
          <cell r="B480" t="str">
            <v>FG</v>
          </cell>
          <cell r="C480" t="str">
            <v>NM</v>
          </cell>
          <cell r="D480" t="str">
            <v>HYD.CASTOR OIL</v>
          </cell>
        </row>
        <row r="481">
          <cell r="A481">
            <v>154</v>
          </cell>
          <cell r="B481" t="str">
            <v>FG</v>
          </cell>
          <cell r="C481" t="str">
            <v>FM</v>
          </cell>
          <cell r="D481" t="str">
            <v>C16  W/E</v>
          </cell>
          <cell r="I481">
            <v>41.03</v>
          </cell>
          <cell r="R481">
            <v>41.03</v>
          </cell>
          <cell r="AJ481">
            <v>41.03</v>
          </cell>
          <cell r="AS481">
            <v>41.03</v>
          </cell>
          <cell r="BB481">
            <v>41.03</v>
          </cell>
          <cell r="BK481">
            <v>41.03</v>
          </cell>
          <cell r="BT481">
            <v>41.03</v>
          </cell>
          <cell r="CC481">
            <v>41.03</v>
          </cell>
          <cell r="CL481">
            <v>41.03</v>
          </cell>
          <cell r="CU481">
            <v>41.03</v>
          </cell>
          <cell r="DD481">
            <v>41.03</v>
          </cell>
          <cell r="DM481">
            <v>41.03</v>
          </cell>
          <cell r="DV481">
            <v>41.03</v>
          </cell>
          <cell r="EE481">
            <v>41.03</v>
          </cell>
          <cell r="EN481">
            <v>40.53</v>
          </cell>
        </row>
        <row r="482">
          <cell r="A482">
            <v>155</v>
          </cell>
          <cell r="B482" t="str">
            <v>FG</v>
          </cell>
          <cell r="C482" t="str">
            <v>FM</v>
          </cell>
          <cell r="D482" t="str">
            <v>C18  W/E</v>
          </cell>
          <cell r="I482">
            <v>15.64</v>
          </cell>
          <cell r="R482">
            <v>15.64</v>
          </cell>
          <cell r="AJ482">
            <v>15.64</v>
          </cell>
          <cell r="AS482">
            <v>15.64</v>
          </cell>
          <cell r="BB482">
            <v>15.64</v>
          </cell>
          <cell r="BK482">
            <v>15.64</v>
          </cell>
          <cell r="BT482">
            <v>15.64</v>
          </cell>
          <cell r="CC482">
            <v>15.64</v>
          </cell>
          <cell r="CL482">
            <v>31.1</v>
          </cell>
          <cell r="CU482">
            <v>15.64</v>
          </cell>
          <cell r="DD482">
            <v>15.64</v>
          </cell>
          <cell r="DM482">
            <v>15.64</v>
          </cell>
          <cell r="DV482">
            <v>15.64</v>
          </cell>
          <cell r="EE482">
            <v>15.64</v>
          </cell>
          <cell r="EN482">
            <v>15.64</v>
          </cell>
        </row>
        <row r="483">
          <cell r="A483">
            <v>156</v>
          </cell>
          <cell r="B483" t="str">
            <v>FG</v>
          </cell>
          <cell r="C483" t="str">
            <v>FM</v>
          </cell>
          <cell r="D483" t="str">
            <v>C1618  W/E</v>
          </cell>
          <cell r="I483">
            <v>31.21</v>
          </cell>
          <cell r="R483">
            <v>31.21</v>
          </cell>
          <cell r="AJ483">
            <v>31.21</v>
          </cell>
          <cell r="AS483">
            <v>31.21</v>
          </cell>
          <cell r="BB483">
            <v>31.21</v>
          </cell>
          <cell r="BK483">
            <v>31.21</v>
          </cell>
          <cell r="BT483">
            <v>31.21</v>
          </cell>
          <cell r="CC483">
            <v>31.21</v>
          </cell>
          <cell r="CL483">
            <v>15.75</v>
          </cell>
          <cell r="CU483">
            <v>31.21</v>
          </cell>
          <cell r="DD483">
            <v>31.31</v>
          </cell>
          <cell r="DM483">
            <v>31.21</v>
          </cell>
          <cell r="DV483">
            <v>31.21</v>
          </cell>
          <cell r="EE483">
            <v>31.21</v>
          </cell>
          <cell r="EN483">
            <v>31.21</v>
          </cell>
        </row>
        <row r="484">
          <cell r="A484">
            <v>157</v>
          </cell>
          <cell r="B484" t="str">
            <v>FG</v>
          </cell>
          <cell r="C484" t="str">
            <v>NM</v>
          </cell>
          <cell r="D484" t="str">
            <v>CONTAMINATED FATTY ACID</v>
          </cell>
          <cell r="I484">
            <v>31</v>
          </cell>
          <cell r="R484">
            <v>31</v>
          </cell>
          <cell r="AJ484">
            <v>25</v>
          </cell>
          <cell r="AS484">
            <v>25</v>
          </cell>
          <cell r="BB484">
            <v>25</v>
          </cell>
          <cell r="BK484">
            <v>25</v>
          </cell>
          <cell r="BT484">
            <v>25</v>
          </cell>
          <cell r="CC484">
            <v>25</v>
          </cell>
          <cell r="DV484">
            <v>25</v>
          </cell>
          <cell r="EE484">
            <v>25</v>
          </cell>
          <cell r="EN484">
            <v>25</v>
          </cell>
        </row>
        <row r="485">
          <cell r="A485">
            <v>158</v>
          </cell>
          <cell r="B485" t="str">
            <v>FG</v>
          </cell>
          <cell r="C485" t="str">
            <v>NM</v>
          </cell>
          <cell r="D485" t="str">
            <v>STEARIC ACID - SPECIAL</v>
          </cell>
          <cell r="F485">
            <v>1.35</v>
          </cell>
          <cell r="H485">
            <v>1.05</v>
          </cell>
          <cell r="O485">
            <v>1.35</v>
          </cell>
          <cell r="Q485">
            <v>1.05</v>
          </cell>
          <cell r="X485">
            <v>1.35</v>
          </cell>
          <cell r="Z485">
            <v>1.05</v>
          </cell>
          <cell r="AI485">
            <v>1.05</v>
          </cell>
          <cell r="AP485">
            <v>1.35</v>
          </cell>
          <cell r="AR485">
            <v>1.05</v>
          </cell>
          <cell r="AY485">
            <v>1.35</v>
          </cell>
          <cell r="BA485">
            <v>1.05</v>
          </cell>
          <cell r="BH485">
            <v>1.35</v>
          </cell>
          <cell r="BJ485">
            <v>1.05</v>
          </cell>
          <cell r="BQ485">
            <v>1.35</v>
          </cell>
          <cell r="BS485">
            <v>1.05</v>
          </cell>
          <cell r="BZ485">
            <v>1.35</v>
          </cell>
          <cell r="CB485">
            <v>1.05</v>
          </cell>
          <cell r="CI485">
            <v>1.35</v>
          </cell>
          <cell r="CK485">
            <v>1.05</v>
          </cell>
          <cell r="CR485">
            <v>1.35</v>
          </cell>
          <cell r="CT485">
            <v>1.05</v>
          </cell>
          <cell r="DK485">
            <v>1.35</v>
          </cell>
          <cell r="DL485">
            <v>1.05</v>
          </cell>
          <cell r="DS485">
            <v>1.35</v>
          </cell>
          <cell r="DU485">
            <v>1.05</v>
          </cell>
          <cell r="EB485">
            <v>1.35</v>
          </cell>
          <cell r="ED485">
            <v>1.05</v>
          </cell>
          <cell r="EK485">
            <v>1.35</v>
          </cell>
          <cell r="EM485">
            <v>1.05</v>
          </cell>
        </row>
        <row r="486">
          <cell r="A486">
            <v>159</v>
          </cell>
          <cell r="B486" t="str">
            <v>FG</v>
          </cell>
          <cell r="C486" t="str">
            <v>NM</v>
          </cell>
          <cell r="D486" t="str">
            <v>DFA-C18/22</v>
          </cell>
        </row>
        <row r="487">
          <cell r="A487">
            <v>160</v>
          </cell>
          <cell r="B487" t="str">
            <v>FG</v>
          </cell>
          <cell r="C487" t="str">
            <v>NM</v>
          </cell>
          <cell r="D487" t="str">
            <v>C10 Alc (14 * 170 kgs)</v>
          </cell>
        </row>
        <row r="488">
          <cell r="A488">
            <v>241</v>
          </cell>
          <cell r="B488" t="str">
            <v>FG</v>
          </cell>
          <cell r="C488" t="str">
            <v>NM</v>
          </cell>
          <cell r="D488" t="str">
            <v>C12</v>
          </cell>
          <cell r="I488">
            <v>11.5</v>
          </cell>
          <cell r="R488">
            <v>10</v>
          </cell>
          <cell r="AJ488">
            <v>10</v>
          </cell>
          <cell r="AS488">
            <v>8</v>
          </cell>
          <cell r="BB488">
            <v>8</v>
          </cell>
          <cell r="BK488">
            <v>8</v>
          </cell>
          <cell r="BT488">
            <v>8</v>
          </cell>
          <cell r="CC488">
            <v>5.5250000000000004</v>
          </cell>
          <cell r="CL488">
            <v>3.5249999999999999</v>
          </cell>
          <cell r="CU488">
            <v>3.5249999999999999</v>
          </cell>
          <cell r="DD488">
            <v>3.5249999999999999</v>
          </cell>
        </row>
        <row r="489">
          <cell r="A489">
            <v>244</v>
          </cell>
          <cell r="B489" t="str">
            <v>FG</v>
          </cell>
          <cell r="C489" t="str">
            <v>NM</v>
          </cell>
          <cell r="D489" t="str">
            <v>STEARIC-90</v>
          </cell>
          <cell r="E489" t="str">
            <v>STEARIC-90</v>
          </cell>
          <cell r="F489">
            <v>81.900000000000006</v>
          </cell>
          <cell r="O489">
            <v>81.8</v>
          </cell>
          <cell r="X489">
            <v>81.8</v>
          </cell>
          <cell r="AP489">
            <v>81.8</v>
          </cell>
          <cell r="AY489">
            <v>81.8</v>
          </cell>
          <cell r="BH489">
            <v>81.8</v>
          </cell>
          <cell r="BQ489">
            <v>81.8</v>
          </cell>
          <cell r="BZ489">
            <v>81.8</v>
          </cell>
          <cell r="CI489">
            <v>79.599999999999994</v>
          </cell>
          <cell r="CS489">
            <v>79.599999999999994</v>
          </cell>
          <cell r="DA489">
            <v>79</v>
          </cell>
          <cell r="DK489">
            <v>79</v>
          </cell>
          <cell r="DS489">
            <v>79.599999999999994</v>
          </cell>
          <cell r="EB489">
            <v>79.599999999999994</v>
          </cell>
          <cell r="EK489">
            <v>79.599999999999994</v>
          </cell>
        </row>
        <row r="490">
          <cell r="A490">
            <v>246</v>
          </cell>
          <cell r="B490" t="str">
            <v>FG</v>
          </cell>
          <cell r="C490" t="str">
            <v>NM</v>
          </cell>
          <cell r="D490" t="str">
            <v>HPS 25 KGS</v>
          </cell>
        </row>
        <row r="491">
          <cell r="F491">
            <v>236.85</v>
          </cell>
          <cell r="G491">
            <v>0</v>
          </cell>
          <cell r="H491">
            <v>209.27500000000001</v>
          </cell>
          <cell r="I491">
            <v>712.96499999999992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244.59999999999997</v>
          </cell>
          <cell r="P491">
            <v>0</v>
          </cell>
          <cell r="Q491">
            <v>150.625</v>
          </cell>
          <cell r="R491">
            <v>704.49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191.59999999999997</v>
          </cell>
          <cell r="Y491">
            <v>0</v>
          </cell>
          <cell r="Z491">
            <v>149.625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136.625</v>
          </cell>
          <cell r="AJ491">
            <v>542.21499999999992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146.1</v>
          </cell>
          <cell r="AQ491">
            <v>0</v>
          </cell>
          <cell r="AR491">
            <v>131.72500000000002</v>
          </cell>
          <cell r="AS491">
            <v>356.71499999999997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125.1</v>
          </cell>
          <cell r="AZ491">
            <v>0</v>
          </cell>
          <cell r="BA491">
            <v>131.72500000000002</v>
          </cell>
          <cell r="BB491">
            <v>359.46499999999997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98.1</v>
          </cell>
          <cell r="BI491">
            <v>0</v>
          </cell>
          <cell r="BJ491">
            <v>62.625</v>
          </cell>
          <cell r="BK491">
            <v>239.715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167.1</v>
          </cell>
          <cell r="BR491">
            <v>0</v>
          </cell>
          <cell r="BS491">
            <v>89.725000000000009</v>
          </cell>
          <cell r="BT491">
            <v>330.315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153.69999999999999</v>
          </cell>
          <cell r="CA491">
            <v>0</v>
          </cell>
          <cell r="CB491">
            <v>63.725000000000001</v>
          </cell>
          <cell r="CC491">
            <v>344.48999999999995</v>
          </cell>
          <cell r="CD491">
            <v>0</v>
          </cell>
          <cell r="CE491">
            <v>0</v>
          </cell>
          <cell r="CF491">
            <v>0</v>
          </cell>
          <cell r="CG491">
            <v>0</v>
          </cell>
          <cell r="CH491">
            <v>0</v>
          </cell>
          <cell r="CI491">
            <v>135.69999999999999</v>
          </cell>
          <cell r="CJ491">
            <v>0</v>
          </cell>
          <cell r="CK491">
            <v>63.725000000000001</v>
          </cell>
          <cell r="CL491">
            <v>400.78999999999996</v>
          </cell>
          <cell r="CM491">
            <v>0</v>
          </cell>
          <cell r="CN491">
            <v>0</v>
          </cell>
          <cell r="CO491">
            <v>0</v>
          </cell>
          <cell r="CP491">
            <v>0</v>
          </cell>
          <cell r="CQ491">
            <v>0</v>
          </cell>
          <cell r="CR491">
            <v>103.6</v>
          </cell>
          <cell r="CS491">
            <v>79.599999999999994</v>
          </cell>
          <cell r="CT491">
            <v>63.725000000000001</v>
          </cell>
          <cell r="CU491">
            <v>471.98999999999995</v>
          </cell>
          <cell r="CV491">
            <v>0</v>
          </cell>
          <cell r="CW491">
            <v>0</v>
          </cell>
          <cell r="CX491">
            <v>0</v>
          </cell>
          <cell r="CY491">
            <v>0</v>
          </cell>
          <cell r="CZ491">
            <v>0</v>
          </cell>
          <cell r="DA491">
            <v>199.5</v>
          </cell>
          <cell r="DB491">
            <v>0</v>
          </cell>
          <cell r="DC491">
            <v>0</v>
          </cell>
          <cell r="DD491">
            <v>478.01499999999993</v>
          </cell>
          <cell r="DE491">
            <v>0</v>
          </cell>
          <cell r="DF491">
            <v>0</v>
          </cell>
          <cell r="DG491">
            <v>0</v>
          </cell>
          <cell r="DH491">
            <v>0</v>
          </cell>
          <cell r="DI491">
            <v>0</v>
          </cell>
          <cell r="DJ491">
            <v>0</v>
          </cell>
          <cell r="DK491">
            <v>234</v>
          </cell>
          <cell r="DL491">
            <v>48.75</v>
          </cell>
          <cell r="DM491">
            <v>542.04</v>
          </cell>
          <cell r="DN491">
            <v>0</v>
          </cell>
          <cell r="DO491">
            <v>0</v>
          </cell>
          <cell r="DP491">
            <v>0</v>
          </cell>
          <cell r="DQ491">
            <v>0</v>
          </cell>
          <cell r="DR491">
            <v>0</v>
          </cell>
          <cell r="DS491">
            <v>226.85</v>
          </cell>
          <cell r="DT491">
            <v>0</v>
          </cell>
          <cell r="DU491">
            <v>48.75</v>
          </cell>
          <cell r="DV491">
            <v>564.41499999999996</v>
          </cell>
          <cell r="DW491">
            <v>0</v>
          </cell>
          <cell r="DX491">
            <v>0</v>
          </cell>
          <cell r="DY491">
            <v>0</v>
          </cell>
          <cell r="DZ491">
            <v>0</v>
          </cell>
          <cell r="EA491">
            <v>0</v>
          </cell>
          <cell r="EB491">
            <v>314.85000000000002</v>
          </cell>
          <cell r="EC491">
            <v>0</v>
          </cell>
          <cell r="ED491">
            <v>48.750000000000007</v>
          </cell>
          <cell r="EE491">
            <v>583.81500000000005</v>
          </cell>
          <cell r="EF491">
            <v>0</v>
          </cell>
          <cell r="EG491">
            <v>0</v>
          </cell>
          <cell r="EH491">
            <v>0</v>
          </cell>
          <cell r="EI491">
            <v>0</v>
          </cell>
          <cell r="EJ491">
            <v>0</v>
          </cell>
          <cell r="EK491">
            <v>280.60000000000002</v>
          </cell>
          <cell r="EL491">
            <v>0</v>
          </cell>
          <cell r="EM491">
            <v>48.750000000000007</v>
          </cell>
          <cell r="EN491">
            <v>547.16499999999996</v>
          </cell>
          <cell r="EO491">
            <v>0</v>
          </cell>
          <cell r="EP491">
            <v>0</v>
          </cell>
          <cell r="EQ491">
            <v>0</v>
          </cell>
          <cell r="ER491">
            <v>0</v>
          </cell>
          <cell r="ES491">
            <v>0</v>
          </cell>
        </row>
        <row r="492">
          <cell r="A492" t="str">
            <v>FATTY ALCOHOLS</v>
          </cell>
        </row>
        <row r="493">
          <cell r="A493">
            <v>256</v>
          </cell>
          <cell r="B493" t="str">
            <v>FG</v>
          </cell>
          <cell r="C493" t="str">
            <v>FM</v>
          </cell>
          <cell r="D493" t="str">
            <v>VEGROL10</v>
          </cell>
          <cell r="BB493">
            <v>15</v>
          </cell>
        </row>
        <row r="494">
          <cell r="A494">
            <v>161</v>
          </cell>
          <cell r="B494" t="str">
            <v>FG</v>
          </cell>
          <cell r="C494" t="str">
            <v>FM</v>
          </cell>
          <cell r="D494" t="str">
            <v>VEGROL1214</v>
          </cell>
          <cell r="I494">
            <v>0.91</v>
          </cell>
          <cell r="R494">
            <v>173.36</v>
          </cell>
          <cell r="V494">
            <v>66.69</v>
          </cell>
          <cell r="Z494">
            <v>45.28</v>
          </cell>
          <cell r="AA494">
            <v>456.69</v>
          </cell>
          <cell r="AE494">
            <v>33.03</v>
          </cell>
          <cell r="AI494">
            <v>504.07</v>
          </cell>
          <cell r="AJ494">
            <v>115</v>
          </cell>
          <cell r="AN494">
            <v>30.85</v>
          </cell>
          <cell r="AR494">
            <v>0.67000000000007276</v>
          </cell>
          <cell r="AS494">
            <v>949</v>
          </cell>
          <cell r="AW494">
            <v>30.84</v>
          </cell>
          <cell r="BA494">
            <v>0.67</v>
          </cell>
          <cell r="BB494">
            <v>819</v>
          </cell>
          <cell r="BF494">
            <v>65.459999999999994</v>
          </cell>
          <cell r="BJ494">
            <v>0.67000000000007276</v>
          </cell>
          <cell r="BK494">
            <v>571</v>
          </cell>
          <cell r="BO494">
            <v>50.76</v>
          </cell>
          <cell r="CC494">
            <v>1203</v>
          </cell>
          <cell r="CK494">
            <v>15.75</v>
          </cell>
          <cell r="CL494">
            <v>1001.6500000000001</v>
          </cell>
          <cell r="CT494">
            <v>255.01</v>
          </cell>
          <cell r="CU494">
            <v>725.75</v>
          </cell>
          <cell r="DD494">
            <v>768.16</v>
          </cell>
          <cell r="DL494">
            <v>574.02</v>
          </cell>
          <cell r="DM494">
            <v>1999.9300000000003</v>
          </cell>
          <cell r="DQ494">
            <v>71.19</v>
          </cell>
          <cell r="DU494">
            <v>574.02</v>
          </cell>
          <cell r="DV494">
            <v>1367</v>
          </cell>
          <cell r="DZ494">
            <v>110.03</v>
          </cell>
          <cell r="ED494">
            <v>649.09</v>
          </cell>
          <cell r="EE494">
            <v>983.6099999999999</v>
          </cell>
          <cell r="EM494">
            <v>650.04999999999995</v>
          </cell>
          <cell r="EN494">
            <v>1110.8599999999999</v>
          </cell>
        </row>
        <row r="495">
          <cell r="A495">
            <v>162</v>
          </cell>
          <cell r="B495" t="str">
            <v>FG</v>
          </cell>
          <cell r="C495" t="str">
            <v>FM</v>
          </cell>
          <cell r="D495" t="str">
            <v>VEGROL1216</v>
          </cell>
          <cell r="H495">
            <v>45.28</v>
          </cell>
          <cell r="I495">
            <v>637.24</v>
          </cell>
          <cell r="Q495">
            <v>45.28</v>
          </cell>
          <cell r="R495">
            <v>637.29999999999995</v>
          </cell>
          <cell r="V495">
            <v>46.38</v>
          </cell>
          <cell r="AA495">
            <v>450.82</v>
          </cell>
          <cell r="AE495">
            <v>91.37</v>
          </cell>
          <cell r="AI495">
            <v>292.54000000000002</v>
          </cell>
          <cell r="AJ495">
            <v>1006</v>
          </cell>
          <cell r="AN495">
            <v>29.48</v>
          </cell>
          <cell r="AR495">
            <v>979.85</v>
          </cell>
          <cell r="AS495">
            <v>425</v>
          </cell>
          <cell r="BA495">
            <v>460.72</v>
          </cell>
          <cell r="BB495">
            <v>944</v>
          </cell>
          <cell r="BJ495">
            <v>29.839999999999861</v>
          </cell>
          <cell r="BK495">
            <v>1043</v>
          </cell>
          <cell r="BS495">
            <v>30.510000000000073</v>
          </cell>
          <cell r="BT495">
            <v>1026</v>
          </cell>
          <cell r="BX495">
            <v>30.62</v>
          </cell>
          <cell r="CB495">
            <v>646.36</v>
          </cell>
          <cell r="CC495">
            <v>201</v>
          </cell>
          <cell r="CG495">
            <v>30.36</v>
          </cell>
          <cell r="CL495">
            <v>811.25</v>
          </cell>
          <cell r="CU495">
            <v>913.06</v>
          </cell>
          <cell r="DC495">
            <v>466.3</v>
          </cell>
          <cell r="DD495">
            <v>855.6</v>
          </cell>
          <cell r="DL495">
            <v>496.92</v>
          </cell>
          <cell r="DM495">
            <v>276.99</v>
          </cell>
          <cell r="DQ495">
            <v>22.03</v>
          </cell>
          <cell r="DU495">
            <v>504.46</v>
          </cell>
          <cell r="DV495">
            <v>778</v>
          </cell>
          <cell r="ED495">
            <v>504.46</v>
          </cell>
          <cell r="EE495">
            <v>779.87</v>
          </cell>
          <cell r="EN495">
            <v>832.16100000000006</v>
          </cell>
        </row>
        <row r="496">
          <cell r="A496">
            <v>163</v>
          </cell>
          <cell r="B496" t="str">
            <v>FG</v>
          </cell>
          <cell r="C496" t="str">
            <v>FM</v>
          </cell>
          <cell r="D496" t="str">
            <v>VEGROL 1218</v>
          </cell>
          <cell r="I496">
            <v>578.94000000000005</v>
          </cell>
          <cell r="R496">
            <v>570.9</v>
          </cell>
          <cell r="AA496">
            <v>640.62</v>
          </cell>
          <cell r="AJ496">
            <v>531</v>
          </cell>
          <cell r="AN496">
            <v>30.15</v>
          </cell>
          <cell r="AS496">
            <v>599.87</v>
          </cell>
          <cell r="BB496">
            <v>694</v>
          </cell>
          <cell r="BK496">
            <v>600.17999999999995</v>
          </cell>
          <cell r="BO496">
            <v>16.059999999999999</v>
          </cell>
          <cell r="BT496">
            <v>622</v>
          </cell>
          <cell r="CC496">
            <v>22</v>
          </cell>
          <cell r="CL496">
            <v>765.68</v>
          </cell>
          <cell r="CU496">
            <v>725.5</v>
          </cell>
          <cell r="DD496">
            <v>708.70999999999992</v>
          </cell>
          <cell r="DM496">
            <v>736.98</v>
          </cell>
          <cell r="EE496">
            <v>853.5</v>
          </cell>
          <cell r="EN496">
            <v>871.62</v>
          </cell>
        </row>
        <row r="497">
          <cell r="A497">
            <v>164</v>
          </cell>
          <cell r="B497" t="str">
            <v>FG</v>
          </cell>
          <cell r="C497" t="str">
            <v>FM</v>
          </cell>
          <cell r="D497" t="str">
            <v>VEGROL C1618TA</v>
          </cell>
          <cell r="I497">
            <v>983.7</v>
          </cell>
          <cell r="R497">
            <v>897.4</v>
          </cell>
          <cell r="AA497">
            <v>886.33</v>
          </cell>
          <cell r="BK497">
            <v>839</v>
          </cell>
          <cell r="BT497">
            <v>826</v>
          </cell>
          <cell r="CC497">
            <v>760</v>
          </cell>
          <cell r="CL497">
            <v>436.6</v>
          </cell>
          <cell r="CU497">
            <v>911.5</v>
          </cell>
          <cell r="DD497">
            <v>349.36</v>
          </cell>
          <cell r="DM497">
            <v>328.48</v>
          </cell>
          <cell r="DV497">
            <v>629</v>
          </cell>
          <cell r="EE497">
            <v>1002.21</v>
          </cell>
          <cell r="EN497">
            <v>493.8</v>
          </cell>
        </row>
        <row r="498">
          <cell r="A498">
            <v>165</v>
          </cell>
          <cell r="B498" t="str">
            <v>FG</v>
          </cell>
          <cell r="C498" t="str">
            <v>FM</v>
          </cell>
          <cell r="D498" t="str">
            <v>VEGROL C1618(50:50)</v>
          </cell>
          <cell r="I498">
            <v>228.41</v>
          </cell>
          <cell r="R498">
            <v>162.93</v>
          </cell>
          <cell r="AA498">
            <v>49.21</v>
          </cell>
          <cell r="AJ498">
            <v>37</v>
          </cell>
          <cell r="CC498">
            <v>478</v>
          </cell>
          <cell r="CL498">
            <v>420.59</v>
          </cell>
          <cell r="CU498">
            <v>371.99</v>
          </cell>
          <cell r="DD498">
            <v>371.99</v>
          </cell>
          <cell r="DM498">
            <v>311.77</v>
          </cell>
          <cell r="DV498">
            <v>291</v>
          </cell>
          <cell r="EE498">
            <v>183.23793600000002</v>
          </cell>
          <cell r="EN498">
            <v>183.31745599999999</v>
          </cell>
        </row>
        <row r="499">
          <cell r="A499">
            <v>166</v>
          </cell>
          <cell r="B499" t="str">
            <v>FG</v>
          </cell>
          <cell r="C499" t="str">
            <v>FM</v>
          </cell>
          <cell r="D499" t="str">
            <v>VEGROL C1618PS</v>
          </cell>
          <cell r="CL499">
            <v>64.97</v>
          </cell>
        </row>
        <row r="500">
          <cell r="A500">
            <v>167</v>
          </cell>
          <cell r="B500" t="str">
            <v>FG</v>
          </cell>
          <cell r="C500" t="str">
            <v>FM</v>
          </cell>
          <cell r="D500" t="str">
            <v>VEGROL C1698</v>
          </cell>
          <cell r="I500">
            <v>303.27</v>
          </cell>
          <cell r="R500">
            <v>280.04000000000002</v>
          </cell>
          <cell r="AA500">
            <v>190.04</v>
          </cell>
          <cell r="CL500">
            <v>526.57000000000005</v>
          </cell>
          <cell r="CU500">
            <v>650.1</v>
          </cell>
          <cell r="DD500">
            <v>643.21</v>
          </cell>
          <cell r="DM500">
            <v>524.75</v>
          </cell>
          <cell r="DV500">
            <v>237.55</v>
          </cell>
          <cell r="EE500">
            <v>234.94</v>
          </cell>
          <cell r="EN500">
            <v>290.23</v>
          </cell>
        </row>
        <row r="501">
          <cell r="A501">
            <v>168</v>
          </cell>
          <cell r="B501" t="str">
            <v>FG</v>
          </cell>
          <cell r="C501" t="str">
            <v>FM</v>
          </cell>
          <cell r="D501" t="str">
            <v>VEGROL C1895</v>
          </cell>
        </row>
        <row r="502">
          <cell r="A502">
            <v>169</v>
          </cell>
          <cell r="B502" t="str">
            <v>FG</v>
          </cell>
          <cell r="C502" t="str">
            <v>FM</v>
          </cell>
          <cell r="D502" t="str">
            <v>VEGROL C1898</v>
          </cell>
          <cell r="I502">
            <v>178.76</v>
          </cell>
          <cell r="R502">
            <v>149.80000000000001</v>
          </cell>
          <cell r="AA502">
            <v>102.19</v>
          </cell>
          <cell r="CL502">
            <v>138.94</v>
          </cell>
          <cell r="CU502">
            <v>193.97</v>
          </cell>
          <cell r="DD502">
            <v>255.55</v>
          </cell>
          <cell r="DM502">
            <v>193.75</v>
          </cell>
        </row>
        <row r="503">
          <cell r="A503">
            <v>170</v>
          </cell>
          <cell r="B503" t="str">
            <v>FG</v>
          </cell>
          <cell r="C503" t="str">
            <v>FM</v>
          </cell>
          <cell r="D503" t="str">
            <v>VEGROL C1822 (seed alc)</v>
          </cell>
          <cell r="I503">
            <v>404.84</v>
          </cell>
          <cell r="R503">
            <v>405.22</v>
          </cell>
          <cell r="AA503">
            <v>369.56</v>
          </cell>
          <cell r="AJ503">
            <v>97</v>
          </cell>
          <cell r="AS503">
            <v>60</v>
          </cell>
          <cell r="CL503">
            <v>153.30000000000001</v>
          </cell>
        </row>
        <row r="504">
          <cell r="A504">
            <v>171</v>
          </cell>
          <cell r="B504" t="str">
            <v>FG</v>
          </cell>
          <cell r="C504" t="str">
            <v>SM</v>
          </cell>
          <cell r="D504" t="str">
            <v>VEGROL C20:2250:50</v>
          </cell>
          <cell r="BT504">
            <v>556</v>
          </cell>
        </row>
        <row r="505">
          <cell r="A505">
            <v>172</v>
          </cell>
          <cell r="B505" t="str">
            <v>FG</v>
          </cell>
          <cell r="C505" t="str">
            <v>SM</v>
          </cell>
          <cell r="D505" t="str">
            <v>VEGROL C2280</v>
          </cell>
          <cell r="I505">
            <v>666.2</v>
          </cell>
          <cell r="R505">
            <v>629.72</v>
          </cell>
          <cell r="AA505">
            <v>601.75</v>
          </cell>
          <cell r="AJ505">
            <v>448</v>
          </cell>
          <cell r="AS505">
            <v>202</v>
          </cell>
          <cell r="BB505">
            <v>143</v>
          </cell>
          <cell r="BK505">
            <v>97</v>
          </cell>
          <cell r="BT505">
            <v>97</v>
          </cell>
          <cell r="CC505">
            <v>98</v>
          </cell>
          <cell r="CL505">
            <v>98.62</v>
          </cell>
          <cell r="DD505">
            <v>83.63</v>
          </cell>
          <cell r="DM505">
            <v>68.56</v>
          </cell>
          <cell r="DV505">
            <v>68</v>
          </cell>
          <cell r="EE505">
            <v>53.617300000000007</v>
          </cell>
          <cell r="EN505">
            <v>53.561999999999998</v>
          </cell>
        </row>
        <row r="506">
          <cell r="A506">
            <v>173</v>
          </cell>
          <cell r="B506" t="str">
            <v>FG</v>
          </cell>
          <cell r="C506" t="str">
            <v>SM</v>
          </cell>
          <cell r="D506" t="str">
            <v>VEGROL1216 CONCENTRATED</v>
          </cell>
        </row>
        <row r="507">
          <cell r="A507">
            <v>250</v>
          </cell>
          <cell r="B507" t="str">
            <v>FG</v>
          </cell>
          <cell r="C507" t="str">
            <v>SM</v>
          </cell>
          <cell r="D507" t="str">
            <v>VEGROL C2270</v>
          </cell>
          <cell r="AJ507">
            <v>271</v>
          </cell>
          <cell r="AS507">
            <v>285</v>
          </cell>
          <cell r="BB507">
            <v>280</v>
          </cell>
          <cell r="BK507">
            <v>236</v>
          </cell>
          <cell r="BT507">
            <v>236</v>
          </cell>
          <cell r="CC507">
            <v>236</v>
          </cell>
          <cell r="CL507">
            <v>406.29</v>
          </cell>
          <cell r="CU507">
            <v>505.5</v>
          </cell>
          <cell r="DD507">
            <v>395.97</v>
          </cell>
          <cell r="DM507">
            <v>385.63</v>
          </cell>
          <cell r="DV507">
            <v>215</v>
          </cell>
          <cell r="EE507">
            <v>144.5</v>
          </cell>
          <cell r="EN507">
            <v>144.49900000000002</v>
          </cell>
        </row>
        <row r="508">
          <cell r="F508">
            <v>0</v>
          </cell>
          <cell r="G508">
            <v>0</v>
          </cell>
          <cell r="H508">
            <v>45.28</v>
          </cell>
          <cell r="I508">
            <v>3982.2699999999995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45.28</v>
          </cell>
          <cell r="R508">
            <v>3906.67</v>
          </cell>
          <cell r="S508">
            <v>0</v>
          </cell>
          <cell r="T508">
            <v>0</v>
          </cell>
          <cell r="U508">
            <v>0</v>
          </cell>
          <cell r="V508">
            <v>113.07</v>
          </cell>
          <cell r="W508">
            <v>0</v>
          </cell>
          <cell r="X508">
            <v>0</v>
          </cell>
          <cell r="Y508">
            <v>0</v>
          </cell>
          <cell r="Z508">
            <v>45.28</v>
          </cell>
          <cell r="AA508">
            <v>3747.21</v>
          </cell>
          <cell r="AB508">
            <v>0</v>
          </cell>
          <cell r="AC508">
            <v>0</v>
          </cell>
          <cell r="AD508">
            <v>0</v>
          </cell>
          <cell r="AE508">
            <v>124.4</v>
          </cell>
          <cell r="AF508">
            <v>0</v>
          </cell>
          <cell r="AG508">
            <v>0</v>
          </cell>
          <cell r="AH508">
            <v>0</v>
          </cell>
          <cell r="AI508">
            <v>796.61</v>
          </cell>
          <cell r="AJ508">
            <v>2505</v>
          </cell>
          <cell r="AK508">
            <v>0</v>
          </cell>
          <cell r="AL508">
            <v>0</v>
          </cell>
          <cell r="AM508">
            <v>0</v>
          </cell>
          <cell r="AN508">
            <v>90.47999999999999</v>
          </cell>
          <cell r="AO508">
            <v>0</v>
          </cell>
          <cell r="AP508">
            <v>0</v>
          </cell>
          <cell r="AQ508">
            <v>0</v>
          </cell>
          <cell r="AR508">
            <v>980.5200000000001</v>
          </cell>
          <cell r="AS508">
            <v>2520.87</v>
          </cell>
          <cell r="AT508">
            <v>0</v>
          </cell>
          <cell r="AU508">
            <v>0</v>
          </cell>
          <cell r="AV508">
            <v>0</v>
          </cell>
          <cell r="AW508">
            <v>30.84</v>
          </cell>
          <cell r="AX508">
            <v>0</v>
          </cell>
          <cell r="AY508">
            <v>0</v>
          </cell>
          <cell r="AZ508">
            <v>0</v>
          </cell>
          <cell r="BA508">
            <v>461.39000000000004</v>
          </cell>
          <cell r="BB508">
            <v>2600</v>
          </cell>
          <cell r="BC508">
            <v>0</v>
          </cell>
          <cell r="BD508">
            <v>0</v>
          </cell>
          <cell r="BE508">
            <v>0</v>
          </cell>
          <cell r="BF508">
            <v>65.459999999999994</v>
          </cell>
          <cell r="BG508">
            <v>0</v>
          </cell>
          <cell r="BH508">
            <v>0</v>
          </cell>
          <cell r="BI508">
            <v>0</v>
          </cell>
          <cell r="BJ508">
            <v>30.509999999999934</v>
          </cell>
          <cell r="BK508">
            <v>3386.18</v>
          </cell>
          <cell r="BL508">
            <v>0</v>
          </cell>
          <cell r="BM508">
            <v>0</v>
          </cell>
          <cell r="BN508">
            <v>0</v>
          </cell>
          <cell r="BO508">
            <v>66.819999999999993</v>
          </cell>
          <cell r="BP508">
            <v>0</v>
          </cell>
          <cell r="BQ508">
            <v>0</v>
          </cell>
          <cell r="BR508">
            <v>0</v>
          </cell>
          <cell r="BS508">
            <v>30.510000000000073</v>
          </cell>
          <cell r="BT508">
            <v>3363</v>
          </cell>
          <cell r="BU508">
            <v>0</v>
          </cell>
          <cell r="BV508">
            <v>0</v>
          </cell>
          <cell r="BW508">
            <v>0</v>
          </cell>
          <cell r="BX508">
            <v>30.62</v>
          </cell>
          <cell r="BY508">
            <v>0</v>
          </cell>
          <cell r="BZ508">
            <v>0</v>
          </cell>
          <cell r="CA508">
            <v>0</v>
          </cell>
          <cell r="CB508">
            <v>646.36</v>
          </cell>
          <cell r="CC508">
            <v>2998</v>
          </cell>
          <cell r="CD508">
            <v>0</v>
          </cell>
          <cell r="CE508">
            <v>0</v>
          </cell>
          <cell r="CF508">
            <v>0</v>
          </cell>
          <cell r="CG508">
            <v>30.36</v>
          </cell>
          <cell r="CH508">
            <v>0</v>
          </cell>
          <cell r="CI508">
            <v>0</v>
          </cell>
          <cell r="CJ508">
            <v>0</v>
          </cell>
          <cell r="CK508">
            <v>15.75</v>
          </cell>
          <cell r="CL508">
            <v>4824.46</v>
          </cell>
          <cell r="CM508">
            <v>0</v>
          </cell>
          <cell r="CN508">
            <v>0</v>
          </cell>
          <cell r="CO508">
            <v>0</v>
          </cell>
          <cell r="CP508">
            <v>0</v>
          </cell>
          <cell r="CQ508">
            <v>0</v>
          </cell>
          <cell r="CR508">
            <v>0</v>
          </cell>
          <cell r="CS508">
            <v>0</v>
          </cell>
          <cell r="CT508">
            <v>255.01</v>
          </cell>
          <cell r="CU508">
            <v>4997.3700000000008</v>
          </cell>
          <cell r="CV508">
            <v>0</v>
          </cell>
          <cell r="CW508">
            <v>0</v>
          </cell>
          <cell r="CX508">
            <v>0</v>
          </cell>
          <cell r="CY508">
            <v>0</v>
          </cell>
          <cell r="CZ508">
            <v>0</v>
          </cell>
          <cell r="DA508">
            <v>0</v>
          </cell>
          <cell r="DB508">
            <v>0</v>
          </cell>
          <cell r="DC508">
            <v>466.3</v>
          </cell>
          <cell r="DD508">
            <v>4432.18</v>
          </cell>
          <cell r="DE508">
            <v>0</v>
          </cell>
          <cell r="DF508">
            <v>0</v>
          </cell>
          <cell r="DG508">
            <v>0</v>
          </cell>
          <cell r="DH508">
            <v>0</v>
          </cell>
          <cell r="DI508">
            <v>0</v>
          </cell>
          <cell r="DJ508">
            <v>0</v>
          </cell>
          <cell r="DK508">
            <v>0</v>
          </cell>
          <cell r="DL508">
            <v>1070.94</v>
          </cell>
          <cell r="DM508">
            <v>4826.84</v>
          </cell>
          <cell r="DN508">
            <v>0</v>
          </cell>
          <cell r="DO508">
            <v>0</v>
          </cell>
          <cell r="DP508">
            <v>0</v>
          </cell>
          <cell r="DQ508">
            <v>93.22</v>
          </cell>
          <cell r="DR508">
            <v>0</v>
          </cell>
          <cell r="DS508">
            <v>0</v>
          </cell>
          <cell r="DT508">
            <v>0</v>
          </cell>
          <cell r="DU508">
            <v>1078.48</v>
          </cell>
          <cell r="DV508">
            <v>3585.55</v>
          </cell>
          <cell r="DW508">
            <v>0</v>
          </cell>
          <cell r="DX508">
            <v>0</v>
          </cell>
          <cell r="DY508">
            <v>0</v>
          </cell>
          <cell r="DZ508">
            <v>110.03</v>
          </cell>
          <cell r="EA508">
            <v>0</v>
          </cell>
          <cell r="EB508">
            <v>0</v>
          </cell>
          <cell r="EC508">
            <v>0</v>
          </cell>
          <cell r="ED508">
            <v>1153.55</v>
          </cell>
          <cell r="EE508">
            <v>4235.4852360000004</v>
          </cell>
          <cell r="EF508">
            <v>0</v>
          </cell>
          <cell r="EG508">
            <v>0</v>
          </cell>
          <cell r="EH508">
            <v>0</v>
          </cell>
          <cell r="EI508">
            <v>0</v>
          </cell>
          <cell r="EJ508">
            <v>0</v>
          </cell>
          <cell r="EK508">
            <v>0</v>
          </cell>
          <cell r="EL508">
            <v>0</v>
          </cell>
          <cell r="EM508">
            <v>650.04999999999995</v>
          </cell>
          <cell r="EN508">
            <v>3980.0494560000006</v>
          </cell>
          <cell r="EO508">
            <v>0</v>
          </cell>
          <cell r="EP508">
            <v>0</v>
          </cell>
          <cell r="EQ508">
            <v>0</v>
          </cell>
          <cell r="ER508">
            <v>0</v>
          </cell>
          <cell r="ES508">
            <v>0</v>
          </cell>
        </row>
        <row r="509">
          <cell r="A509" t="str">
            <v>PASTILLES</v>
          </cell>
        </row>
        <row r="510">
          <cell r="A510">
            <v>174</v>
          </cell>
          <cell r="B510" t="str">
            <v>FG</v>
          </cell>
          <cell r="C510" t="str">
            <v>FM</v>
          </cell>
          <cell r="D510" t="str">
            <v>VEGROL C1618TA</v>
          </cell>
          <cell r="I510">
            <v>62.543999999999997</v>
          </cell>
          <cell r="R510">
            <v>94.66</v>
          </cell>
          <cell r="AJ510">
            <v>24.213000000000001</v>
          </cell>
          <cell r="AS510">
            <v>74.212999999999994</v>
          </cell>
          <cell r="BB510">
            <v>71.712999999999994</v>
          </cell>
          <cell r="BK510">
            <v>45.713000000000001</v>
          </cell>
          <cell r="BT510">
            <v>76.363</v>
          </cell>
          <cell r="CC510">
            <v>143.56299999999999</v>
          </cell>
          <cell r="CL510">
            <v>104.76300000000001</v>
          </cell>
          <cell r="CU510">
            <v>101.688</v>
          </cell>
          <cell r="DD510">
            <v>77.688000000000002</v>
          </cell>
          <cell r="DM510">
            <v>35.588000000000001</v>
          </cell>
          <cell r="DV510">
            <v>119.038</v>
          </cell>
          <cell r="EE510">
            <v>42.963000000000001</v>
          </cell>
          <cell r="EN510">
            <v>104.038</v>
          </cell>
        </row>
        <row r="511">
          <cell r="A511">
            <v>175</v>
          </cell>
          <cell r="B511" t="str">
            <v>FG</v>
          </cell>
          <cell r="C511" t="str">
            <v>FM</v>
          </cell>
          <cell r="D511" t="str">
            <v>VEGROL C1618(50:50)</v>
          </cell>
          <cell r="I511">
            <v>39.549999999999997</v>
          </cell>
          <cell r="R511">
            <v>52.774999999999999</v>
          </cell>
          <cell r="AJ511">
            <v>63.85</v>
          </cell>
          <cell r="AS511">
            <v>88.825000000000003</v>
          </cell>
          <cell r="BB511">
            <v>70.224999999999994</v>
          </cell>
          <cell r="BK511">
            <v>38.024999999999999</v>
          </cell>
          <cell r="BT511">
            <v>38</v>
          </cell>
          <cell r="CC511">
            <v>73.375</v>
          </cell>
          <cell r="CL511">
            <v>86.125</v>
          </cell>
          <cell r="CU511">
            <v>65.625</v>
          </cell>
          <cell r="DD511">
            <v>45.65</v>
          </cell>
          <cell r="DM511">
            <v>68.625</v>
          </cell>
          <cell r="DV511">
            <v>35.125</v>
          </cell>
          <cell r="EE511">
            <v>80.375</v>
          </cell>
          <cell r="EN511">
            <v>25.574999999999999</v>
          </cell>
        </row>
        <row r="512">
          <cell r="A512">
            <v>176</v>
          </cell>
          <cell r="B512" t="str">
            <v>FG</v>
          </cell>
          <cell r="C512" t="str">
            <v>FM</v>
          </cell>
          <cell r="D512" t="str">
            <v>VEGROL C1618PS</v>
          </cell>
        </row>
        <row r="513">
          <cell r="A513">
            <v>177</v>
          </cell>
          <cell r="B513" t="str">
            <v>FG</v>
          </cell>
          <cell r="C513" t="str">
            <v>FM</v>
          </cell>
          <cell r="D513" t="str">
            <v>VEGROL C1698</v>
          </cell>
          <cell r="I513">
            <v>124.051</v>
          </cell>
          <cell r="R513">
            <v>56.911000000000001</v>
          </cell>
          <cell r="AJ513">
            <v>48.341999999999999</v>
          </cell>
          <cell r="AS513">
            <v>60.945999999999998</v>
          </cell>
          <cell r="BB513">
            <v>94.403000000000006</v>
          </cell>
          <cell r="BK513">
            <v>19.763000000000002</v>
          </cell>
          <cell r="BT513">
            <v>13.513</v>
          </cell>
          <cell r="CC513">
            <v>5.6879999999999997</v>
          </cell>
          <cell r="CL513">
            <v>2.6880000000000002</v>
          </cell>
          <cell r="CU513">
            <v>128.43700000000001</v>
          </cell>
          <cell r="DD513">
            <v>18.355</v>
          </cell>
          <cell r="DM513">
            <v>68.98</v>
          </cell>
          <cell r="DV513">
            <v>65.501999999999995</v>
          </cell>
          <cell r="EE513">
            <v>28.552</v>
          </cell>
          <cell r="EN513">
            <v>60.84</v>
          </cell>
        </row>
        <row r="514">
          <cell r="A514">
            <v>178</v>
          </cell>
          <cell r="B514" t="str">
            <v>FG</v>
          </cell>
          <cell r="C514" t="str">
            <v>FM</v>
          </cell>
          <cell r="D514" t="str">
            <v>VEGROL C1895</v>
          </cell>
        </row>
        <row r="515">
          <cell r="A515">
            <v>179</v>
          </cell>
          <cell r="B515" t="str">
            <v>FG</v>
          </cell>
          <cell r="C515" t="str">
            <v>FM</v>
          </cell>
          <cell r="D515" t="str">
            <v>VEGROL C1898</v>
          </cell>
          <cell r="I515">
            <v>65.75</v>
          </cell>
          <cell r="R515">
            <v>21.38</v>
          </cell>
          <cell r="AJ515">
            <v>3.22</v>
          </cell>
          <cell r="AS515">
            <v>0.23</v>
          </cell>
          <cell r="BB515">
            <v>0.23</v>
          </cell>
          <cell r="BK515">
            <v>8.23</v>
          </cell>
          <cell r="BT515">
            <v>0.23</v>
          </cell>
          <cell r="CC515">
            <v>0.23</v>
          </cell>
          <cell r="CL515">
            <v>0.23</v>
          </cell>
          <cell r="CU515">
            <v>0.23</v>
          </cell>
          <cell r="DD515">
            <v>100.26</v>
          </cell>
          <cell r="DM515">
            <v>19.399999999999999</v>
          </cell>
          <cell r="DV515">
            <v>50.4</v>
          </cell>
          <cell r="EE515">
            <v>40.4</v>
          </cell>
          <cell r="EN515">
            <v>29.4</v>
          </cell>
        </row>
        <row r="516">
          <cell r="A516">
            <v>180</v>
          </cell>
          <cell r="B516" t="str">
            <v>FG</v>
          </cell>
          <cell r="C516" t="str">
            <v>FM</v>
          </cell>
          <cell r="D516" t="str">
            <v>VEGROL C1822</v>
          </cell>
          <cell r="I516">
            <v>41.875</v>
          </cell>
          <cell r="R516">
            <v>36.174999999999997</v>
          </cell>
          <cell r="AJ516">
            <v>33.25</v>
          </cell>
          <cell r="AS516">
            <v>36.875</v>
          </cell>
          <cell r="BB516">
            <v>30.5</v>
          </cell>
          <cell r="BK516">
            <v>80.75</v>
          </cell>
          <cell r="BT516">
            <v>50.75</v>
          </cell>
          <cell r="CC516">
            <v>49.725000000000001</v>
          </cell>
          <cell r="CL516">
            <v>22.524999999999999</v>
          </cell>
          <cell r="CU516">
            <v>22.524999999999999</v>
          </cell>
          <cell r="DD516">
            <v>11.2</v>
          </cell>
          <cell r="DM516">
            <v>11.2</v>
          </cell>
          <cell r="DV516">
            <v>11.2</v>
          </cell>
          <cell r="EE516">
            <v>7.8</v>
          </cell>
          <cell r="EN516">
            <v>7.8</v>
          </cell>
        </row>
        <row r="517">
          <cell r="A517">
            <v>181</v>
          </cell>
          <cell r="B517" t="str">
            <v>FG</v>
          </cell>
          <cell r="C517" t="str">
            <v>FM</v>
          </cell>
          <cell r="D517" t="str">
            <v>VEGROL C22</v>
          </cell>
          <cell r="I517">
            <v>143.5</v>
          </cell>
          <cell r="R517">
            <v>151.69999999999999</v>
          </cell>
          <cell r="AJ517">
            <v>54.033999999999999</v>
          </cell>
          <cell r="AS517">
            <v>173.53399999999999</v>
          </cell>
          <cell r="BB517">
            <v>149.53399999999999</v>
          </cell>
          <cell r="BK517">
            <v>190.53399999999999</v>
          </cell>
          <cell r="BT517">
            <v>184.53399999999999</v>
          </cell>
          <cell r="CC517">
            <v>175.53399999999999</v>
          </cell>
          <cell r="CL517">
            <v>122.28400000000001</v>
          </cell>
          <cell r="CU517">
            <v>91.784000000000006</v>
          </cell>
          <cell r="DD517">
            <v>74.284000000000006</v>
          </cell>
          <cell r="DM517">
            <v>89.358999999999995</v>
          </cell>
          <cell r="DV517">
            <v>62.359000000000002</v>
          </cell>
          <cell r="EE517">
            <v>88.384</v>
          </cell>
          <cell r="EN517">
            <v>74.384</v>
          </cell>
        </row>
        <row r="518">
          <cell r="A518">
            <v>182</v>
          </cell>
          <cell r="B518" t="str">
            <v>FG</v>
          </cell>
          <cell r="C518" t="str">
            <v>FM</v>
          </cell>
          <cell r="D518" t="str">
            <v>VEGROL C2280</v>
          </cell>
          <cell r="I518">
            <v>16.75</v>
          </cell>
          <cell r="R518">
            <v>16.75</v>
          </cell>
          <cell r="AJ518">
            <v>52.25</v>
          </cell>
          <cell r="AS518">
            <v>17.25</v>
          </cell>
          <cell r="BB518">
            <v>75.599999999999994</v>
          </cell>
          <cell r="BK518">
            <v>122.25</v>
          </cell>
          <cell r="BT518">
            <v>17.25</v>
          </cell>
          <cell r="CC518">
            <v>17.25</v>
          </cell>
          <cell r="CL518">
            <v>17.25</v>
          </cell>
          <cell r="CU518">
            <v>17.25</v>
          </cell>
          <cell r="DD518">
            <v>17.25</v>
          </cell>
          <cell r="DM518">
            <v>17.25</v>
          </cell>
          <cell r="DV518">
            <v>17.25</v>
          </cell>
          <cell r="EE518">
            <v>17.25</v>
          </cell>
          <cell r="EN518">
            <v>17.25</v>
          </cell>
        </row>
        <row r="519">
          <cell r="A519">
            <v>183</v>
          </cell>
          <cell r="B519" t="str">
            <v>FG</v>
          </cell>
          <cell r="C519" t="str">
            <v>FM</v>
          </cell>
          <cell r="D519" t="str">
            <v>OFF GRADE PASTILLES</v>
          </cell>
          <cell r="I519">
            <v>205</v>
          </cell>
          <cell r="R519">
            <v>205</v>
          </cell>
          <cell r="AJ519">
            <v>205</v>
          </cell>
          <cell r="AS519">
            <v>205</v>
          </cell>
          <cell r="BB519">
            <v>205</v>
          </cell>
          <cell r="BK519">
            <v>205</v>
          </cell>
          <cell r="BT519">
            <v>205</v>
          </cell>
          <cell r="CC519">
            <v>205</v>
          </cell>
          <cell r="CL519">
            <v>207</v>
          </cell>
          <cell r="DD519">
            <v>207</v>
          </cell>
          <cell r="DM519">
            <v>207</v>
          </cell>
          <cell r="DV519">
            <v>207</v>
          </cell>
          <cell r="EE519">
            <v>207</v>
          </cell>
          <cell r="EN519">
            <v>207</v>
          </cell>
        </row>
        <row r="520">
          <cell r="F520">
            <v>0</v>
          </cell>
          <cell r="G520">
            <v>0</v>
          </cell>
          <cell r="H520">
            <v>0</v>
          </cell>
          <cell r="I520">
            <v>699.02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635.351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484.15899999999999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656.87300000000005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697.20500000000004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710.26499999999999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585.64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0</v>
          </cell>
          <cell r="CC520">
            <v>670.36500000000001</v>
          </cell>
          <cell r="CD520">
            <v>0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562.86500000000001</v>
          </cell>
          <cell r="CM520">
            <v>0</v>
          </cell>
          <cell r="CN520">
            <v>0</v>
          </cell>
          <cell r="CO520">
            <v>0</v>
          </cell>
          <cell r="CP520">
            <v>0</v>
          </cell>
          <cell r="CQ520">
            <v>0</v>
          </cell>
          <cell r="CR520">
            <v>0</v>
          </cell>
          <cell r="CS520">
            <v>0</v>
          </cell>
          <cell r="CT520">
            <v>0</v>
          </cell>
          <cell r="CU520">
            <v>427.53899999999999</v>
          </cell>
          <cell r="CV520">
            <v>0</v>
          </cell>
          <cell r="CW520">
            <v>0</v>
          </cell>
          <cell r="CX520">
            <v>0</v>
          </cell>
          <cell r="CY520">
            <v>0</v>
          </cell>
          <cell r="CZ520">
            <v>0</v>
          </cell>
          <cell r="DA520">
            <v>0</v>
          </cell>
          <cell r="DB520">
            <v>0</v>
          </cell>
          <cell r="DC520">
            <v>0</v>
          </cell>
          <cell r="DD520">
            <v>551.6869999999999</v>
          </cell>
          <cell r="DE520">
            <v>0</v>
          </cell>
          <cell r="DF520">
            <v>0</v>
          </cell>
          <cell r="DG520">
            <v>0</v>
          </cell>
          <cell r="DH520">
            <v>0</v>
          </cell>
          <cell r="DI520">
            <v>0</v>
          </cell>
          <cell r="DJ520">
            <v>0</v>
          </cell>
          <cell r="DK520">
            <v>0</v>
          </cell>
          <cell r="DL520">
            <v>0</v>
          </cell>
          <cell r="DM520">
            <v>517.40200000000004</v>
          </cell>
          <cell r="DN520">
            <v>0</v>
          </cell>
          <cell r="DO520">
            <v>0</v>
          </cell>
          <cell r="DP520">
            <v>0</v>
          </cell>
          <cell r="DQ520">
            <v>0</v>
          </cell>
          <cell r="DR520">
            <v>0</v>
          </cell>
          <cell r="DS520">
            <v>0</v>
          </cell>
          <cell r="DT520">
            <v>0</v>
          </cell>
          <cell r="DU520">
            <v>0</v>
          </cell>
          <cell r="DV520">
            <v>567.87400000000002</v>
          </cell>
          <cell r="DW520">
            <v>0</v>
          </cell>
          <cell r="DX520">
            <v>0</v>
          </cell>
          <cell r="DY520">
            <v>0</v>
          </cell>
          <cell r="DZ520">
            <v>0</v>
          </cell>
          <cell r="EA520">
            <v>0</v>
          </cell>
          <cell r="EB520">
            <v>0</v>
          </cell>
          <cell r="EC520">
            <v>0</v>
          </cell>
          <cell r="ED520">
            <v>0</v>
          </cell>
          <cell r="EE520">
            <v>512.72399999999993</v>
          </cell>
          <cell r="EF520">
            <v>0</v>
          </cell>
          <cell r="EG520">
            <v>0</v>
          </cell>
          <cell r="EH520">
            <v>0</v>
          </cell>
          <cell r="EI520">
            <v>0</v>
          </cell>
          <cell r="EJ520">
            <v>0</v>
          </cell>
          <cell r="EK520">
            <v>0</v>
          </cell>
          <cell r="EL520">
            <v>0</v>
          </cell>
          <cell r="EM520">
            <v>0</v>
          </cell>
          <cell r="EN520">
            <v>526.28700000000003</v>
          </cell>
          <cell r="EO520">
            <v>0</v>
          </cell>
          <cell r="EP520">
            <v>0</v>
          </cell>
          <cell r="EQ520">
            <v>0</v>
          </cell>
          <cell r="ER520">
            <v>0</v>
          </cell>
          <cell r="ES520">
            <v>0</v>
          </cell>
        </row>
        <row r="521">
          <cell r="A521" t="str">
            <v xml:space="preserve">ALCOHOL-INTERMEDIATES </v>
          </cell>
        </row>
        <row r="522">
          <cell r="A522">
            <v>184</v>
          </cell>
          <cell r="B522" t="str">
            <v>IPRM</v>
          </cell>
          <cell r="C522" t="str">
            <v>NM</v>
          </cell>
          <cell r="D522" t="str">
            <v>ALCOHOL-L/E-C-12 88%</v>
          </cell>
        </row>
        <row r="523">
          <cell r="A523">
            <v>185</v>
          </cell>
          <cell r="B523" t="str">
            <v>IPRM</v>
          </cell>
          <cell r="C523" t="str">
            <v>NM</v>
          </cell>
          <cell r="D523" t="str">
            <v>ALCOHOL-L/E-1(1214)</v>
          </cell>
          <cell r="I523">
            <v>184.5</v>
          </cell>
          <cell r="R523">
            <v>201.4</v>
          </cell>
          <cell r="AA523">
            <v>232.6</v>
          </cell>
          <cell r="AJ523">
            <v>240</v>
          </cell>
          <cell r="AS523">
            <v>234.6</v>
          </cell>
          <cell r="BB523">
            <v>237.7</v>
          </cell>
          <cell r="BK523">
            <v>225.7</v>
          </cell>
          <cell r="BT523">
            <v>235.32899999999998</v>
          </cell>
          <cell r="CC523">
            <v>231.76</v>
          </cell>
          <cell r="CL523">
            <v>291.60000000000002</v>
          </cell>
          <cell r="CU523">
            <v>231.8</v>
          </cell>
          <cell r="DD523">
            <v>232.10000000000002</v>
          </cell>
          <cell r="DM523">
            <v>234</v>
          </cell>
          <cell r="DV523">
            <v>244.2</v>
          </cell>
          <cell r="EE523">
            <v>239.9</v>
          </cell>
          <cell r="EN523">
            <v>245.7</v>
          </cell>
        </row>
        <row r="524">
          <cell r="A524">
            <v>186</v>
          </cell>
          <cell r="B524" t="str">
            <v>IPRM</v>
          </cell>
          <cell r="C524" t="str">
            <v>NM</v>
          </cell>
          <cell r="D524" t="str">
            <v>ALCOHOL-L/E-2(C12C16)</v>
          </cell>
          <cell r="AJ524">
            <v>440.79999999999995</v>
          </cell>
          <cell r="AS524">
            <v>442.3</v>
          </cell>
          <cell r="CL524">
            <v>376.9</v>
          </cell>
          <cell r="DV524">
            <v>180.4</v>
          </cell>
          <cell r="EE524">
            <v>149</v>
          </cell>
          <cell r="EN524">
            <v>199.2</v>
          </cell>
        </row>
        <row r="525">
          <cell r="A525">
            <v>187</v>
          </cell>
          <cell r="B525" t="str">
            <v>IPRM</v>
          </cell>
          <cell r="C525" t="str">
            <v>NM</v>
          </cell>
          <cell r="D525" t="str">
            <v>ALCOHOL-L/E-C1618,22</v>
          </cell>
          <cell r="I525">
            <v>475.3</v>
          </cell>
          <cell r="R525">
            <v>475.3</v>
          </cell>
          <cell r="AA525">
            <v>475.3</v>
          </cell>
          <cell r="AJ525">
            <v>244</v>
          </cell>
          <cell r="BB525">
            <v>470.59</v>
          </cell>
          <cell r="BK525">
            <v>244.04687999999999</v>
          </cell>
          <cell r="CL525">
            <v>244</v>
          </cell>
          <cell r="CU525">
            <v>890.8</v>
          </cell>
          <cell r="DD525">
            <v>591.4</v>
          </cell>
          <cell r="DM525">
            <v>594</v>
          </cell>
          <cell r="EE525">
            <v>333.02976000000001</v>
          </cell>
          <cell r="EN525">
            <v>334.22256000000004</v>
          </cell>
        </row>
        <row r="526">
          <cell r="A526">
            <v>188</v>
          </cell>
          <cell r="B526" t="str">
            <v>IPRM</v>
          </cell>
          <cell r="C526" t="str">
            <v>NM</v>
          </cell>
          <cell r="D526" t="str">
            <v>ALCOHOL-L/E-2(C12C18)</v>
          </cell>
          <cell r="DV526">
            <v>765.98</v>
          </cell>
        </row>
        <row r="527">
          <cell r="A527">
            <v>189</v>
          </cell>
          <cell r="B527" t="str">
            <v>IPRM</v>
          </cell>
          <cell r="C527" t="str">
            <v>NM</v>
          </cell>
          <cell r="D527" t="str">
            <v>ALCOHOL-C16RICH</v>
          </cell>
          <cell r="AJ527">
            <v>231.3</v>
          </cell>
          <cell r="DD527">
            <v>375.2</v>
          </cell>
          <cell r="DM527">
            <v>375.2</v>
          </cell>
        </row>
        <row r="528">
          <cell r="A528">
            <v>190</v>
          </cell>
          <cell r="B528" t="str">
            <v>IPRM</v>
          </cell>
          <cell r="C528" t="str">
            <v>NM</v>
          </cell>
          <cell r="D528" t="str">
            <v>ALCOHOL-CRUDE / L/E'S</v>
          </cell>
        </row>
        <row r="529">
          <cell r="A529">
            <v>191</v>
          </cell>
          <cell r="B529" t="str">
            <v>IPRM</v>
          </cell>
          <cell r="C529" t="str">
            <v>NM</v>
          </cell>
          <cell r="D529" t="str">
            <v>L/E of ALC . 18</v>
          </cell>
        </row>
        <row r="530">
          <cell r="A530">
            <v>192</v>
          </cell>
          <cell r="B530" t="str">
            <v>IPRM</v>
          </cell>
          <cell r="C530" t="str">
            <v>NM</v>
          </cell>
          <cell r="D530" t="str">
            <v>L.E.of C 1822</v>
          </cell>
          <cell r="I530">
            <v>380.1</v>
          </cell>
          <cell r="R530">
            <v>380.1</v>
          </cell>
          <cell r="AA530">
            <v>380.1</v>
          </cell>
          <cell r="AJ530">
            <v>533.29999999999995</v>
          </cell>
          <cell r="AS530">
            <v>533.31600000000003</v>
          </cell>
          <cell r="BB530">
            <v>533.29</v>
          </cell>
          <cell r="BK530">
            <v>533.31600000000003</v>
          </cell>
          <cell r="BT530">
            <v>533.31600000000003</v>
          </cell>
          <cell r="CC530">
            <v>533.31600000000003</v>
          </cell>
          <cell r="CL530">
            <v>380</v>
          </cell>
          <cell r="CU530">
            <v>380</v>
          </cell>
          <cell r="DD530">
            <v>380</v>
          </cell>
          <cell r="DM530">
            <v>380</v>
          </cell>
          <cell r="DV530">
            <v>380</v>
          </cell>
          <cell r="EE530">
            <v>380</v>
          </cell>
        </row>
        <row r="531">
          <cell r="A531">
            <v>251</v>
          </cell>
          <cell r="B531" t="str">
            <v>IPRM</v>
          </cell>
          <cell r="C531" t="str">
            <v>NM</v>
          </cell>
          <cell r="D531" t="str">
            <v>ALCOHOL-C12/C14 (seed alc)</v>
          </cell>
          <cell r="AJ531">
            <v>170</v>
          </cell>
          <cell r="AS531">
            <v>170</v>
          </cell>
          <cell r="BB531">
            <v>170</v>
          </cell>
          <cell r="BK531">
            <v>170</v>
          </cell>
          <cell r="CC531">
            <v>170</v>
          </cell>
          <cell r="DV531">
            <v>170</v>
          </cell>
          <cell r="EE531">
            <v>170</v>
          </cell>
          <cell r="EN531">
            <v>170</v>
          </cell>
        </row>
        <row r="532">
          <cell r="A532">
            <v>252</v>
          </cell>
          <cell r="B532" t="str">
            <v>IPRM</v>
          </cell>
          <cell r="C532" t="str">
            <v>NM</v>
          </cell>
          <cell r="D532" t="str">
            <v>ALCOHOL-C16 98 (seed alc)</v>
          </cell>
          <cell r="AJ532">
            <v>170</v>
          </cell>
          <cell r="AS532">
            <v>163</v>
          </cell>
          <cell r="BB532">
            <v>128</v>
          </cell>
          <cell r="BK532">
            <v>128</v>
          </cell>
          <cell r="BT532">
            <v>128</v>
          </cell>
          <cell r="CC532">
            <v>128</v>
          </cell>
          <cell r="DV532">
            <v>170</v>
          </cell>
          <cell r="EE532">
            <v>170</v>
          </cell>
          <cell r="EN532">
            <v>170</v>
          </cell>
        </row>
        <row r="533">
          <cell r="A533">
            <v>253</v>
          </cell>
          <cell r="B533" t="str">
            <v>IPRM</v>
          </cell>
          <cell r="C533" t="str">
            <v>NM</v>
          </cell>
          <cell r="D533" t="str">
            <v>ALCOHOL-C18 98 (seed alc)</v>
          </cell>
          <cell r="AJ533">
            <v>102</v>
          </cell>
          <cell r="AS533">
            <v>102</v>
          </cell>
          <cell r="BB533">
            <v>99</v>
          </cell>
          <cell r="BK533">
            <v>91</v>
          </cell>
          <cell r="BT533">
            <v>137</v>
          </cell>
          <cell r="CC533">
            <v>138</v>
          </cell>
          <cell r="DV533">
            <v>148</v>
          </cell>
          <cell r="EE533">
            <v>141.47820000000002</v>
          </cell>
          <cell r="EN533">
            <v>142</v>
          </cell>
        </row>
        <row r="534">
          <cell r="A534">
            <v>254</v>
          </cell>
          <cell r="B534" t="str">
            <v>IPRM</v>
          </cell>
          <cell r="C534" t="str">
            <v>NM</v>
          </cell>
          <cell r="D534" t="str">
            <v>ALCOHOL-C16/C18 TA (seed alc)</v>
          </cell>
          <cell r="AJ534">
            <v>148</v>
          </cell>
          <cell r="AS534">
            <v>149</v>
          </cell>
          <cell r="BB534">
            <v>149</v>
          </cell>
          <cell r="BK534">
            <v>170</v>
          </cell>
          <cell r="BT534">
            <v>170</v>
          </cell>
          <cell r="DV534">
            <v>170</v>
          </cell>
          <cell r="EE534">
            <v>170</v>
          </cell>
          <cell r="EN534">
            <v>170</v>
          </cell>
        </row>
        <row r="535">
          <cell r="A535">
            <v>193</v>
          </cell>
          <cell r="B535" t="str">
            <v>IPRM</v>
          </cell>
          <cell r="C535" t="str">
            <v>NM</v>
          </cell>
          <cell r="D535" t="str">
            <v>ALCOHOL-C16/C18 (seed alc)</v>
          </cell>
        </row>
        <row r="536">
          <cell r="A536">
            <v>194</v>
          </cell>
          <cell r="B536" t="str">
            <v>IPRM</v>
          </cell>
          <cell r="C536" t="str">
            <v>NM</v>
          </cell>
          <cell r="D536" t="str">
            <v>ALCOHOL-C18/C22 (seed alc)</v>
          </cell>
          <cell r="I536">
            <v>144</v>
          </cell>
          <cell r="R536">
            <v>168.8</v>
          </cell>
          <cell r="AA536">
            <v>153.30000000000001</v>
          </cell>
          <cell r="BB536">
            <v>60</v>
          </cell>
        </row>
        <row r="537">
          <cell r="A537">
            <v>255</v>
          </cell>
          <cell r="B537" t="str">
            <v>IPRM</v>
          </cell>
          <cell r="C537" t="str">
            <v>NM</v>
          </cell>
          <cell r="D537" t="str">
            <v>ALCOHOL-C22 70 (seed alc)</v>
          </cell>
          <cell r="AJ537">
            <v>170</v>
          </cell>
          <cell r="AS537">
            <v>170</v>
          </cell>
          <cell r="BB537">
            <v>170</v>
          </cell>
          <cell r="BK537">
            <v>170</v>
          </cell>
          <cell r="BT537">
            <v>170</v>
          </cell>
          <cell r="CC537">
            <v>170</v>
          </cell>
          <cell r="DV537">
            <v>170</v>
          </cell>
          <cell r="EE537">
            <v>170</v>
          </cell>
          <cell r="EN537">
            <v>170</v>
          </cell>
        </row>
        <row r="538">
          <cell r="A538">
            <v>195</v>
          </cell>
          <cell r="B538" t="str">
            <v>IPRM</v>
          </cell>
          <cell r="C538" t="str">
            <v>NM</v>
          </cell>
          <cell r="D538" t="str">
            <v>Int. Alc.20-22</v>
          </cell>
          <cell r="CU538">
            <v>153.30000000000001</v>
          </cell>
          <cell r="DD538">
            <v>241.3</v>
          </cell>
          <cell r="DM538">
            <v>241.3</v>
          </cell>
        </row>
        <row r="539">
          <cell r="A539">
            <v>196</v>
          </cell>
          <cell r="B539" t="str">
            <v>IPRM</v>
          </cell>
          <cell r="C539" t="str">
            <v>NM</v>
          </cell>
          <cell r="D539" t="str">
            <v>ALCOHOL-RESIDUE</v>
          </cell>
          <cell r="I539">
            <v>391.7</v>
          </cell>
          <cell r="R539">
            <v>347</v>
          </cell>
          <cell r="AA539">
            <v>246.4</v>
          </cell>
          <cell r="AJ539">
            <v>231.05</v>
          </cell>
          <cell r="AS539">
            <v>189.2</v>
          </cell>
          <cell r="BB539">
            <v>189.2</v>
          </cell>
          <cell r="BK539">
            <v>188.31</v>
          </cell>
          <cell r="BT539">
            <v>217.98</v>
          </cell>
          <cell r="CC539">
            <v>239.59199999999998</v>
          </cell>
          <cell r="CU539">
            <v>147.80000000000001</v>
          </cell>
          <cell r="DV539">
            <v>233.5</v>
          </cell>
        </row>
        <row r="540">
          <cell r="A540">
            <v>197</v>
          </cell>
          <cell r="B540" t="str">
            <v>IPRM</v>
          </cell>
          <cell r="C540" t="str">
            <v>NM</v>
          </cell>
          <cell r="D540" t="str">
            <v>ALCOHOL-HYDROCARBON</v>
          </cell>
        </row>
        <row r="541">
          <cell r="A541">
            <v>198</v>
          </cell>
          <cell r="B541" t="str">
            <v>IPRM</v>
          </cell>
          <cell r="C541" t="str">
            <v>NM</v>
          </cell>
          <cell r="D541" t="str">
            <v>Int. Alc. V1218</v>
          </cell>
          <cell r="CC541">
            <v>533.86865</v>
          </cell>
        </row>
        <row r="542">
          <cell r="A542">
            <v>199</v>
          </cell>
          <cell r="B542" t="str">
            <v>IPRM</v>
          </cell>
          <cell r="C542" t="str">
            <v>NM</v>
          </cell>
          <cell r="D542" t="str">
            <v>Int. Alc. V1216</v>
          </cell>
          <cell r="I542">
            <v>366.2</v>
          </cell>
          <cell r="R542">
            <v>436.8</v>
          </cell>
          <cell r="AA542">
            <v>439.1</v>
          </cell>
          <cell r="BB542">
            <v>442.3</v>
          </cell>
          <cell r="BK542">
            <v>444.7</v>
          </cell>
          <cell r="BT542">
            <v>424.9</v>
          </cell>
          <cell r="CC542">
            <v>388.7</v>
          </cell>
          <cell r="CL542">
            <v>242</v>
          </cell>
          <cell r="CU542">
            <v>180.4</v>
          </cell>
          <cell r="DD542">
            <v>180.4</v>
          </cell>
          <cell r="DM542">
            <v>180.4</v>
          </cell>
          <cell r="EN542">
            <v>1611.2</v>
          </cell>
        </row>
        <row r="543">
          <cell r="A543">
            <v>200</v>
          </cell>
          <cell r="B543" t="str">
            <v>IPRM</v>
          </cell>
          <cell r="C543" t="str">
            <v>NM</v>
          </cell>
          <cell r="D543" t="str">
            <v>Int. Alc. V1618</v>
          </cell>
          <cell r="AJ543">
            <v>1077.19</v>
          </cell>
          <cell r="AS543">
            <v>1550.1499999999999</v>
          </cell>
          <cell r="BB543">
            <v>1309.9000000000001</v>
          </cell>
          <cell r="BK543">
            <v>1303.5999999999999</v>
          </cell>
          <cell r="BT543">
            <v>1678.4</v>
          </cell>
          <cell r="CC543">
            <v>1682.06</v>
          </cell>
          <cell r="CL543">
            <v>541.34</v>
          </cell>
          <cell r="DD543">
            <v>538.13</v>
          </cell>
          <cell r="DM543">
            <v>502.8</v>
          </cell>
          <cell r="DV543">
            <v>1849.83</v>
          </cell>
          <cell r="EE543">
            <v>1624.414</v>
          </cell>
        </row>
        <row r="544">
          <cell r="A544">
            <v>259</v>
          </cell>
          <cell r="B544" t="str">
            <v>IPRM</v>
          </cell>
          <cell r="C544" t="str">
            <v>NM</v>
          </cell>
          <cell r="D544" t="str">
            <v>Int. Alc. V1822</v>
          </cell>
          <cell r="DV544">
            <v>241.345</v>
          </cell>
          <cell r="EE544">
            <v>241.345</v>
          </cell>
          <cell r="EN544">
            <v>621.29</v>
          </cell>
        </row>
        <row r="545">
          <cell r="A545">
            <v>201</v>
          </cell>
          <cell r="B545" t="str">
            <v>IPRM</v>
          </cell>
          <cell r="C545" t="str">
            <v>NM</v>
          </cell>
          <cell r="D545" t="str">
            <v>Wax ester 1214/1618</v>
          </cell>
        </row>
        <row r="546">
          <cell r="A546">
            <v>202</v>
          </cell>
          <cell r="B546" t="str">
            <v>IPRM</v>
          </cell>
          <cell r="C546" t="str">
            <v>NM</v>
          </cell>
          <cell r="D546" t="str">
            <v>Wax ester 1216/1218</v>
          </cell>
        </row>
        <row r="547">
          <cell r="A547">
            <v>203</v>
          </cell>
          <cell r="B547" t="str">
            <v>IPRM</v>
          </cell>
          <cell r="C547" t="str">
            <v>SM</v>
          </cell>
          <cell r="D547" t="str">
            <v>ALCOHOL Residue 1618</v>
          </cell>
          <cell r="I547">
            <v>390.4</v>
          </cell>
          <cell r="R547">
            <v>390.4</v>
          </cell>
          <cell r="AA547">
            <v>390.4</v>
          </cell>
          <cell r="CL547">
            <v>390.4</v>
          </cell>
        </row>
        <row r="548">
          <cell r="A548">
            <v>204</v>
          </cell>
          <cell r="B548" t="str">
            <v>IPRM</v>
          </cell>
          <cell r="C548" t="str">
            <v>SM</v>
          </cell>
          <cell r="D548" t="str">
            <v>ALCOHOL Residue 1822</v>
          </cell>
        </row>
        <row r="549">
          <cell r="A549">
            <v>205</v>
          </cell>
          <cell r="B549" t="str">
            <v>IPRM</v>
          </cell>
          <cell r="C549" t="str">
            <v>SM</v>
          </cell>
          <cell r="D549" t="str">
            <v>ALCOHOL Residue 2022</v>
          </cell>
          <cell r="I549">
            <v>74.510000000000005</v>
          </cell>
          <cell r="R549">
            <v>73.319999999999993</v>
          </cell>
          <cell r="AA549">
            <v>73.319999999999993</v>
          </cell>
          <cell r="CL549">
            <v>102.56</v>
          </cell>
          <cell r="CU549">
            <v>102.57</v>
          </cell>
          <cell r="DD549">
            <v>67.88</v>
          </cell>
          <cell r="DM549">
            <v>67.7</v>
          </cell>
          <cell r="EE549">
            <v>99.603200000000001</v>
          </cell>
          <cell r="EN549">
            <v>99.563700000000011</v>
          </cell>
        </row>
        <row r="550">
          <cell r="A550">
            <v>206</v>
          </cell>
          <cell r="B550" t="str">
            <v>IPRM</v>
          </cell>
          <cell r="C550" t="str">
            <v>SM</v>
          </cell>
          <cell r="D550" t="str">
            <v>ALCOHOL B/P&gt;C18</v>
          </cell>
          <cell r="CL550">
            <v>136.6</v>
          </cell>
          <cell r="CU550">
            <v>390.4</v>
          </cell>
          <cell r="DD550">
            <v>538.20000000000005</v>
          </cell>
          <cell r="DM550">
            <v>546.79999999999995</v>
          </cell>
          <cell r="EE550">
            <v>165.7474714285714</v>
          </cell>
          <cell r="EN550">
            <v>161.8566857142857</v>
          </cell>
        </row>
        <row r="551">
          <cell r="A551">
            <v>207</v>
          </cell>
          <cell r="B551" t="str">
            <v>IPRM</v>
          </cell>
          <cell r="C551" t="str">
            <v>SM</v>
          </cell>
          <cell r="D551" t="str">
            <v>Crude Alc. 1216</v>
          </cell>
        </row>
        <row r="552">
          <cell r="F552">
            <v>0</v>
          </cell>
          <cell r="G552">
            <v>0</v>
          </cell>
          <cell r="H552">
            <v>0</v>
          </cell>
          <cell r="I552">
            <v>2406.7100000000005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2473.1200000000003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2390.5200000000004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3757.64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3703.5659999999998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3958.98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3668.6728799999996</v>
          </cell>
          <cell r="BL552">
            <v>0</v>
          </cell>
          <cell r="BM552">
            <v>0</v>
          </cell>
          <cell r="BN552">
            <v>0</v>
          </cell>
          <cell r="BO552">
            <v>0</v>
          </cell>
          <cell r="BP552">
            <v>0</v>
          </cell>
          <cell r="BQ552">
            <v>0</v>
          </cell>
          <cell r="BR552">
            <v>0</v>
          </cell>
          <cell r="BS552">
            <v>0</v>
          </cell>
          <cell r="BT552">
            <v>3694.9250000000002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4215.2966500000002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2705.4</v>
          </cell>
          <cell r="CM552">
            <v>0</v>
          </cell>
          <cell r="CN552">
            <v>0</v>
          </cell>
          <cell r="CO552">
            <v>0</v>
          </cell>
          <cell r="CP552">
            <v>0</v>
          </cell>
          <cell r="CQ552">
            <v>0</v>
          </cell>
          <cell r="CR552">
            <v>0</v>
          </cell>
          <cell r="CS552">
            <v>0</v>
          </cell>
          <cell r="CT552">
            <v>0</v>
          </cell>
          <cell r="CU552">
            <v>2477.0700000000002</v>
          </cell>
          <cell r="CV552">
            <v>0</v>
          </cell>
          <cell r="CW552">
            <v>0</v>
          </cell>
          <cell r="CX552">
            <v>0</v>
          </cell>
          <cell r="CY552">
            <v>0</v>
          </cell>
          <cell r="CZ552">
            <v>0</v>
          </cell>
          <cell r="DA552">
            <v>0</v>
          </cell>
          <cell r="DB552">
            <v>0</v>
          </cell>
          <cell r="DC552">
            <v>0</v>
          </cell>
          <cell r="DD552">
            <v>3144.6100000000006</v>
          </cell>
          <cell r="DE552">
            <v>0</v>
          </cell>
          <cell r="DF552">
            <v>0</v>
          </cell>
          <cell r="DG552">
            <v>0</v>
          </cell>
          <cell r="DH552">
            <v>0</v>
          </cell>
          <cell r="DI552">
            <v>0</v>
          </cell>
          <cell r="DJ552">
            <v>0</v>
          </cell>
          <cell r="DK552">
            <v>0</v>
          </cell>
          <cell r="DL552">
            <v>0</v>
          </cell>
          <cell r="DM552">
            <v>3122.2</v>
          </cell>
          <cell r="DN552">
            <v>0</v>
          </cell>
          <cell r="DO552">
            <v>0</v>
          </cell>
          <cell r="DP552">
            <v>0</v>
          </cell>
          <cell r="DQ552">
            <v>0</v>
          </cell>
          <cell r="DR552">
            <v>0</v>
          </cell>
          <cell r="DS552">
            <v>0</v>
          </cell>
          <cell r="DT552">
            <v>0</v>
          </cell>
          <cell r="DU552">
            <v>0</v>
          </cell>
          <cell r="DV552">
            <v>4723.2550000000001</v>
          </cell>
          <cell r="DW552">
            <v>0</v>
          </cell>
          <cell r="DX552">
            <v>0</v>
          </cell>
          <cell r="DY552">
            <v>0</v>
          </cell>
          <cell r="DZ552">
            <v>0</v>
          </cell>
          <cell r="EA552">
            <v>0</v>
          </cell>
          <cell r="EB552">
            <v>0</v>
          </cell>
          <cell r="EC552">
            <v>0</v>
          </cell>
          <cell r="ED552">
            <v>0</v>
          </cell>
          <cell r="EE552">
            <v>4054.5176314285713</v>
          </cell>
          <cell r="EF552">
            <v>0</v>
          </cell>
          <cell r="EG552">
            <v>0</v>
          </cell>
          <cell r="EH552">
            <v>0</v>
          </cell>
          <cell r="EI552">
            <v>0</v>
          </cell>
          <cell r="EJ552">
            <v>0</v>
          </cell>
          <cell r="EK552">
            <v>0</v>
          </cell>
          <cell r="EL552">
            <v>0</v>
          </cell>
          <cell r="EM552">
            <v>0</v>
          </cell>
          <cell r="EN552">
            <v>4095.0329457142857</v>
          </cell>
          <cell r="EO552">
            <v>0</v>
          </cell>
          <cell r="EP552">
            <v>0</v>
          </cell>
          <cell r="EQ552">
            <v>0</v>
          </cell>
          <cell r="ER552">
            <v>0</v>
          </cell>
          <cell r="ES552">
            <v>0</v>
          </cell>
        </row>
        <row r="553">
          <cell r="A553" t="str">
            <v>SOAP NOODLES</v>
          </cell>
        </row>
        <row r="554">
          <cell r="A554">
            <v>208</v>
          </cell>
          <cell r="B554" t="str">
            <v>FG</v>
          </cell>
          <cell r="C554" t="str">
            <v>FM</v>
          </cell>
          <cell r="D554" t="str">
            <v>DETTOL</v>
          </cell>
          <cell r="E554" t="str">
            <v>AL</v>
          </cell>
          <cell r="I554">
            <v>6</v>
          </cell>
          <cell r="M554">
            <v>7.2</v>
          </cell>
          <cell r="N554">
            <v>50.42</v>
          </cell>
          <cell r="R554">
            <v>0</v>
          </cell>
          <cell r="W554">
            <v>56.17</v>
          </cell>
          <cell r="AF554">
            <v>8.9149999999999991</v>
          </cell>
          <cell r="AJ554">
            <v>5</v>
          </cell>
          <cell r="AO554">
            <v>8.92</v>
          </cell>
          <cell r="AS554">
            <v>142.5</v>
          </cell>
          <cell r="AX554">
            <v>8.92</v>
          </cell>
          <cell r="BB554">
            <v>61.5</v>
          </cell>
          <cell r="BG554">
            <v>8.92</v>
          </cell>
          <cell r="BK554">
            <v>117.1</v>
          </cell>
          <cell r="BO554">
            <v>64.400000000000006</v>
          </cell>
          <cell r="BP554">
            <v>24.92</v>
          </cell>
          <cell r="BT554">
            <v>27.1</v>
          </cell>
          <cell r="BY554">
            <v>109.32</v>
          </cell>
          <cell r="CC554">
            <v>11.1</v>
          </cell>
          <cell r="CH554">
            <v>46.69</v>
          </cell>
          <cell r="CL554">
            <v>39.6</v>
          </cell>
          <cell r="CP554">
            <v>454</v>
          </cell>
          <cell r="CQ554">
            <v>493.6</v>
          </cell>
          <cell r="CZ554">
            <v>40.79</v>
          </cell>
          <cell r="DD554">
            <v>26.3</v>
          </cell>
          <cell r="DH554">
            <v>24</v>
          </cell>
          <cell r="DM554">
            <v>84.7</v>
          </cell>
          <cell r="DQ554">
            <v>57.6</v>
          </cell>
          <cell r="DR554">
            <v>142.30000000000001</v>
          </cell>
          <cell r="DV554">
            <v>25.95</v>
          </cell>
          <cell r="EA554">
            <v>63.14</v>
          </cell>
          <cell r="EE554">
            <v>20.6</v>
          </cell>
          <cell r="EJ554">
            <v>14.39</v>
          </cell>
          <cell r="EN554">
            <v>32.6</v>
          </cell>
          <cell r="ES554">
            <v>14.39</v>
          </cell>
        </row>
        <row r="555">
          <cell r="A555">
            <v>209</v>
          </cell>
          <cell r="B555" t="str">
            <v>FG</v>
          </cell>
          <cell r="C555" t="str">
            <v>FM</v>
          </cell>
          <cell r="D555" t="str">
            <v>DETTOL SKINCARE</v>
          </cell>
          <cell r="I555">
            <v>64.680000000000007</v>
          </cell>
          <cell r="N555">
            <v>7.5</v>
          </cell>
          <cell r="R555">
            <v>86</v>
          </cell>
          <cell r="W555">
            <v>7.5</v>
          </cell>
          <cell r="AF555">
            <v>7.5</v>
          </cell>
          <cell r="AJ555">
            <v>36</v>
          </cell>
          <cell r="AO555">
            <v>7.5</v>
          </cell>
          <cell r="AS555">
            <v>0</v>
          </cell>
          <cell r="AX555">
            <v>7.5</v>
          </cell>
          <cell r="BB555">
            <v>0</v>
          </cell>
          <cell r="BG555">
            <v>7.5</v>
          </cell>
          <cell r="BK555">
            <v>0</v>
          </cell>
          <cell r="BP555">
            <v>7.5</v>
          </cell>
          <cell r="BT555">
            <v>0</v>
          </cell>
          <cell r="BY555">
            <v>7.5</v>
          </cell>
          <cell r="CC555">
            <v>0</v>
          </cell>
          <cell r="CH555">
            <v>7.5</v>
          </cell>
          <cell r="CZ555">
            <v>7.5</v>
          </cell>
          <cell r="DI555">
            <v>7.5</v>
          </cell>
          <cell r="DM555">
            <v>104</v>
          </cell>
          <cell r="DR555">
            <v>104</v>
          </cell>
          <cell r="DV555">
            <v>0</v>
          </cell>
          <cell r="EA555">
            <v>7.5</v>
          </cell>
          <cell r="EE555">
            <v>0</v>
          </cell>
          <cell r="EJ555">
            <v>7.5</v>
          </cell>
          <cell r="EN555">
            <v>0</v>
          </cell>
          <cell r="ES555">
            <v>7.5</v>
          </cell>
        </row>
        <row r="556">
          <cell r="A556">
            <v>210</v>
          </cell>
          <cell r="B556" t="str">
            <v>FG</v>
          </cell>
          <cell r="C556" t="str">
            <v>FM</v>
          </cell>
          <cell r="D556" t="str">
            <v>JBMS 40:60</v>
          </cell>
          <cell r="E556" t="str">
            <v>W</v>
          </cell>
          <cell r="I556">
            <v>45.8</v>
          </cell>
          <cell r="J556">
            <v>32</v>
          </cell>
          <cell r="M556">
            <v>97.2</v>
          </cell>
          <cell r="N556">
            <v>237.6</v>
          </cell>
          <cell r="R556">
            <v>34</v>
          </cell>
          <cell r="S556">
            <v>40.4</v>
          </cell>
          <cell r="V556">
            <v>264</v>
          </cell>
          <cell r="W556">
            <v>167.6</v>
          </cell>
          <cell r="AB556">
            <v>48</v>
          </cell>
          <cell r="AF556">
            <v>278.8</v>
          </cell>
          <cell r="AJ556">
            <v>17</v>
          </cell>
          <cell r="AK556">
            <v>48</v>
          </cell>
          <cell r="AO556">
            <v>235.6</v>
          </cell>
          <cell r="AS556">
            <v>0</v>
          </cell>
          <cell r="AT556">
            <v>48</v>
          </cell>
          <cell r="AW556">
            <v>86</v>
          </cell>
          <cell r="AX556">
            <v>326.8</v>
          </cell>
          <cell r="BB556">
            <v>0</v>
          </cell>
          <cell r="BC556">
            <v>48</v>
          </cell>
          <cell r="BF556">
            <v>36.4</v>
          </cell>
          <cell r="BG556">
            <v>293.60000000000002</v>
          </cell>
          <cell r="BK556">
            <v>0</v>
          </cell>
          <cell r="BL556">
            <v>34.799999999999997</v>
          </cell>
          <cell r="BP556">
            <v>181.2</v>
          </cell>
          <cell r="BT556">
            <v>0</v>
          </cell>
          <cell r="BU556">
            <v>6.4</v>
          </cell>
          <cell r="BX556">
            <v>64</v>
          </cell>
          <cell r="BY556">
            <v>89.6</v>
          </cell>
          <cell r="CC556">
            <v>88</v>
          </cell>
          <cell r="CD556">
            <v>6.4</v>
          </cell>
          <cell r="CH556">
            <v>0.2</v>
          </cell>
          <cell r="CV556">
            <v>6.4</v>
          </cell>
          <cell r="CY556">
            <v>42.8</v>
          </cell>
          <cell r="CZ556">
            <v>156.19999999999999</v>
          </cell>
          <cell r="DD556">
            <v>8</v>
          </cell>
          <cell r="DE556">
            <v>6.4</v>
          </cell>
          <cell r="DM556">
            <v>2.4</v>
          </cell>
          <cell r="DN556">
            <v>6.4</v>
          </cell>
          <cell r="DQ556">
            <v>350.8</v>
          </cell>
          <cell r="DR556">
            <v>359.6</v>
          </cell>
          <cell r="DV556">
            <v>2.4</v>
          </cell>
          <cell r="DW556">
            <v>6.4</v>
          </cell>
          <cell r="EA556">
            <v>262.2</v>
          </cell>
          <cell r="EE556">
            <v>102.2</v>
          </cell>
          <cell r="EF556">
            <v>6.4</v>
          </cell>
          <cell r="EI556">
            <v>36.799999999999997</v>
          </cell>
          <cell r="EJ556">
            <v>170.2</v>
          </cell>
          <cell r="EN556">
            <v>0</v>
          </cell>
          <cell r="EO556">
            <v>24.8</v>
          </cell>
          <cell r="ER556">
            <v>32.4</v>
          </cell>
          <cell r="ES556">
            <v>398.6</v>
          </cell>
        </row>
        <row r="557">
          <cell r="A557">
            <v>211</v>
          </cell>
          <cell r="B557" t="str">
            <v>FG</v>
          </cell>
          <cell r="C557" t="str">
            <v>FM</v>
          </cell>
          <cell r="D557" t="str">
            <v>JNC 99</v>
          </cell>
          <cell r="E557">
            <v>99</v>
          </cell>
          <cell r="I557">
            <v>2</v>
          </cell>
          <cell r="J557">
            <v>26.1</v>
          </cell>
          <cell r="N557">
            <v>100.01</v>
          </cell>
          <cell r="R557">
            <v>2</v>
          </cell>
          <cell r="S557">
            <v>24.9</v>
          </cell>
          <cell r="W557">
            <v>68.41</v>
          </cell>
          <cell r="AB557">
            <v>5.3</v>
          </cell>
          <cell r="AF557">
            <v>35.61</v>
          </cell>
          <cell r="AJ557">
            <v>10.6</v>
          </cell>
          <cell r="AK557">
            <v>5.3</v>
          </cell>
          <cell r="AO557">
            <v>140.01</v>
          </cell>
          <cell r="AS557">
            <v>2</v>
          </cell>
          <cell r="AT557">
            <v>5.3</v>
          </cell>
          <cell r="AX557">
            <v>87.61</v>
          </cell>
          <cell r="BB557">
            <v>2</v>
          </cell>
          <cell r="BG557">
            <v>87.61</v>
          </cell>
          <cell r="BK557">
            <v>2</v>
          </cell>
          <cell r="BL557">
            <v>5.3</v>
          </cell>
          <cell r="BP557">
            <v>60.01</v>
          </cell>
          <cell r="BT557">
            <v>0</v>
          </cell>
          <cell r="BU557">
            <v>5.3</v>
          </cell>
          <cell r="BX557">
            <v>16</v>
          </cell>
          <cell r="BY557">
            <v>93.61</v>
          </cell>
          <cell r="CC557">
            <v>5.5999999999999943</v>
          </cell>
          <cell r="CD557">
            <v>5.3</v>
          </cell>
          <cell r="CG557">
            <v>114.4</v>
          </cell>
          <cell r="CH557">
            <v>109.61</v>
          </cell>
          <cell r="CL557">
            <v>27</v>
          </cell>
          <cell r="CQ557">
            <v>27</v>
          </cell>
          <cell r="CU557">
            <v>8.1999999999999993</v>
          </cell>
          <cell r="CV557">
            <v>5.3</v>
          </cell>
          <cell r="CY557">
            <v>2.8</v>
          </cell>
          <cell r="CZ557">
            <v>135.61000000000001</v>
          </cell>
          <cell r="DD557">
            <v>71.599999999999994</v>
          </cell>
          <cell r="DE557">
            <v>5.3</v>
          </cell>
          <cell r="DH557">
            <v>8.4</v>
          </cell>
          <cell r="DI557">
            <v>101.61</v>
          </cell>
          <cell r="DN557">
            <v>5.3</v>
          </cell>
          <cell r="DR557">
            <v>5.3</v>
          </cell>
          <cell r="DV557">
            <v>91</v>
          </cell>
          <cell r="DW557">
            <v>5.3</v>
          </cell>
          <cell r="EA557">
            <v>118.81</v>
          </cell>
          <cell r="EE557">
            <v>38.799999999999997</v>
          </cell>
          <cell r="EF557">
            <v>5.3</v>
          </cell>
          <cell r="EI557">
            <v>7.2</v>
          </cell>
          <cell r="EJ557">
            <v>276.41000000000003</v>
          </cell>
          <cell r="EN557">
            <v>0</v>
          </cell>
          <cell r="EO557">
            <v>85.3</v>
          </cell>
          <cell r="ES557">
            <v>231.21</v>
          </cell>
        </row>
        <row r="558">
          <cell r="A558">
            <v>212</v>
          </cell>
          <cell r="B558" t="str">
            <v>FG</v>
          </cell>
          <cell r="C558" t="str">
            <v>FM</v>
          </cell>
          <cell r="D558" t="str">
            <v>JO TF 70%</v>
          </cell>
          <cell r="E558" t="str">
            <v>TF</v>
          </cell>
          <cell r="I558">
            <v>14</v>
          </cell>
          <cell r="J558">
            <v>48.963999999999999</v>
          </cell>
          <cell r="N558">
            <v>42</v>
          </cell>
          <cell r="R558">
            <v>0</v>
          </cell>
          <cell r="S558">
            <v>112.964</v>
          </cell>
          <cell r="V558">
            <v>242.4</v>
          </cell>
          <cell r="W558">
            <v>63.2</v>
          </cell>
          <cell r="AB558">
            <v>244.26400000000001</v>
          </cell>
          <cell r="AF558">
            <v>35.6</v>
          </cell>
          <cell r="AJ558">
            <v>153.19999999999999</v>
          </cell>
          <cell r="AK558">
            <v>215.864</v>
          </cell>
          <cell r="AN558">
            <v>16</v>
          </cell>
          <cell r="AO558">
            <v>227.6</v>
          </cell>
          <cell r="AS558">
            <v>16</v>
          </cell>
          <cell r="AT558">
            <v>179.16399999999999</v>
          </cell>
          <cell r="AW558">
            <v>86</v>
          </cell>
          <cell r="AX558">
            <v>150.80000000000001</v>
          </cell>
          <cell r="BB558">
            <v>132</v>
          </cell>
          <cell r="BC558">
            <v>165.76400000000001</v>
          </cell>
          <cell r="BF558">
            <v>5.2</v>
          </cell>
          <cell r="BG558">
            <v>154</v>
          </cell>
          <cell r="BK558">
            <v>19.2</v>
          </cell>
          <cell r="BL558">
            <v>274.81399999999996</v>
          </cell>
          <cell r="BO558">
            <v>261.60000000000002</v>
          </cell>
          <cell r="BP558">
            <v>94</v>
          </cell>
          <cell r="BT558">
            <v>0</v>
          </cell>
          <cell r="BU558">
            <v>284.21099999999996</v>
          </cell>
          <cell r="BY558">
            <v>142.4</v>
          </cell>
          <cell r="CC558">
            <v>0</v>
          </cell>
          <cell r="CD558">
            <v>217.411</v>
          </cell>
          <cell r="CG558">
            <v>265.2</v>
          </cell>
          <cell r="CH558">
            <v>12.4</v>
          </cell>
          <cell r="CV558">
            <v>114.211</v>
          </cell>
          <cell r="CY558">
            <v>32.799999999999997</v>
          </cell>
          <cell r="CZ558">
            <v>362.42</v>
          </cell>
          <cell r="DE558">
            <v>60.761000000000003</v>
          </cell>
          <cell r="DH558">
            <v>178.4</v>
          </cell>
          <cell r="DI558">
            <v>42.62</v>
          </cell>
          <cell r="DN558">
            <v>217.011</v>
          </cell>
          <cell r="DQ558">
            <v>71.2</v>
          </cell>
          <cell r="DR558">
            <v>288.21100000000001</v>
          </cell>
          <cell r="DV558">
            <v>0</v>
          </cell>
          <cell r="DW558">
            <v>349.911</v>
          </cell>
          <cell r="DZ558">
            <v>47.7</v>
          </cell>
          <cell r="EA558">
            <v>62.99</v>
          </cell>
          <cell r="EE558">
            <v>0</v>
          </cell>
          <cell r="EF558">
            <v>305.01100000000002</v>
          </cell>
          <cell r="EI558">
            <v>108</v>
          </cell>
          <cell r="EJ558">
            <v>103.87</v>
          </cell>
          <cell r="EN558">
            <v>149</v>
          </cell>
          <cell r="EO558">
            <v>219.61099999999999</v>
          </cell>
          <cell r="ER558">
            <v>234.3</v>
          </cell>
          <cell r="ES558">
            <v>0.11</v>
          </cell>
        </row>
        <row r="559">
          <cell r="A559">
            <v>213</v>
          </cell>
          <cell r="B559" t="str">
            <v>FG</v>
          </cell>
          <cell r="C559" t="str">
            <v>FM</v>
          </cell>
          <cell r="D559" t="str">
            <v>DR TF 70%</v>
          </cell>
          <cell r="E559" t="str">
            <v>TF D</v>
          </cell>
          <cell r="I559">
            <v>0</v>
          </cell>
          <cell r="M559">
            <v>33.6</v>
          </cell>
          <cell r="N559">
            <v>18.8</v>
          </cell>
          <cell r="R559">
            <v>0</v>
          </cell>
          <cell r="AJ559">
            <v>0</v>
          </cell>
          <cell r="AO559">
            <v>102.8</v>
          </cell>
          <cell r="AS559">
            <v>67.599999999999994</v>
          </cell>
          <cell r="AW559">
            <v>111.2</v>
          </cell>
          <cell r="AX559">
            <v>15.2</v>
          </cell>
          <cell r="BB559">
            <v>51.8</v>
          </cell>
          <cell r="BF559">
            <v>62.4</v>
          </cell>
          <cell r="BG559">
            <v>42</v>
          </cell>
          <cell r="BK559">
            <v>5.8000000000000114</v>
          </cell>
          <cell r="BO559">
            <v>312</v>
          </cell>
          <cell r="BP559">
            <v>110.8</v>
          </cell>
          <cell r="BT559">
            <v>0</v>
          </cell>
          <cell r="BX559">
            <v>127.6</v>
          </cell>
          <cell r="BY559">
            <v>227.6</v>
          </cell>
          <cell r="CC559">
            <v>0</v>
          </cell>
          <cell r="CH559">
            <v>72.8</v>
          </cell>
          <cell r="CL559">
            <v>69</v>
          </cell>
          <cell r="CQ559">
            <v>69</v>
          </cell>
          <cell r="CU559">
            <v>84</v>
          </cell>
          <cell r="CY559">
            <v>250</v>
          </cell>
          <cell r="CZ559">
            <v>103.2</v>
          </cell>
          <cell r="DH559">
            <v>238.2</v>
          </cell>
          <cell r="DI559">
            <v>247.98999999999998</v>
          </cell>
          <cell r="DN559">
            <v>48.8</v>
          </cell>
          <cell r="DQ559">
            <v>262.8</v>
          </cell>
          <cell r="DR559">
            <v>311.60000000000002</v>
          </cell>
          <cell r="DV559">
            <v>0</v>
          </cell>
          <cell r="DZ559">
            <v>64.400000000000006</v>
          </cell>
          <cell r="EA559">
            <v>306.8</v>
          </cell>
          <cell r="EE559">
            <v>0</v>
          </cell>
          <cell r="EJ559">
            <v>60</v>
          </cell>
          <cell r="EN559">
            <v>0</v>
          </cell>
          <cell r="EO559">
            <v>84.6</v>
          </cell>
          <cell r="ER559">
            <v>159</v>
          </cell>
        </row>
        <row r="560">
          <cell r="A560">
            <v>214</v>
          </cell>
          <cell r="B560" t="str">
            <v>FG</v>
          </cell>
          <cell r="C560" t="str">
            <v>FM</v>
          </cell>
          <cell r="D560" t="str">
            <v>JO ALMOND W TF 70%</v>
          </cell>
          <cell r="E560" t="str">
            <v>VITAVON W TF</v>
          </cell>
          <cell r="I560">
            <v>0</v>
          </cell>
          <cell r="J560">
            <v>156.80000000000001</v>
          </cell>
          <cell r="N560">
            <v>189.6</v>
          </cell>
          <cell r="R560">
            <v>0</v>
          </cell>
          <cell r="S560">
            <v>64.8</v>
          </cell>
          <cell r="W560">
            <v>136</v>
          </cell>
          <cell r="AB560">
            <v>62</v>
          </cell>
          <cell r="AF560">
            <v>48.8</v>
          </cell>
          <cell r="AJ560">
            <v>0</v>
          </cell>
          <cell r="AK560">
            <v>99.2</v>
          </cell>
          <cell r="AN560">
            <v>48.8</v>
          </cell>
          <cell r="AO560">
            <v>73.599999999999994</v>
          </cell>
          <cell r="AS560">
            <v>0</v>
          </cell>
          <cell r="AT560">
            <v>63.6</v>
          </cell>
          <cell r="AX560">
            <v>141.19999999999999</v>
          </cell>
          <cell r="BB560">
            <v>0</v>
          </cell>
          <cell r="BC560">
            <v>63.6</v>
          </cell>
          <cell r="BG560">
            <v>78.8</v>
          </cell>
          <cell r="BK560">
            <v>0</v>
          </cell>
          <cell r="BL560">
            <v>16</v>
          </cell>
          <cell r="BP560">
            <v>3.2</v>
          </cell>
          <cell r="BT560">
            <v>99.2</v>
          </cell>
          <cell r="BX560">
            <v>35.200000000000003</v>
          </cell>
          <cell r="BY560">
            <v>3.2</v>
          </cell>
          <cell r="CC560">
            <v>0</v>
          </cell>
          <cell r="CD560">
            <v>205.2</v>
          </cell>
          <cell r="CG560">
            <v>33.200000000000003</v>
          </cell>
          <cell r="CH560">
            <v>155.6</v>
          </cell>
          <cell r="CU560">
            <v>33.9</v>
          </cell>
          <cell r="CV560">
            <v>57.2</v>
          </cell>
          <cell r="CY560">
            <v>16.399999999999999</v>
          </cell>
          <cell r="CZ560">
            <v>102</v>
          </cell>
          <cell r="DI560">
            <v>84</v>
          </cell>
          <cell r="DV560">
            <v>69.599999999999994</v>
          </cell>
          <cell r="DW560">
            <v>96</v>
          </cell>
          <cell r="DZ560">
            <v>169.6</v>
          </cell>
          <cell r="EE560">
            <v>0</v>
          </cell>
          <cell r="EF560">
            <v>90.8</v>
          </cell>
          <cell r="EJ560">
            <v>154.80000000000001</v>
          </cell>
          <cell r="EN560">
            <v>0</v>
          </cell>
          <cell r="EO560">
            <v>18</v>
          </cell>
          <cell r="ES560">
            <v>97.6</v>
          </cell>
        </row>
        <row r="561">
          <cell r="A561">
            <v>215</v>
          </cell>
          <cell r="B561" t="str">
            <v>FG</v>
          </cell>
          <cell r="C561" t="str">
            <v>FM</v>
          </cell>
          <cell r="D561" t="str">
            <v>AMWAY</v>
          </cell>
          <cell r="I561">
            <v>0</v>
          </cell>
          <cell r="M561">
            <v>154.80000000000001</v>
          </cell>
          <cell r="N561">
            <v>61.4</v>
          </cell>
          <cell r="R561">
            <v>0</v>
          </cell>
          <cell r="W561">
            <v>145</v>
          </cell>
          <cell r="AF561">
            <v>120.2</v>
          </cell>
          <cell r="AJ561">
            <v>0</v>
          </cell>
          <cell r="AO561">
            <v>106.6</v>
          </cell>
          <cell r="AS561">
            <v>0</v>
          </cell>
          <cell r="AX561">
            <v>75</v>
          </cell>
          <cell r="BB561">
            <v>0</v>
          </cell>
          <cell r="BG561">
            <v>75</v>
          </cell>
          <cell r="BK561">
            <v>0</v>
          </cell>
          <cell r="BP561">
            <v>75</v>
          </cell>
          <cell r="BT561">
            <v>0</v>
          </cell>
          <cell r="BX561">
            <v>49.2</v>
          </cell>
          <cell r="BY561">
            <v>168.2</v>
          </cell>
          <cell r="CC561">
            <v>0</v>
          </cell>
          <cell r="CH561">
            <v>217.4</v>
          </cell>
          <cell r="CY561">
            <v>1.2</v>
          </cell>
          <cell r="CZ561">
            <v>144.19999999999999</v>
          </cell>
          <cell r="DI561">
            <v>113</v>
          </cell>
          <cell r="DV561">
            <v>0</v>
          </cell>
          <cell r="EA561">
            <v>36.6</v>
          </cell>
          <cell r="EE561">
            <v>0</v>
          </cell>
          <cell r="EJ561">
            <v>107</v>
          </cell>
          <cell r="EN561">
            <v>0</v>
          </cell>
          <cell r="ES561">
            <v>33</v>
          </cell>
        </row>
        <row r="562">
          <cell r="A562">
            <v>216</v>
          </cell>
          <cell r="B562" t="str">
            <v>FG</v>
          </cell>
          <cell r="C562" t="str">
            <v>FM</v>
          </cell>
          <cell r="D562" t="str">
            <v>FA SAUDI</v>
          </cell>
          <cell r="I562">
            <v>22.3</v>
          </cell>
          <cell r="J562">
            <v>29.2</v>
          </cell>
          <cell r="R562">
            <v>22.3</v>
          </cell>
          <cell r="S562">
            <v>29.2</v>
          </cell>
          <cell r="AB562">
            <v>29.2</v>
          </cell>
          <cell r="AJ562">
            <v>14.3</v>
          </cell>
          <cell r="AK562">
            <v>29.2</v>
          </cell>
          <cell r="AS562">
            <v>14.3</v>
          </cell>
          <cell r="AT562">
            <v>29.2</v>
          </cell>
          <cell r="BB562">
            <v>14.3</v>
          </cell>
          <cell r="BC562">
            <v>29.2</v>
          </cell>
          <cell r="BK562">
            <v>14.3</v>
          </cell>
          <cell r="BT562">
            <v>14.3</v>
          </cell>
          <cell r="BU562">
            <v>29.2</v>
          </cell>
          <cell r="CC562">
            <v>7</v>
          </cell>
          <cell r="CD562">
            <v>29.2</v>
          </cell>
          <cell r="CL562">
            <v>189</v>
          </cell>
          <cell r="CQ562">
            <v>189</v>
          </cell>
          <cell r="CU562">
            <v>19</v>
          </cell>
          <cell r="CV562">
            <v>29.2</v>
          </cell>
          <cell r="DE562">
            <v>29.2</v>
          </cell>
          <cell r="DN562">
            <v>29.2</v>
          </cell>
          <cell r="DR562">
            <v>29.2</v>
          </cell>
          <cell r="DV562">
            <v>0</v>
          </cell>
          <cell r="DW562">
            <v>29.2</v>
          </cell>
          <cell r="EE562">
            <v>0</v>
          </cell>
          <cell r="EF562">
            <v>29.2</v>
          </cell>
          <cell r="EN562">
            <v>0</v>
          </cell>
          <cell r="EO562">
            <v>29.2</v>
          </cell>
        </row>
        <row r="563">
          <cell r="A563">
            <v>217</v>
          </cell>
          <cell r="B563" t="str">
            <v>FG</v>
          </cell>
          <cell r="C563" t="str">
            <v>FM</v>
          </cell>
          <cell r="D563" t="str">
            <v>LE CHAT</v>
          </cell>
          <cell r="I563">
            <v>23</v>
          </cell>
          <cell r="R563">
            <v>23</v>
          </cell>
          <cell r="AJ563">
            <v>23</v>
          </cell>
          <cell r="AS563">
            <v>23</v>
          </cell>
          <cell r="BB563">
            <v>23</v>
          </cell>
          <cell r="BK563">
            <v>23</v>
          </cell>
          <cell r="BT563">
            <v>23</v>
          </cell>
          <cell r="CC563">
            <v>23</v>
          </cell>
          <cell r="CL563">
            <v>23</v>
          </cell>
          <cell r="CQ563">
            <v>23</v>
          </cell>
          <cell r="DV563">
            <v>0</v>
          </cell>
          <cell r="EE563">
            <v>0</v>
          </cell>
          <cell r="EN563">
            <v>0</v>
          </cell>
        </row>
        <row r="564">
          <cell r="A564">
            <v>218</v>
          </cell>
          <cell r="B564" t="str">
            <v>FG</v>
          </cell>
          <cell r="C564" t="str">
            <v>FM</v>
          </cell>
          <cell r="D564" t="str">
            <v>SDM NOODLES</v>
          </cell>
          <cell r="I564">
            <v>26</v>
          </cell>
          <cell r="R564">
            <v>26</v>
          </cell>
          <cell r="AJ564">
            <v>26</v>
          </cell>
          <cell r="AS564">
            <v>26</v>
          </cell>
          <cell r="BB564">
            <v>26</v>
          </cell>
          <cell r="BK564">
            <v>26</v>
          </cell>
          <cell r="BT564">
            <v>26</v>
          </cell>
          <cell r="CC564">
            <v>26</v>
          </cell>
          <cell r="CL564">
            <v>26</v>
          </cell>
          <cell r="CQ564">
            <v>26</v>
          </cell>
          <cell r="CU564">
            <v>16</v>
          </cell>
          <cell r="DD564">
            <v>16</v>
          </cell>
          <cell r="DM564">
            <v>16</v>
          </cell>
          <cell r="DR564">
            <v>16</v>
          </cell>
          <cell r="DV564">
            <v>16</v>
          </cell>
          <cell r="EE564">
            <v>16</v>
          </cell>
          <cell r="EN564">
            <v>16</v>
          </cell>
        </row>
        <row r="565">
          <cell r="A565">
            <v>219</v>
          </cell>
          <cell r="B565" t="str">
            <v>FG</v>
          </cell>
          <cell r="C565" t="str">
            <v>FM</v>
          </cell>
          <cell r="D565" t="str">
            <v>ITC</v>
          </cell>
          <cell r="I565">
            <v>0</v>
          </cell>
          <cell r="J565">
            <v>230.3</v>
          </cell>
          <cell r="R565">
            <v>0</v>
          </cell>
          <cell r="S565">
            <v>421.9</v>
          </cell>
          <cell r="AB565">
            <v>334.7</v>
          </cell>
          <cell r="AJ565">
            <v>0</v>
          </cell>
          <cell r="AK565">
            <v>273.10000000000002</v>
          </cell>
          <cell r="AS565">
            <v>0</v>
          </cell>
          <cell r="AT565">
            <v>308.5</v>
          </cell>
          <cell r="BB565">
            <v>0</v>
          </cell>
          <cell r="BC565">
            <v>281.3</v>
          </cell>
          <cell r="BK565">
            <v>0</v>
          </cell>
          <cell r="BL565">
            <v>224.1</v>
          </cell>
          <cell r="BT565">
            <v>0</v>
          </cell>
          <cell r="BU565">
            <v>138.1</v>
          </cell>
          <cell r="CC565">
            <v>0</v>
          </cell>
          <cell r="CD565">
            <v>187.7</v>
          </cell>
          <cell r="CV565">
            <v>347.9</v>
          </cell>
          <cell r="DE565">
            <v>379.3</v>
          </cell>
          <cell r="DN565">
            <v>371.3</v>
          </cell>
          <cell r="DR565">
            <v>371.3</v>
          </cell>
          <cell r="DV565">
            <v>0</v>
          </cell>
          <cell r="DW565">
            <v>283.3</v>
          </cell>
          <cell r="EE565">
            <v>0</v>
          </cell>
          <cell r="EF565">
            <v>317.3</v>
          </cell>
          <cell r="EN565">
            <v>0</v>
          </cell>
          <cell r="EO565">
            <v>275.10000000000002</v>
          </cell>
        </row>
        <row r="566">
          <cell r="A566">
            <v>220</v>
          </cell>
          <cell r="B566" t="str">
            <v>FG</v>
          </cell>
          <cell r="C566" t="str">
            <v>FM</v>
          </cell>
          <cell r="D566" t="str">
            <v>GENERAL NOODLES</v>
          </cell>
          <cell r="I566">
            <v>4.7249999999999996</v>
          </cell>
          <cell r="R566">
            <v>2.4</v>
          </cell>
          <cell r="AJ566">
            <v>2.4</v>
          </cell>
          <cell r="AS566">
            <v>38.200000000000003</v>
          </cell>
          <cell r="BB566">
            <v>38.200000000000003</v>
          </cell>
          <cell r="BK566">
            <v>38.200000000000003</v>
          </cell>
          <cell r="BT566">
            <v>25</v>
          </cell>
          <cell r="CC566">
            <v>32.1</v>
          </cell>
          <cell r="CL566">
            <v>44.1</v>
          </cell>
          <cell r="CQ566">
            <v>44.1</v>
          </cell>
          <cell r="CU566">
            <v>27.7</v>
          </cell>
          <cell r="DD566">
            <v>26.5</v>
          </cell>
          <cell r="DM566">
            <v>24.9</v>
          </cell>
          <cell r="DR566">
            <v>24.9</v>
          </cell>
          <cell r="DV566">
            <v>30.4</v>
          </cell>
          <cell r="EE566">
            <v>57.6</v>
          </cell>
          <cell r="EN566">
            <v>54.4</v>
          </cell>
        </row>
        <row r="567">
          <cell r="A567">
            <v>221</v>
          </cell>
          <cell r="B567" t="str">
            <v>FG</v>
          </cell>
          <cell r="C567" t="str">
            <v>FM</v>
          </cell>
          <cell r="D567" t="str">
            <v>NEAT SCRAP SOAP</v>
          </cell>
          <cell r="I567">
            <v>29</v>
          </cell>
          <cell r="R567">
            <v>29</v>
          </cell>
          <cell r="AJ567">
            <v>29</v>
          </cell>
          <cell r="AS567">
            <v>30</v>
          </cell>
          <cell r="BB567">
            <v>30</v>
          </cell>
          <cell r="BK567">
            <v>30</v>
          </cell>
          <cell r="BT567">
            <v>30</v>
          </cell>
          <cell r="CC567">
            <v>30</v>
          </cell>
          <cell r="CL567">
            <v>30</v>
          </cell>
          <cell r="CQ567">
            <v>30</v>
          </cell>
          <cell r="DV567">
            <v>30</v>
          </cell>
          <cell r="EE567">
            <v>30</v>
          </cell>
          <cell r="EN567">
            <v>10</v>
          </cell>
        </row>
        <row r="568">
          <cell r="A568">
            <v>222</v>
          </cell>
          <cell r="B568" t="str">
            <v>FG</v>
          </cell>
          <cell r="C568" t="str">
            <v>FM</v>
          </cell>
          <cell r="D568" t="str">
            <v>DAVID OPEC</v>
          </cell>
          <cell r="J568">
            <v>0.8</v>
          </cell>
          <cell r="S568">
            <v>0.8</v>
          </cell>
          <cell r="AB568">
            <v>0.8</v>
          </cell>
          <cell r="AK568">
            <v>0.8</v>
          </cell>
          <cell r="AT568">
            <v>0.8</v>
          </cell>
          <cell r="BC568">
            <v>0.8</v>
          </cell>
          <cell r="BL568">
            <v>0.8</v>
          </cell>
        </row>
        <row r="569">
          <cell r="A569">
            <v>223</v>
          </cell>
          <cell r="B569" t="str">
            <v>FG</v>
          </cell>
          <cell r="C569" t="str">
            <v>FM</v>
          </cell>
          <cell r="D569" t="str">
            <v>DABUR VATICA</v>
          </cell>
        </row>
        <row r="570">
          <cell r="A570">
            <v>224</v>
          </cell>
          <cell r="B570" t="str">
            <v>FG</v>
          </cell>
          <cell r="C570" t="str">
            <v>FM</v>
          </cell>
          <cell r="D570" t="str">
            <v>MARGO</v>
          </cell>
          <cell r="J570">
            <v>273.3</v>
          </cell>
          <cell r="S570">
            <v>341.35</v>
          </cell>
          <cell r="AB570">
            <v>353.65</v>
          </cell>
          <cell r="AK570">
            <v>289.64999999999998</v>
          </cell>
          <cell r="AT570">
            <v>257.64999999999998</v>
          </cell>
          <cell r="BC570">
            <v>241.65</v>
          </cell>
          <cell r="BL570">
            <v>209.65</v>
          </cell>
          <cell r="BU570">
            <v>209.65</v>
          </cell>
          <cell r="CD570">
            <v>209.65</v>
          </cell>
          <cell r="CV570">
            <v>209.65</v>
          </cell>
          <cell r="DE570">
            <v>209.65</v>
          </cell>
          <cell r="DN570">
            <v>209.65</v>
          </cell>
          <cell r="DR570">
            <v>209.65</v>
          </cell>
          <cell r="DW570">
            <v>209.65</v>
          </cell>
          <cell r="EF570">
            <v>209.65</v>
          </cell>
          <cell r="EO570">
            <v>209.65</v>
          </cell>
        </row>
        <row r="571">
          <cell r="A571">
            <v>225</v>
          </cell>
          <cell r="B571" t="str">
            <v>FG</v>
          </cell>
          <cell r="C571" t="str">
            <v>FM</v>
          </cell>
          <cell r="D571" t="str">
            <v>OIL BASED NOODLES</v>
          </cell>
        </row>
        <row r="572">
          <cell r="A572">
            <v>226</v>
          </cell>
          <cell r="B572" t="str">
            <v>FG</v>
          </cell>
          <cell r="C572" t="str">
            <v>SM</v>
          </cell>
          <cell r="D572" t="str">
            <v>TRANSLUCENT</v>
          </cell>
          <cell r="J572">
            <v>256.82299999999998</v>
          </cell>
          <cell r="M572">
            <v>16</v>
          </cell>
          <cell r="N572">
            <v>175.02</v>
          </cell>
          <cell r="S572">
            <v>162.048</v>
          </cell>
          <cell r="W572">
            <v>108.02</v>
          </cell>
          <cell r="AB572">
            <v>42.472999999999999</v>
          </cell>
          <cell r="AF572">
            <v>84.65</v>
          </cell>
          <cell r="AK572">
            <v>164.71799999999999</v>
          </cell>
          <cell r="AN572">
            <v>35.055</v>
          </cell>
          <cell r="AO572">
            <v>62.74</v>
          </cell>
          <cell r="AT572">
            <v>170.44300000000001</v>
          </cell>
          <cell r="AW572">
            <v>75.25</v>
          </cell>
          <cell r="AX572">
            <v>45.83</v>
          </cell>
          <cell r="BC572">
            <v>151.74299999999999</v>
          </cell>
          <cell r="BF572">
            <v>15.75</v>
          </cell>
          <cell r="BG572">
            <v>81.91</v>
          </cell>
          <cell r="BL572">
            <v>34.542999999999999</v>
          </cell>
          <cell r="BO572">
            <v>63.674999999999997</v>
          </cell>
          <cell r="BP572">
            <v>78.94</v>
          </cell>
          <cell r="BU572">
            <v>80.13</v>
          </cell>
          <cell r="BX572">
            <v>15.975</v>
          </cell>
          <cell r="BY572">
            <v>26.31</v>
          </cell>
          <cell r="CD572">
            <v>205.63</v>
          </cell>
          <cell r="CG572">
            <v>48.195999999999984</v>
          </cell>
          <cell r="CH572">
            <v>6.3</v>
          </cell>
          <cell r="CV572">
            <v>111.755</v>
          </cell>
          <cell r="DE572">
            <v>177.85499999999999</v>
          </cell>
          <cell r="DM572">
            <v>14.6</v>
          </cell>
          <cell r="DN572">
            <v>25.597999999999999</v>
          </cell>
          <cell r="DR572">
            <v>40.198</v>
          </cell>
          <cell r="DV572">
            <v>14.6</v>
          </cell>
          <cell r="DW572">
            <v>22.448</v>
          </cell>
          <cell r="EA572">
            <v>156.93</v>
          </cell>
          <cell r="EF572">
            <v>79.11</v>
          </cell>
          <cell r="EI572">
            <v>106.4</v>
          </cell>
          <cell r="EJ572">
            <v>74.430000000000007</v>
          </cell>
          <cell r="EO572">
            <v>95.11</v>
          </cell>
          <cell r="ES572">
            <v>66.03</v>
          </cell>
        </row>
        <row r="573">
          <cell r="A573">
            <v>227</v>
          </cell>
          <cell r="B573" t="str">
            <v>FG</v>
          </cell>
          <cell r="C573" t="str">
            <v>SM</v>
          </cell>
          <cell r="D573" t="str">
            <v>TETMOSOL</v>
          </cell>
        </row>
        <row r="574">
          <cell r="A574">
            <v>228</v>
          </cell>
          <cell r="B574" t="str">
            <v>FG</v>
          </cell>
          <cell r="C574" t="str">
            <v>FM</v>
          </cell>
          <cell r="D574" t="str">
            <v xml:space="preserve">J &amp; J </v>
          </cell>
          <cell r="J574">
            <v>0.8</v>
          </cell>
          <cell r="S574">
            <v>0.8</v>
          </cell>
          <cell r="AB574">
            <v>0.8</v>
          </cell>
          <cell r="AK574">
            <v>0.8</v>
          </cell>
          <cell r="AT574">
            <v>0.8</v>
          </cell>
          <cell r="BC574">
            <v>0.8</v>
          </cell>
          <cell r="BL574">
            <v>0.8</v>
          </cell>
        </row>
        <row r="575">
          <cell r="A575">
            <v>229</v>
          </cell>
          <cell r="B575" t="str">
            <v>FG</v>
          </cell>
          <cell r="C575" t="str">
            <v>FM</v>
          </cell>
          <cell r="D575" t="str">
            <v>JBS 80:20</v>
          </cell>
          <cell r="CZ575">
            <v>52</v>
          </cell>
          <cell r="DI575">
            <v>52</v>
          </cell>
        </row>
        <row r="576">
          <cell r="A576">
            <v>230</v>
          </cell>
          <cell r="B576" t="str">
            <v>FG</v>
          </cell>
          <cell r="C576" t="str">
            <v>FM</v>
          </cell>
          <cell r="D576" t="str">
            <v>IMPORTED NOODLES</v>
          </cell>
          <cell r="N576">
            <v>52</v>
          </cell>
          <cell r="W576">
            <v>52</v>
          </cell>
          <cell r="AF576">
            <v>52</v>
          </cell>
          <cell r="AO576">
            <v>52</v>
          </cell>
          <cell r="AX576">
            <v>52</v>
          </cell>
          <cell r="BG576">
            <v>52</v>
          </cell>
          <cell r="BP576">
            <v>52</v>
          </cell>
          <cell r="BY576">
            <v>52</v>
          </cell>
          <cell r="CH576">
            <v>52</v>
          </cell>
          <cell r="EA576">
            <v>52</v>
          </cell>
          <cell r="EJ576">
            <v>52</v>
          </cell>
          <cell r="ES576">
            <v>52</v>
          </cell>
        </row>
        <row r="577">
          <cell r="A577">
            <v>231</v>
          </cell>
          <cell r="B577" t="str">
            <v>FG</v>
          </cell>
          <cell r="C577" t="str">
            <v>FM</v>
          </cell>
          <cell r="D577" t="str">
            <v>HAWAI SYNDAATE BASE REGULER</v>
          </cell>
        </row>
        <row r="578">
          <cell r="F578">
            <v>0</v>
          </cell>
          <cell r="G578">
            <v>0</v>
          </cell>
          <cell r="H578">
            <v>0</v>
          </cell>
          <cell r="I578">
            <v>237.50500000000002</v>
          </cell>
          <cell r="J578">
            <v>1055.0869999999998</v>
          </cell>
          <cell r="K578">
            <v>0</v>
          </cell>
          <cell r="L578">
            <v>0</v>
          </cell>
          <cell r="M578">
            <v>308.8</v>
          </cell>
          <cell r="N578">
            <v>934.34999999999991</v>
          </cell>
          <cell r="O578">
            <v>0</v>
          </cell>
          <cell r="P578">
            <v>0</v>
          </cell>
          <cell r="Q578">
            <v>0</v>
          </cell>
          <cell r="R578">
            <v>224.70000000000002</v>
          </cell>
          <cell r="S578">
            <v>1199.1619999999998</v>
          </cell>
          <cell r="T578">
            <v>0</v>
          </cell>
          <cell r="U578">
            <v>0</v>
          </cell>
          <cell r="V578">
            <v>506.4</v>
          </cell>
          <cell r="W578">
            <v>803.89999999999986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1121.1869999999997</v>
          </cell>
          <cell r="AC578">
            <v>0</v>
          </cell>
          <cell r="AD578">
            <v>0</v>
          </cell>
          <cell r="AE578">
            <v>0</v>
          </cell>
          <cell r="AF578">
            <v>672.07500000000005</v>
          </cell>
          <cell r="AG578">
            <v>0</v>
          </cell>
          <cell r="AH578">
            <v>0</v>
          </cell>
          <cell r="AI578">
            <v>0</v>
          </cell>
          <cell r="AJ578">
            <v>316.5</v>
          </cell>
          <cell r="AK578">
            <v>1126.6319999999998</v>
          </cell>
          <cell r="AL578">
            <v>0</v>
          </cell>
          <cell r="AM578">
            <v>0</v>
          </cell>
          <cell r="AN578">
            <v>99.85499999999999</v>
          </cell>
          <cell r="AO578">
            <v>1017.37</v>
          </cell>
          <cell r="AP578">
            <v>0</v>
          </cell>
          <cell r="AQ578">
            <v>0</v>
          </cell>
          <cell r="AR578">
            <v>0</v>
          </cell>
          <cell r="AS578">
            <v>359.59999999999997</v>
          </cell>
          <cell r="AT578">
            <v>1063.4569999999999</v>
          </cell>
          <cell r="AU578">
            <v>0</v>
          </cell>
          <cell r="AV578">
            <v>0</v>
          </cell>
          <cell r="AW578">
            <v>358.45</v>
          </cell>
          <cell r="AX578">
            <v>910.86000000000024</v>
          </cell>
          <cell r="AY578">
            <v>0</v>
          </cell>
          <cell r="AZ578">
            <v>0</v>
          </cell>
          <cell r="BA578">
            <v>0</v>
          </cell>
          <cell r="BB578">
            <v>378.8</v>
          </cell>
          <cell r="BC578">
            <v>982.85699999999997</v>
          </cell>
          <cell r="BD578">
            <v>0</v>
          </cell>
          <cell r="BE578">
            <v>0</v>
          </cell>
          <cell r="BF578">
            <v>119.75</v>
          </cell>
          <cell r="BG578">
            <v>881.34</v>
          </cell>
          <cell r="BH578">
            <v>0</v>
          </cell>
          <cell r="BI578">
            <v>0</v>
          </cell>
          <cell r="BJ578">
            <v>0</v>
          </cell>
          <cell r="BK578">
            <v>275.60000000000002</v>
          </cell>
          <cell r="BL578">
            <v>800.8069999999999</v>
          </cell>
          <cell r="BM578">
            <v>0</v>
          </cell>
          <cell r="BN578">
            <v>0</v>
          </cell>
          <cell r="BO578">
            <v>701.67499999999995</v>
          </cell>
          <cell r="BP578">
            <v>687.56999999999994</v>
          </cell>
          <cell r="BQ578">
            <v>0</v>
          </cell>
          <cell r="BR578">
            <v>0</v>
          </cell>
          <cell r="BS578">
            <v>0</v>
          </cell>
          <cell r="BT578">
            <v>244.60000000000002</v>
          </cell>
          <cell r="BU578">
            <v>752.99099999999987</v>
          </cell>
          <cell r="BV578">
            <v>0</v>
          </cell>
          <cell r="BW578">
            <v>0</v>
          </cell>
          <cell r="BX578">
            <v>307.97500000000002</v>
          </cell>
          <cell r="BY578">
            <v>919.74</v>
          </cell>
          <cell r="BZ578">
            <v>0</v>
          </cell>
          <cell r="CA578">
            <v>0</v>
          </cell>
          <cell r="CB578">
            <v>0</v>
          </cell>
          <cell r="CC578">
            <v>222.79999999999998</v>
          </cell>
          <cell r="CD578">
            <v>1066.491</v>
          </cell>
          <cell r="CE578">
            <v>0</v>
          </cell>
          <cell r="CF578">
            <v>0</v>
          </cell>
          <cell r="CG578">
            <v>460.99599999999998</v>
          </cell>
          <cell r="CH578">
            <v>680.49999999999989</v>
          </cell>
          <cell r="CL578">
            <v>447.70000000000005</v>
          </cell>
          <cell r="CP578">
            <v>454</v>
          </cell>
          <cell r="CQ578">
            <v>901.7</v>
          </cell>
          <cell r="CU578">
            <v>188.79999999999998</v>
          </cell>
          <cell r="CV578">
            <v>881.61599999999999</v>
          </cell>
          <cell r="CY578">
            <v>345.99999999999994</v>
          </cell>
          <cell r="CZ578">
            <v>1103.92</v>
          </cell>
          <cell r="DD578">
            <v>148.39999999999998</v>
          </cell>
          <cell r="DE578">
            <v>868.46600000000001</v>
          </cell>
          <cell r="DH578">
            <v>449</v>
          </cell>
          <cell r="DI578">
            <v>648.72</v>
          </cell>
          <cell r="DM578">
            <v>246.6</v>
          </cell>
          <cell r="DN578">
            <v>913.2589999999999</v>
          </cell>
          <cell r="DQ578">
            <v>742.40000000000009</v>
          </cell>
          <cell r="DR578">
            <v>1902.259</v>
          </cell>
          <cell r="DS578">
            <v>0</v>
          </cell>
          <cell r="DT578">
            <v>0</v>
          </cell>
          <cell r="DU578">
            <v>0</v>
          </cell>
          <cell r="DV578">
            <v>279.95000000000005</v>
          </cell>
          <cell r="DW578">
            <v>1002.2089999999999</v>
          </cell>
          <cell r="DX578">
            <v>0</v>
          </cell>
          <cell r="DY578">
            <v>0</v>
          </cell>
          <cell r="DZ578">
            <v>281.7</v>
          </cell>
          <cell r="EA578">
            <v>1066.97</v>
          </cell>
          <cell r="EB578">
            <v>0</v>
          </cell>
          <cell r="EC578">
            <v>0</v>
          </cell>
          <cell r="ED578">
            <v>0</v>
          </cell>
          <cell r="EE578">
            <v>265.20000000000005</v>
          </cell>
          <cell r="EF578">
            <v>1042.771</v>
          </cell>
          <cell r="EG578">
            <v>0</v>
          </cell>
          <cell r="EH578">
            <v>0</v>
          </cell>
          <cell r="EI578">
            <v>258.39999999999998</v>
          </cell>
          <cell r="EJ578">
            <v>1020.6000000000001</v>
          </cell>
          <cell r="EK578">
            <v>0</v>
          </cell>
          <cell r="EL578">
            <v>0</v>
          </cell>
          <cell r="EM578">
            <v>0</v>
          </cell>
          <cell r="EN578">
            <v>262</v>
          </cell>
          <cell r="EO578">
            <v>1041.3710000000001</v>
          </cell>
          <cell r="EP578">
            <v>0</v>
          </cell>
          <cell r="EQ578">
            <v>0</v>
          </cell>
          <cell r="ER578">
            <v>425.7</v>
          </cell>
          <cell r="ES578">
            <v>900.44</v>
          </cell>
        </row>
        <row r="579">
          <cell r="F579">
            <v>2354.1805300000001</v>
          </cell>
          <cell r="G579">
            <v>7438.4816523999998</v>
          </cell>
          <cell r="H579">
            <v>7158.5759999999991</v>
          </cell>
          <cell r="I579">
            <v>13313.650000000001</v>
          </cell>
          <cell r="J579">
            <v>2306.5059999999994</v>
          </cell>
          <cell r="K579">
            <v>9356.1519999999982</v>
          </cell>
          <cell r="L579">
            <v>4954.9129999999996</v>
          </cell>
          <cell r="M579">
            <v>4144.53</v>
          </cell>
          <cell r="N579">
            <v>934.34999999999991</v>
          </cell>
          <cell r="O579">
            <v>2478.8063499999998</v>
          </cell>
          <cell r="P579">
            <v>6069.6082523999994</v>
          </cell>
          <cell r="Q579">
            <v>6895.9960000000001</v>
          </cell>
          <cell r="R579">
            <v>13955.941000000003</v>
          </cell>
          <cell r="S579">
            <v>2801.4109999999996</v>
          </cell>
          <cell r="T579">
            <v>9509.1869999999999</v>
          </cell>
          <cell r="U579">
            <v>2548.31</v>
          </cell>
          <cell r="V579">
            <v>4822.2389999999996</v>
          </cell>
          <cell r="W579">
            <v>803.89999999999986</v>
          </cell>
          <cell r="X579">
            <v>2608.3906499999998</v>
          </cell>
          <cell r="Y579">
            <v>6421.6038049000008</v>
          </cell>
          <cell r="Z579">
            <v>6611.4559999999992</v>
          </cell>
          <cell r="AA579">
            <v>12157.329999999998</v>
          </cell>
          <cell r="AB579">
            <v>2857.8289999999997</v>
          </cell>
          <cell r="AC579">
            <v>9475.893</v>
          </cell>
          <cell r="AD579">
            <v>3036.6689999999999</v>
          </cell>
          <cell r="AE579">
            <v>1077.49</v>
          </cell>
          <cell r="AF579">
            <v>672.07500000000005</v>
          </cell>
          <cell r="AG579">
            <v>1974.83725</v>
          </cell>
          <cell r="AH579">
            <v>6950.0324524000007</v>
          </cell>
          <cell r="AI579">
            <v>7047.1059999999998</v>
          </cell>
          <cell r="AJ579">
            <v>13428.520999999999</v>
          </cell>
          <cell r="AK579">
            <v>2625.5360000000001</v>
          </cell>
          <cell r="AL579">
            <v>6899.1119999999992</v>
          </cell>
          <cell r="AM579">
            <v>2657.8090000000002</v>
          </cell>
          <cell r="AN579">
            <v>1799.7850000000001</v>
          </cell>
          <cell r="AO579">
            <v>1017.37</v>
          </cell>
          <cell r="AP579">
            <v>2632.3622299999997</v>
          </cell>
          <cell r="AQ579">
            <v>6399.8248049000013</v>
          </cell>
          <cell r="AR579">
            <v>6811.3509999999987</v>
          </cell>
          <cell r="AS579">
            <v>13643.711235714287</v>
          </cell>
          <cell r="AT579">
            <v>2704.7749999999996</v>
          </cell>
          <cell r="AU579">
            <v>7695.8760000000002</v>
          </cell>
          <cell r="AV579">
            <v>7701.96</v>
          </cell>
          <cell r="AW579">
            <v>2175.0500000000002</v>
          </cell>
          <cell r="AX579">
            <v>910.86000000000024</v>
          </cell>
          <cell r="AY579">
            <v>2800.7691500000001</v>
          </cell>
          <cell r="AZ579">
            <v>6205.5501049000004</v>
          </cell>
          <cell r="BA579">
            <v>5881.8909999999996</v>
          </cell>
          <cell r="BB579">
            <v>13861.003007142855</v>
          </cell>
          <cell r="BC579">
            <v>2651.7759999999998</v>
          </cell>
          <cell r="BD579">
            <v>8226.8649999999998</v>
          </cell>
          <cell r="BE579">
            <v>6380.99</v>
          </cell>
          <cell r="BF579">
            <v>1994.21</v>
          </cell>
          <cell r="BG579">
            <v>881.34</v>
          </cell>
          <cell r="BH579">
            <v>2278.2832679999997</v>
          </cell>
          <cell r="BI579">
            <v>5920.4696049000004</v>
          </cell>
          <cell r="BJ579">
            <v>5519.5059999999994</v>
          </cell>
          <cell r="BK579">
            <v>14869.181551428574</v>
          </cell>
          <cell r="BL579">
            <v>2394.8310000000001</v>
          </cell>
          <cell r="BM579">
            <v>8034.85</v>
          </cell>
          <cell r="BN579">
            <v>7642.259</v>
          </cell>
          <cell r="BO579">
            <v>2612.2549999999997</v>
          </cell>
          <cell r="BP579">
            <v>687.56999999999994</v>
          </cell>
          <cell r="BQ579">
            <v>1693.254688</v>
          </cell>
          <cell r="BR579">
            <v>6521.3964049000006</v>
          </cell>
          <cell r="BS579">
            <v>7633.0110000000004</v>
          </cell>
          <cell r="BT579">
            <v>14642.102982142855</v>
          </cell>
          <cell r="BU579">
            <v>2437.4830000000002</v>
          </cell>
          <cell r="BV579">
            <v>7741.7900000000009</v>
          </cell>
          <cell r="BW579">
            <v>5314.9740000000002</v>
          </cell>
          <cell r="BX579">
            <v>2537.8250000000003</v>
          </cell>
          <cell r="BY579">
            <v>919.74</v>
          </cell>
          <cell r="BZ579">
            <v>2190.063768</v>
          </cell>
          <cell r="CA579">
            <v>6583.0664048999988</v>
          </cell>
          <cell r="CB579">
            <v>7539.2209999999995</v>
          </cell>
          <cell r="CC579">
            <v>15157.984633571428</v>
          </cell>
          <cell r="CD579">
            <v>2583.8890000000001</v>
          </cell>
          <cell r="CE579">
            <v>6168.5219999999999</v>
          </cell>
          <cell r="CF579">
            <v>10692.822</v>
          </cell>
          <cell r="CG579">
            <v>4014.4960000000001</v>
          </cell>
          <cell r="CH579">
            <v>680.49999999999989</v>
          </cell>
          <cell r="CI579">
            <v>2319.0300000000002</v>
          </cell>
          <cell r="CJ579">
            <v>8624.9</v>
          </cell>
          <cell r="CK579">
            <v>6273.8770000000004</v>
          </cell>
          <cell r="CL579">
            <v>16064.834999999999</v>
          </cell>
          <cell r="CM579">
            <v>400.072</v>
          </cell>
          <cell r="CN579">
            <v>6846.95</v>
          </cell>
          <cell r="CO579">
            <v>8432.1839999999993</v>
          </cell>
          <cell r="CP579">
            <v>647</v>
          </cell>
          <cell r="CQ579">
            <v>901.7</v>
          </cell>
          <cell r="CR579">
            <v>2273.9199999999996</v>
          </cell>
          <cell r="CS579">
            <v>8989.15</v>
          </cell>
          <cell r="CT579">
            <v>6178.3270000000002</v>
          </cell>
          <cell r="CU579">
            <v>15738.769000000002</v>
          </cell>
          <cell r="CV579">
            <v>1308.5930000000001</v>
          </cell>
          <cell r="CW579">
            <v>7622.116</v>
          </cell>
          <cell r="CX579">
            <v>6134.7120000000004</v>
          </cell>
          <cell r="CY579">
            <v>1968.0500000000002</v>
          </cell>
          <cell r="CZ579">
            <v>1103.92</v>
          </cell>
          <cell r="DA579">
            <v>11010.304999999998</v>
          </cell>
          <cell r="DB579">
            <v>0</v>
          </cell>
          <cell r="DC579">
            <v>5951.1419999999998</v>
          </cell>
          <cell r="DD579">
            <v>17358.482</v>
          </cell>
          <cell r="DE579">
            <v>1234.683</v>
          </cell>
          <cell r="DF579">
            <v>7799.9500000000007</v>
          </cell>
          <cell r="DG579">
            <v>9688.0429999999997</v>
          </cell>
          <cell r="DH579">
            <v>812</v>
          </cell>
          <cell r="DI579">
            <v>648.72</v>
          </cell>
          <cell r="DJ579">
            <v>1814.5800000000002</v>
          </cell>
          <cell r="DK579">
            <v>8878.48</v>
          </cell>
          <cell r="DL579">
            <v>6439.2219999999998</v>
          </cell>
          <cell r="DM579">
            <v>16864.831999999999</v>
          </cell>
          <cell r="DN579">
            <v>1173.3279999999997</v>
          </cell>
          <cell r="DO579">
            <v>7240.7819999999992</v>
          </cell>
          <cell r="DP579">
            <v>9447.6099999999988</v>
          </cell>
          <cell r="DQ579">
            <v>4406.3999999999996</v>
          </cell>
          <cell r="DR579">
            <v>1902.259</v>
          </cell>
          <cell r="DS579">
            <v>1876.74388</v>
          </cell>
          <cell r="DT579">
            <v>9448.2335999999996</v>
          </cell>
          <cell r="DU579">
            <v>6672.7220000000007</v>
          </cell>
          <cell r="DV579">
            <v>16254.384407142859</v>
          </cell>
          <cell r="DW579">
            <v>2319.7719999999999</v>
          </cell>
          <cell r="DX579">
            <v>6273.4140000000007</v>
          </cell>
          <cell r="DY579">
            <v>8930.4310000000005</v>
          </cell>
          <cell r="DZ579">
            <v>2653.4</v>
          </cell>
          <cell r="EA579">
            <v>1066.97</v>
          </cell>
          <cell r="EB579">
            <v>2094.8177179999998</v>
          </cell>
          <cell r="EC579">
            <v>9737.0511449000005</v>
          </cell>
          <cell r="ED579">
            <v>6239.3220000000001</v>
          </cell>
          <cell r="EE579">
            <v>16033.513460285716</v>
          </cell>
          <cell r="EF579">
            <v>2925.3940000000002</v>
          </cell>
          <cell r="EG579">
            <v>5930.9719999999998</v>
          </cell>
          <cell r="EH579">
            <v>4289.0509999999995</v>
          </cell>
          <cell r="EI579">
            <v>258.39999999999998</v>
          </cell>
          <cell r="EJ579">
            <v>1020.6000000000001</v>
          </cell>
          <cell r="EK579">
            <v>2429.2226499999997</v>
          </cell>
          <cell r="EL579">
            <v>8946.7241049000004</v>
          </cell>
          <cell r="EM579">
            <v>5382.5619999999999</v>
          </cell>
          <cell r="EN579">
            <v>15746.206880285714</v>
          </cell>
          <cell r="EO579">
            <v>3069.2730000000001</v>
          </cell>
          <cell r="EP579">
            <v>7209.7510000000002</v>
          </cell>
          <cell r="EQ579">
            <v>1648.7660000000001</v>
          </cell>
          <cell r="ER579">
            <v>2120.04</v>
          </cell>
          <cell r="ES579">
            <v>900.44</v>
          </cell>
        </row>
        <row r="580">
          <cell r="X580">
            <v>2608.3906499999998</v>
          </cell>
          <cell r="Y580">
            <v>6421.6038049000008</v>
          </cell>
          <cell r="Z580">
            <v>6611.4559999999992</v>
          </cell>
          <cell r="AA580">
            <v>12157.329999999998</v>
          </cell>
          <cell r="AB580">
            <v>5100.2029999999995</v>
          </cell>
          <cell r="AC580">
            <v>9475.893</v>
          </cell>
          <cell r="AD580">
            <v>3036.6689999999999</v>
          </cell>
          <cell r="AE580">
            <v>1077.49</v>
          </cell>
          <cell r="AF580">
            <v>1999.8100000000002</v>
          </cell>
        </row>
        <row r="581">
          <cell r="X581">
            <v>5008.1413000000002</v>
          </cell>
          <cell r="Y581">
            <v>12843.207609800002</v>
          </cell>
          <cell r="Z581">
            <v>13009.322</v>
          </cell>
          <cell r="AA581">
            <v>18176.93</v>
          </cell>
          <cell r="AB581">
            <v>6806.0949999999993</v>
          </cell>
          <cell r="AC581">
            <v>18951.786</v>
          </cell>
          <cell r="AD581">
            <v>6073.3379999999997</v>
          </cell>
          <cell r="AE581">
            <v>2030.58</v>
          </cell>
          <cell r="AF581">
            <v>2008.7250000000001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VF Oleo costing model"/>
      <sheetName val="Upside &amp; downside"/>
      <sheetName val="Assumption"/>
      <sheetName val="Summary P&amp;L"/>
      <sheetName val="P&amp;L"/>
      <sheetName val="Oleo P&amp;L"/>
      <sheetName val="Input-output"/>
      <sheetName val="2.2 Landed RM cost"/>
      <sheetName val="Service charges"/>
      <sheetName val="By product summary-1"/>
      <sheetName val="By-product balance sheet"/>
      <sheetName val="Cycle Time Assumptions"/>
      <sheetName val="I-Credits"/>
      <sheetName val="1.9. Direct overheads"/>
      <sheetName val="1.5. Indirect overheads"/>
      <sheetName val="1.6 S&amp;M overheads"/>
      <sheetName val="1.3. Location &amp; Resource"/>
      <sheetName val="PKFAD processing cost"/>
      <sheetName val="1.19. Processing cost summary"/>
      <sheetName val="1.14 PKO Processing cost"/>
      <sheetName val="1.18. Processing Time"/>
      <sheetName val="2.22 Resource wise cost"/>
      <sheetName val="2.12 Cost computation-PFAD"/>
      <sheetName val="1.17 Mustard processing cost"/>
      <sheetName val="1.15. PFAD processing cost"/>
      <sheetName val="1.16. RBDPS processing cost"/>
      <sheetName val="2.24 Alcohol process"/>
      <sheetName val="2.14. Cost computation - MO"/>
      <sheetName val="2.25 Mustard residue Process"/>
      <sheetName val="2.26 PKO Residue Process"/>
      <sheetName val="2.23  Mixed  residue Process"/>
      <sheetName val="1.13. CPS processing cost"/>
      <sheetName val="1.14 CNO Processing cost"/>
      <sheetName val="MIX RESIDUE processing cost"/>
      <sheetName val="PKO Reco Sheet"/>
      <sheetName val="Mustard Reco Sheet"/>
      <sheetName val="PFAD Reco Sheet"/>
      <sheetName val="Hydrgen Gas BOM"/>
      <sheetName val="FO &amp; Naptha"/>
      <sheetName val="1.7.Additives sheet"/>
      <sheetName val="CNO-Final"/>
      <sheetName val="Split Fatty Acid V12 14"/>
      <sheetName val="2.17.Cost computation PKFAD"/>
      <sheetName val="2.17.Cost computation PKO V1214"/>
      <sheetName val="2.15.Cost computation PKO V1216"/>
      <sheetName val="2.1x.Cost computation PKO Laur"/>
      <sheetName val="2.13. Cost computation-CPS"/>
      <sheetName val="2.19 Cost computation-RBDPS"/>
      <sheetName val="2.18.Cost computation CNO V1214"/>
      <sheetName val="2.16.Cost computation CNO V1216"/>
      <sheetName val="1.8. Logistics cost"/>
      <sheetName val="2.1 Logistics cost"/>
      <sheetName val="2.4. Seweree Direct overheads"/>
      <sheetName val="2.3.Kutch-2 Direct overheads"/>
      <sheetName val="2.5. Taloja Direct overheads"/>
      <sheetName val="2.6 Sion Direct overheads"/>
      <sheetName val="2.7 Kutch-1 Direct overheads"/>
      <sheetName val="Interest"/>
      <sheetName val="2.8. Process wise depreciation"/>
      <sheetName val="2.9Process wise Direct overhead"/>
      <sheetName val="2.10 Indirect overheads"/>
      <sheetName val="2.11 S&amp;M overhead"/>
      <sheetName val="2.20. Substitutable values"/>
      <sheetName val="2.21.Substitutable value comp"/>
      <sheetName val="Input output sheet-MCT"/>
      <sheetName val="MCT Processing cost"/>
      <sheetName val="MCT computation"/>
      <sheetName val="PM"/>
      <sheetName val="10. Data 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>
        <row r="5">
          <cell r="B5" t="str">
            <v>Taloja Lurgi</v>
          </cell>
          <cell r="D5" t="str">
            <v>Sion K1-K2</v>
          </cell>
        </row>
        <row r="6">
          <cell r="D6" t="str">
            <v>Sion K1-K3</v>
          </cell>
        </row>
        <row r="7">
          <cell r="D7" t="str">
            <v>Sion K3</v>
          </cell>
        </row>
        <row r="8">
          <cell r="D8" t="str">
            <v>Section 3</v>
          </cell>
        </row>
        <row r="9">
          <cell r="D9" t="str">
            <v>Section 4</v>
          </cell>
        </row>
        <row r="10">
          <cell r="D10" t="str">
            <v>Section 5</v>
          </cell>
        </row>
        <row r="11">
          <cell r="D11" t="str">
            <v>Sion distill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 quarter"/>
      <sheetName val="2nd quarter"/>
      <sheetName val="3rd quarter"/>
      <sheetName val="4th quarter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902">
          <cell r="A902" t="str">
            <v>NO:</v>
          </cell>
        </row>
        <row r="905">
          <cell r="A905" t="str">
            <v>NO:</v>
          </cell>
          <cell r="B905" t="str">
            <v>RM</v>
          </cell>
          <cell r="C905" t="str">
            <v>FM</v>
          </cell>
          <cell r="D905" t="str">
            <v>MATERIAL</v>
          </cell>
          <cell r="E905" t="str">
            <v>CPKO-23%</v>
          </cell>
          <cell r="F905">
            <v>109</v>
          </cell>
          <cell r="G905" t="str">
            <v>109 B</v>
          </cell>
          <cell r="H905" t="str">
            <v>SEWREE</v>
          </cell>
          <cell r="I905" t="str">
            <v>TALOJA</v>
          </cell>
          <cell r="J905" t="str">
            <v>KUTCH-1</v>
          </cell>
          <cell r="K905" t="str">
            <v>KUTCH-2</v>
          </cell>
          <cell r="L905" t="str">
            <v>KUTCH-O</v>
          </cell>
          <cell r="M905" t="str">
            <v>GIT</v>
          </cell>
          <cell r="N905" t="str">
            <v>BADDI</v>
          </cell>
          <cell r="O905">
            <v>109</v>
          </cell>
          <cell r="P905" t="str">
            <v>109 B</v>
          </cell>
          <cell r="Q905" t="str">
            <v>SEWREE</v>
          </cell>
          <cell r="R905" t="str">
            <v>TALOJA</v>
          </cell>
          <cell r="S905" t="str">
            <v>KUTCH-1</v>
          </cell>
          <cell r="T905" t="str">
            <v>KUTCH-2</v>
          </cell>
          <cell r="U905" t="str">
            <v>KUTCH-O</v>
          </cell>
          <cell r="V905" t="str">
            <v>GIT</v>
          </cell>
          <cell r="W905" t="str">
            <v>BADDI</v>
          </cell>
          <cell r="X905">
            <v>109</v>
          </cell>
          <cell r="Y905" t="str">
            <v>109 B</v>
          </cell>
          <cell r="Z905" t="str">
            <v>SEWREE</v>
          </cell>
          <cell r="AA905" t="str">
            <v>TALOJA</v>
          </cell>
          <cell r="AB905" t="str">
            <v>KUTCH-1</v>
          </cell>
          <cell r="AC905" t="str">
            <v>KUTCH-2</v>
          </cell>
          <cell r="AD905" t="str">
            <v>KUTCH-O</v>
          </cell>
          <cell r="AE905" t="str">
            <v>GIT</v>
          </cell>
          <cell r="AF905" t="str">
            <v>BADDI</v>
          </cell>
          <cell r="AG905">
            <v>109</v>
          </cell>
          <cell r="AH905" t="str">
            <v>109 B</v>
          </cell>
          <cell r="AI905" t="str">
            <v>SEWREE</v>
          </cell>
          <cell r="AJ905" t="str">
            <v>TALOJA</v>
          </cell>
          <cell r="AK905" t="str">
            <v>KUTCH-1</v>
          </cell>
          <cell r="AL905" t="str">
            <v>KUTCH-2</v>
          </cell>
          <cell r="AM905" t="str">
            <v>KUTCH-O</v>
          </cell>
          <cell r="AN905" t="str">
            <v>GIT</v>
          </cell>
          <cell r="AO905" t="str">
            <v>BADDI</v>
          </cell>
          <cell r="AP905">
            <v>109</v>
          </cell>
          <cell r="AQ905" t="str">
            <v>109 B</v>
          </cell>
          <cell r="AR905" t="str">
            <v>SEWREE</v>
          </cell>
          <cell r="AS905" t="str">
            <v>TALOJA</v>
          </cell>
          <cell r="AT905" t="str">
            <v>KUTCH-1</v>
          </cell>
          <cell r="AU905" t="str">
            <v>KUTCH-2</v>
          </cell>
          <cell r="AV905" t="str">
            <v>KUTCH-O</v>
          </cell>
          <cell r="AW905" t="str">
            <v>GIT</v>
          </cell>
          <cell r="AX905" t="str">
            <v>BADDI</v>
          </cell>
          <cell r="AY905">
            <v>109</v>
          </cell>
          <cell r="AZ905" t="str">
            <v>109 B</v>
          </cell>
          <cell r="BA905" t="str">
            <v>SEWREE</v>
          </cell>
          <cell r="BB905" t="str">
            <v>TALOJA</v>
          </cell>
          <cell r="BC905" t="str">
            <v>KUTCH-1</v>
          </cell>
          <cell r="BD905" t="str">
            <v>KUTCH-2</v>
          </cell>
          <cell r="BE905" t="str">
            <v>KUTCH-O</v>
          </cell>
          <cell r="BF905" t="str">
            <v>GIT</v>
          </cell>
          <cell r="BG905" t="str">
            <v>BADDI</v>
          </cell>
          <cell r="BH905">
            <v>109</v>
          </cell>
          <cell r="BI905" t="str">
            <v>109 B</v>
          </cell>
          <cell r="BJ905" t="str">
            <v>SEWREE</v>
          </cell>
          <cell r="BK905" t="str">
            <v>TALOJA</v>
          </cell>
          <cell r="BL905" t="str">
            <v>KUTCH-1</v>
          </cell>
          <cell r="BM905" t="str">
            <v>KUTCH-2</v>
          </cell>
          <cell r="BN905" t="str">
            <v>KUTCH-O</v>
          </cell>
          <cell r="BO905" t="str">
            <v>GIT</v>
          </cell>
          <cell r="BP905" t="str">
            <v>BADDI</v>
          </cell>
          <cell r="BQ905">
            <v>109</v>
          </cell>
          <cell r="BR905" t="str">
            <v>109 B</v>
          </cell>
          <cell r="BS905" t="str">
            <v>SEWREE</v>
          </cell>
          <cell r="BT905" t="str">
            <v>TALOJA</v>
          </cell>
          <cell r="BU905" t="str">
            <v>KUTCH-1</v>
          </cell>
          <cell r="BV905" t="str">
            <v>KUTCH-2</v>
          </cell>
          <cell r="BW905" t="str">
            <v>KUTCH-O</v>
          </cell>
          <cell r="BX905" t="str">
            <v>GIT</v>
          </cell>
          <cell r="BY905" t="str">
            <v>BADDI</v>
          </cell>
          <cell r="BZ905">
            <v>109</v>
          </cell>
          <cell r="CA905" t="str">
            <v>109 B</v>
          </cell>
          <cell r="CB905" t="str">
            <v>SEWREE</v>
          </cell>
          <cell r="CC905" t="str">
            <v>TALOJA</v>
          </cell>
          <cell r="CD905" t="str">
            <v>KUTCH-1</v>
          </cell>
          <cell r="CE905" t="str">
            <v>KUTCH-2</v>
          </cell>
          <cell r="CF905" t="str">
            <v>KUTCH-O</v>
          </cell>
          <cell r="CG905" t="str">
            <v>GIT</v>
          </cell>
          <cell r="CH905" t="str">
            <v>BADDI</v>
          </cell>
          <cell r="CI905">
            <v>109</v>
          </cell>
          <cell r="CJ905" t="str">
            <v>109 B</v>
          </cell>
          <cell r="CK905" t="str">
            <v>SEWREE</v>
          </cell>
          <cell r="CL905" t="str">
            <v>TALOJA</v>
          </cell>
          <cell r="CM905" t="str">
            <v>KUTCH-1</v>
          </cell>
          <cell r="CN905" t="str">
            <v>KUTCH-2</v>
          </cell>
          <cell r="CO905" t="str">
            <v>KUTCH-O</v>
          </cell>
          <cell r="CP905" t="str">
            <v>GIT</v>
          </cell>
          <cell r="CQ905" t="str">
            <v>BADDI</v>
          </cell>
          <cell r="CR905">
            <v>109</v>
          </cell>
          <cell r="CS905" t="str">
            <v>109 B</v>
          </cell>
          <cell r="CT905" t="str">
            <v>SEWREE</v>
          </cell>
          <cell r="CU905" t="str">
            <v>TALOJA</v>
          </cell>
          <cell r="CV905" t="str">
            <v>KUTCH-1</v>
          </cell>
          <cell r="CW905" t="str">
            <v>KUTCH-2</v>
          </cell>
          <cell r="CX905" t="str">
            <v>KUTCH-O</v>
          </cell>
          <cell r="CY905" t="str">
            <v>GIT</v>
          </cell>
          <cell r="CZ905" t="str">
            <v>BADDI</v>
          </cell>
          <cell r="DA905">
            <v>109</v>
          </cell>
          <cell r="DB905" t="str">
            <v>109 B</v>
          </cell>
          <cell r="DC905" t="str">
            <v>SEWREE</v>
          </cell>
          <cell r="DD905" t="str">
            <v>TALOJA</v>
          </cell>
          <cell r="DE905" t="str">
            <v>KUTCH-1</v>
          </cell>
          <cell r="DF905" t="str">
            <v>KUTCH-2</v>
          </cell>
          <cell r="DG905" t="str">
            <v>KUTCH-O</v>
          </cell>
          <cell r="DH905" t="str">
            <v>GIT</v>
          </cell>
          <cell r="DI905" t="str">
            <v>BADDI</v>
          </cell>
          <cell r="DJ905">
            <v>109</v>
          </cell>
          <cell r="DK905" t="str">
            <v>109 B</v>
          </cell>
          <cell r="DL905" t="str">
            <v>SEWREE</v>
          </cell>
          <cell r="DM905" t="str">
            <v>TALOJA</v>
          </cell>
          <cell r="DN905" t="str">
            <v>KUTCH-1</v>
          </cell>
          <cell r="DO905" t="str">
            <v>KUTCH-2</v>
          </cell>
          <cell r="DP905" t="str">
            <v>KUTCH-O</v>
          </cell>
          <cell r="DQ905" t="str">
            <v>GIT</v>
          </cell>
          <cell r="DR905" t="str">
            <v>BADDI</v>
          </cell>
        </row>
        <row r="906">
          <cell r="A906" t="str">
            <v>RAW MATERIALS</v>
          </cell>
          <cell r="B906" t="str">
            <v>RM</v>
          </cell>
          <cell r="C906" t="str">
            <v>FM</v>
          </cell>
          <cell r="D906" t="str">
            <v>CNO-C</v>
          </cell>
          <cell r="E906" t="str">
            <v>CNO-C</v>
          </cell>
          <cell r="AS906">
            <v>19.183500000000002</v>
          </cell>
          <cell r="AW906">
            <v>15.58</v>
          </cell>
          <cell r="BB906">
            <v>76.734000000000009</v>
          </cell>
        </row>
        <row r="907">
          <cell r="A907">
            <v>1</v>
          </cell>
          <cell r="B907" t="str">
            <v>RM</v>
          </cell>
          <cell r="C907" t="str">
            <v>FM</v>
          </cell>
          <cell r="D907" t="str">
            <v>CPKO-5%</v>
          </cell>
          <cell r="E907" t="str">
            <v>CPKO-5%</v>
          </cell>
          <cell r="K907">
            <v>1805.3820000000001</v>
          </cell>
          <cell r="L907">
            <v>1564.769</v>
          </cell>
          <cell r="T907">
            <v>1097.1579999999999</v>
          </cell>
          <cell r="U907">
            <v>23.028999999999996</v>
          </cell>
          <cell r="V907">
            <v>69</v>
          </cell>
          <cell r="AC907">
            <v>435.06400000000002</v>
          </cell>
          <cell r="AD907">
            <v>2034.7439999999999</v>
          </cell>
          <cell r="AL907">
            <v>53.365000000000002</v>
          </cell>
          <cell r="AM907">
            <v>7665.7569999999996</v>
          </cell>
          <cell r="AU907">
            <v>2361.65</v>
          </cell>
          <cell r="AV907">
            <v>3836.8470000000002</v>
          </cell>
          <cell r="AW907">
            <v>31.81</v>
          </cell>
          <cell r="BD907">
            <v>2410.4899999999998</v>
          </cell>
          <cell r="BE907">
            <v>2768.5259999999998</v>
          </cell>
          <cell r="BM907">
            <v>2799.6010000000001</v>
          </cell>
          <cell r="BN907">
            <v>1327.9059999999999</v>
          </cell>
          <cell r="BO907">
            <v>49.48</v>
          </cell>
          <cell r="BT907">
            <v>179</v>
          </cell>
          <cell r="BV907">
            <v>2421.346</v>
          </cell>
          <cell r="BW907">
            <v>6451.692</v>
          </cell>
          <cell r="CC907">
            <v>242.9</v>
          </cell>
          <cell r="CE907">
            <v>2797.6179999999999</v>
          </cell>
          <cell r="CF907">
            <v>4336.3670000000002</v>
          </cell>
          <cell r="CG907">
            <v>16</v>
          </cell>
          <cell r="CL907">
            <v>294.60000000000002</v>
          </cell>
          <cell r="CN907">
            <v>3421.723</v>
          </cell>
          <cell r="CO907">
            <v>1759.5389999999998</v>
          </cell>
          <cell r="CU907">
            <v>302.60000000000002</v>
          </cell>
          <cell r="CW907">
            <v>3912.8670000000002</v>
          </cell>
          <cell r="CX907">
            <v>271.69900000000001</v>
          </cell>
          <cell r="DD907">
            <v>302.60000000000002</v>
          </cell>
          <cell r="DF907">
            <v>2931.4839999999999</v>
          </cell>
          <cell r="DG907">
            <v>4.649</v>
          </cell>
          <cell r="DO907">
            <v>826.71299999999997</v>
          </cell>
          <cell r="DP907">
            <v>8938.6620000000003</v>
          </cell>
        </row>
        <row r="908">
          <cell r="A908">
            <v>2</v>
          </cell>
          <cell r="B908" t="str">
            <v>RM</v>
          </cell>
          <cell r="C908" t="str">
            <v>FM</v>
          </cell>
          <cell r="D908" t="str">
            <v>CPKO-23%</v>
          </cell>
          <cell r="E908" t="str">
            <v>CPKO-23%</v>
          </cell>
        </row>
        <row r="909">
          <cell r="A909">
            <v>3</v>
          </cell>
          <cell r="B909" t="str">
            <v>RM</v>
          </cell>
          <cell r="C909" t="str">
            <v>FM</v>
          </cell>
          <cell r="D909" t="str">
            <v>CNO-C</v>
          </cell>
          <cell r="E909" t="str">
            <v>CNO-C</v>
          </cell>
          <cell r="I909">
            <v>248.68</v>
          </cell>
          <cell r="K909">
            <v>258.79000000000002</v>
          </cell>
          <cell r="M909">
            <v>43.79</v>
          </cell>
          <cell r="R909">
            <v>340.29428571428571</v>
          </cell>
          <cell r="T909">
            <v>11.445</v>
          </cell>
          <cell r="AA909">
            <v>314.5422857142857</v>
          </cell>
          <cell r="AC909">
            <v>49.954999999999998</v>
          </cell>
          <cell r="AJ909">
            <v>75.34</v>
          </cell>
          <cell r="AL909">
            <v>92.775000000000006</v>
          </cell>
          <cell r="AS909">
            <v>19.183500000000002</v>
          </cell>
          <cell r="AU909">
            <v>92.775000000000006</v>
          </cell>
          <cell r="AW909">
            <v>15.58</v>
          </cell>
          <cell r="BB909">
            <v>76.734000000000009</v>
          </cell>
          <cell r="BD909">
            <v>92.775000000000006</v>
          </cell>
          <cell r="BF909">
            <v>87.62</v>
          </cell>
          <cell r="BT909">
            <v>161.19999999999999</v>
          </cell>
          <cell r="BX909">
            <v>16</v>
          </cell>
          <cell r="CC909">
            <v>192</v>
          </cell>
          <cell r="CL909">
            <v>181</v>
          </cell>
          <cell r="CU909">
            <v>189</v>
          </cell>
          <cell r="DD909">
            <v>204.2</v>
          </cell>
          <cell r="DM909">
            <v>126</v>
          </cell>
        </row>
        <row r="910">
          <cell r="A910">
            <v>4</v>
          </cell>
          <cell r="B910" t="str">
            <v>RM</v>
          </cell>
          <cell r="C910" t="str">
            <v>FM</v>
          </cell>
          <cell r="D910" t="str">
            <v>CNO-R</v>
          </cell>
          <cell r="E910" t="str">
            <v>CNO-R</v>
          </cell>
        </row>
        <row r="911">
          <cell r="A911">
            <v>5</v>
          </cell>
          <cell r="B911" t="str">
            <v>RM</v>
          </cell>
          <cell r="C911" t="str">
            <v>FM</v>
          </cell>
          <cell r="D911" t="str">
            <v>PKFAD</v>
          </cell>
          <cell r="E911" t="str">
            <v>PKFAD</v>
          </cell>
          <cell r="BU911">
            <v>14.904</v>
          </cell>
        </row>
        <row r="912">
          <cell r="A912">
            <v>6</v>
          </cell>
          <cell r="B912" t="str">
            <v>RM</v>
          </cell>
          <cell r="C912" t="str">
            <v>FM</v>
          </cell>
          <cell r="D912" t="str">
            <v>RBDPS</v>
          </cell>
          <cell r="E912" t="str">
            <v>RBDPS</v>
          </cell>
          <cell r="I912">
            <v>248.68</v>
          </cell>
          <cell r="K912">
            <v>258.79000000000002</v>
          </cell>
          <cell r="M912">
            <v>43.79</v>
          </cell>
          <cell r="R912">
            <v>340.29428571428571</v>
          </cell>
          <cell r="T912">
            <v>11.445</v>
          </cell>
          <cell r="AA912">
            <v>314.5422857142857</v>
          </cell>
          <cell r="AC912">
            <v>49.954999999999998</v>
          </cell>
          <cell r="AJ912">
            <v>75.34</v>
          </cell>
          <cell r="AL912">
            <v>92.775000000000006</v>
          </cell>
          <cell r="AU912">
            <v>92.775000000000006</v>
          </cell>
          <cell r="BB912">
            <v>64.38</v>
          </cell>
          <cell r="BD912">
            <v>92.775000000000006</v>
          </cell>
          <cell r="BF912">
            <v>87.62</v>
          </cell>
          <cell r="BK912">
            <v>110.36571428571429</v>
          </cell>
          <cell r="BM912">
            <v>92.775000000000006</v>
          </cell>
          <cell r="BO912">
            <v>161.16999999999999</v>
          </cell>
          <cell r="BT912">
            <v>62.540571428571404</v>
          </cell>
          <cell r="BV912">
            <v>92.775000000000006</v>
          </cell>
          <cell r="BX912">
            <v>164.85</v>
          </cell>
          <cell r="CC912">
            <v>763.4</v>
          </cell>
          <cell r="CE912">
            <v>92.775000000000006</v>
          </cell>
          <cell r="CG912">
            <v>143.4</v>
          </cell>
          <cell r="CL912">
            <v>776.2</v>
          </cell>
          <cell r="CN912">
            <v>92.775000000000006</v>
          </cell>
          <cell r="CU912">
            <v>776.2</v>
          </cell>
          <cell r="CW912">
            <v>92.775000000000006</v>
          </cell>
          <cell r="DD912">
            <v>756</v>
          </cell>
          <cell r="DF912">
            <v>92.775000000000006</v>
          </cell>
          <cell r="DM912">
            <v>573.90171428571432</v>
          </cell>
          <cell r="DO912">
            <v>92.775000000000006</v>
          </cell>
        </row>
        <row r="913">
          <cell r="A913">
            <v>7</v>
          </cell>
          <cell r="B913" t="str">
            <v>RM</v>
          </cell>
          <cell r="C913" t="str">
            <v>FM</v>
          </cell>
          <cell r="D913" t="str">
            <v>CPS-5%</v>
          </cell>
          <cell r="E913" t="str">
            <v>CPS-5%</v>
          </cell>
        </row>
        <row r="914">
          <cell r="A914">
            <v>8</v>
          </cell>
          <cell r="B914" t="str">
            <v>RM</v>
          </cell>
          <cell r="C914" t="str">
            <v>FM</v>
          </cell>
          <cell r="D914" t="str">
            <v>CPS-20%</v>
          </cell>
          <cell r="E914" t="str">
            <v>CPS-20%</v>
          </cell>
        </row>
        <row r="915">
          <cell r="A915">
            <v>9</v>
          </cell>
          <cell r="B915" t="str">
            <v>RM</v>
          </cell>
          <cell r="C915" t="str">
            <v>FM</v>
          </cell>
          <cell r="D915" t="str">
            <v>CPS-23%-HLL</v>
          </cell>
          <cell r="E915" t="str">
            <v>CPS-23%-HLL</v>
          </cell>
          <cell r="J915">
            <v>162.99600000000001</v>
          </cell>
          <cell r="K915">
            <v>674.99799999999993</v>
          </cell>
          <cell r="L915">
            <v>83.997</v>
          </cell>
          <cell r="T915">
            <v>21.858000000000001</v>
          </cell>
          <cell r="U915">
            <v>26.51</v>
          </cell>
          <cell r="V915">
            <v>182</v>
          </cell>
          <cell r="AA915">
            <v>360.52800000000002</v>
          </cell>
          <cell r="AC915">
            <v>332.59800000000001</v>
          </cell>
          <cell r="AD915">
            <v>26.51</v>
          </cell>
          <cell r="AE915">
            <v>46.17</v>
          </cell>
          <cell r="AJ915">
            <v>328.36</v>
          </cell>
          <cell r="AL915">
            <v>277.31900000000002</v>
          </cell>
          <cell r="AM915">
            <v>1182.0889999999999</v>
          </cell>
          <cell r="AR915">
            <v>1398.75</v>
          </cell>
          <cell r="AU915">
            <v>20.984000000000002</v>
          </cell>
          <cell r="AV915">
            <v>26.498000000000001</v>
          </cell>
          <cell r="AW915">
            <v>23.51</v>
          </cell>
          <cell r="BA915">
            <v>2777.92</v>
          </cell>
          <cell r="BB915">
            <v>294.14699999999999</v>
          </cell>
          <cell r="BD915">
            <v>20.984000000000002</v>
          </cell>
          <cell r="BE915">
            <v>26.498000000000001</v>
          </cell>
          <cell r="BF915">
            <v>142.69999999999999</v>
          </cell>
        </row>
        <row r="916">
          <cell r="A916">
            <v>10</v>
          </cell>
          <cell r="B916" t="str">
            <v>RM</v>
          </cell>
          <cell r="C916" t="str">
            <v>FM</v>
          </cell>
          <cell r="D916" t="str">
            <v>CPO</v>
          </cell>
          <cell r="E916" t="str">
            <v>CPO</v>
          </cell>
          <cell r="K916">
            <v>790.89499999999998</v>
          </cell>
          <cell r="T916">
            <v>807.61500000000001</v>
          </cell>
          <cell r="AL916">
            <v>157.19900000000001</v>
          </cell>
          <cell r="AN916">
            <v>16</v>
          </cell>
          <cell r="AU916">
            <v>263.10500000000002</v>
          </cell>
          <cell r="BD916">
            <v>5.2010000000000218</v>
          </cell>
        </row>
        <row r="917">
          <cell r="A917">
            <v>11</v>
          </cell>
          <cell r="B917" t="str">
            <v>RM</v>
          </cell>
          <cell r="C917" t="str">
            <v>FM</v>
          </cell>
          <cell r="D917" t="str">
            <v>RBDPN</v>
          </cell>
          <cell r="E917" t="str">
            <v>RBDPN</v>
          </cell>
          <cell r="AL917">
            <v>181.78</v>
          </cell>
        </row>
        <row r="918">
          <cell r="A918">
            <v>12</v>
          </cell>
          <cell r="B918" t="str">
            <v>RM</v>
          </cell>
          <cell r="C918" t="str">
            <v>FM</v>
          </cell>
          <cell r="D918" t="str">
            <v>PFAD</v>
          </cell>
          <cell r="E918" t="str">
            <v>PFAD</v>
          </cell>
          <cell r="F918">
            <v>264.62</v>
          </cell>
          <cell r="G918">
            <v>357.9</v>
          </cell>
          <cell r="J918">
            <v>162.99600000000001</v>
          </cell>
          <cell r="K918">
            <v>674.99799999999993</v>
          </cell>
          <cell r="L918">
            <v>83.997</v>
          </cell>
          <cell r="O918">
            <v>301.3</v>
          </cell>
          <cell r="P918">
            <v>194.71</v>
          </cell>
          <cell r="R918">
            <v>794.6</v>
          </cell>
          <cell r="S918">
            <v>1140.9110000000001</v>
          </cell>
          <cell r="T918">
            <v>21.858000000000001</v>
          </cell>
          <cell r="U918">
            <v>26.51</v>
          </cell>
          <cell r="V918">
            <v>182</v>
          </cell>
          <cell r="X918">
            <v>269.20999999999998</v>
          </cell>
          <cell r="Y918">
            <v>91.71</v>
          </cell>
          <cell r="AA918">
            <v>360.52800000000002</v>
          </cell>
          <cell r="AB918">
            <v>1037.703</v>
          </cell>
          <cell r="AC918">
            <v>332.59800000000001</v>
          </cell>
          <cell r="AD918">
            <v>26.51</v>
          </cell>
          <cell r="AE918">
            <v>46.17</v>
          </cell>
          <cell r="AG918">
            <v>327.5</v>
          </cell>
          <cell r="AJ918">
            <v>328.36</v>
          </cell>
          <cell r="AK918">
            <v>978.48199999999997</v>
          </cell>
          <cell r="AL918">
            <v>277.31900000000002</v>
          </cell>
          <cell r="AM918">
            <v>1182.0889999999999</v>
          </cell>
          <cell r="AP918">
            <v>345.84</v>
          </cell>
          <cell r="AQ918">
            <v>91.71</v>
          </cell>
          <cell r="AR918">
            <v>1398.75</v>
          </cell>
          <cell r="AT918">
            <v>948.21799999999996</v>
          </cell>
          <cell r="AU918">
            <v>20.984000000000002</v>
          </cell>
          <cell r="AV918">
            <v>26.498000000000001</v>
          </cell>
          <cell r="AW918">
            <v>23.51</v>
          </cell>
          <cell r="AY918">
            <v>281.64999999999998</v>
          </cell>
          <cell r="AZ918">
            <v>91.71</v>
          </cell>
          <cell r="BA918">
            <v>2777.92</v>
          </cell>
          <cell r="BB918">
            <v>294.14699999999999</v>
          </cell>
          <cell r="BC918">
            <v>879.428</v>
          </cell>
          <cell r="BD918">
            <v>20.984000000000002</v>
          </cell>
          <cell r="BE918">
            <v>26.498000000000001</v>
          </cell>
          <cell r="BF918">
            <v>142.69999999999999</v>
          </cell>
          <cell r="BJ918">
            <v>2484.8629999999998</v>
          </cell>
          <cell r="BK918">
            <v>166.25700000000001</v>
          </cell>
          <cell r="BM918">
            <v>373.34699999999998</v>
          </cell>
          <cell r="BN918">
            <v>2347.924</v>
          </cell>
          <cell r="BS918">
            <v>2256.2530000000002</v>
          </cell>
          <cell r="BT918">
            <v>93.177000000000021</v>
          </cell>
          <cell r="BV918">
            <v>158.55199999999996</v>
          </cell>
          <cell r="BW918">
            <v>1022.981</v>
          </cell>
          <cell r="BX918">
            <v>147</v>
          </cell>
          <cell r="CB918">
            <v>1638.6869999999999</v>
          </cell>
          <cell r="CC918">
            <v>286.839</v>
          </cell>
          <cell r="CE918">
            <v>125.075</v>
          </cell>
          <cell r="CF918">
            <v>28.311</v>
          </cell>
          <cell r="CG918">
            <v>78.13</v>
          </cell>
          <cell r="CK918">
            <v>1638.6869999999999</v>
          </cell>
          <cell r="CL918">
            <v>232.029</v>
          </cell>
          <cell r="CN918">
            <v>412.98</v>
          </cell>
          <cell r="CO918">
            <v>28.311</v>
          </cell>
          <cell r="CP918">
            <v>100.36</v>
          </cell>
          <cell r="CT918">
            <v>1638.6869999999999</v>
          </cell>
          <cell r="CU918">
            <v>542.25360000000001</v>
          </cell>
          <cell r="CW918">
            <v>509.3</v>
          </cell>
          <cell r="CX918">
            <v>28.311</v>
          </cell>
          <cell r="DC918">
            <v>1638.6869999999999</v>
          </cell>
          <cell r="DD918">
            <v>438.48</v>
          </cell>
          <cell r="DF918">
            <v>509.3</v>
          </cell>
          <cell r="DG918">
            <v>28.311</v>
          </cell>
          <cell r="DH918">
            <v>218.17</v>
          </cell>
          <cell r="DL918">
            <v>1638.6869999999999</v>
          </cell>
          <cell r="DM918">
            <v>179.04600000000002</v>
          </cell>
          <cell r="DO918">
            <v>15.738</v>
          </cell>
          <cell r="DP918">
            <v>28.311</v>
          </cell>
          <cell r="DQ918">
            <v>38.83</v>
          </cell>
        </row>
        <row r="919">
          <cell r="A919">
            <v>13</v>
          </cell>
          <cell r="B919" t="str">
            <v>RM</v>
          </cell>
          <cell r="C919" t="str">
            <v>FM</v>
          </cell>
          <cell r="D919" t="str">
            <v>MUSTARD OIL-EXPELLER</v>
          </cell>
          <cell r="E919" t="str">
            <v>MUSTARD OIL-EXPELLER</v>
          </cell>
          <cell r="I919">
            <v>609.70000000000005</v>
          </cell>
          <cell r="J919">
            <v>153.61099999999999</v>
          </cell>
          <cell r="K919">
            <v>790.89499999999998</v>
          </cell>
          <cell r="T919">
            <v>807.61500000000001</v>
          </cell>
          <cell r="V919">
            <v>128</v>
          </cell>
          <cell r="AA919">
            <v>1157.8</v>
          </cell>
          <cell r="AB919">
            <v>181.316</v>
          </cell>
          <cell r="AE919">
            <v>17.14</v>
          </cell>
          <cell r="AH919">
            <v>91.71</v>
          </cell>
          <cell r="AJ919">
            <v>1262</v>
          </cell>
          <cell r="AK919">
            <v>200.26900000000001</v>
          </cell>
          <cell r="AL919">
            <v>157.19900000000001</v>
          </cell>
          <cell r="AN919">
            <v>16</v>
          </cell>
          <cell r="AS919">
            <v>1684.2</v>
          </cell>
          <cell r="AT919">
            <v>151.47300000000001</v>
          </cell>
          <cell r="AU919">
            <v>263.10500000000002</v>
          </cell>
          <cell r="BB919">
            <v>1739.4</v>
          </cell>
          <cell r="BC919">
            <v>131.303</v>
          </cell>
          <cell r="BD919">
            <v>5.2010000000000218</v>
          </cell>
          <cell r="BM919">
            <v>78.153999999999968</v>
          </cell>
          <cell r="CE919">
            <v>250.35299999999998</v>
          </cell>
          <cell r="CN919">
            <v>340.53199999999998</v>
          </cell>
          <cell r="CW919">
            <v>11.956999999999994</v>
          </cell>
          <cell r="DH919">
            <v>128.37</v>
          </cell>
          <cell r="DO919">
            <v>124.37</v>
          </cell>
        </row>
        <row r="920">
          <cell r="A920">
            <v>14</v>
          </cell>
          <cell r="B920" t="str">
            <v>RM</v>
          </cell>
          <cell r="C920" t="str">
            <v>FM</v>
          </cell>
          <cell r="D920" t="str">
            <v>MUSTARD OIL-REFINED</v>
          </cell>
          <cell r="E920" t="str">
            <v>MUSTARD OIL-REFINED</v>
          </cell>
          <cell r="AL920">
            <v>181.78</v>
          </cell>
        </row>
        <row r="921">
          <cell r="A921">
            <v>15</v>
          </cell>
          <cell r="B921" t="str">
            <v>RM</v>
          </cell>
          <cell r="C921" t="str">
            <v>FM</v>
          </cell>
          <cell r="D921" t="str">
            <v>CRUDE GLYCERINE</v>
          </cell>
          <cell r="E921" t="str">
            <v>CRUDE GLYCERINE</v>
          </cell>
          <cell r="F921">
            <v>264.62</v>
          </cell>
          <cell r="G921">
            <v>357.9</v>
          </cell>
          <cell r="J921">
            <v>1223.1969999999999</v>
          </cell>
          <cell r="K921">
            <v>1949.511</v>
          </cell>
          <cell r="O921">
            <v>301.3</v>
          </cell>
          <cell r="P921">
            <v>194.71</v>
          </cell>
          <cell r="R921">
            <v>794.6</v>
          </cell>
          <cell r="S921">
            <v>1140.9110000000001</v>
          </cell>
          <cell r="T921">
            <v>2177.3760000000002</v>
          </cell>
          <cell r="X921">
            <v>269.20999999999998</v>
          </cell>
          <cell r="Y921">
            <v>91.71</v>
          </cell>
          <cell r="AB921">
            <v>1037.703</v>
          </cell>
          <cell r="AC921">
            <v>2407.8220000000001</v>
          </cell>
          <cell r="AG921">
            <v>327.5</v>
          </cell>
          <cell r="AK921">
            <v>978.48199999999997</v>
          </cell>
          <cell r="AL921">
            <v>2474.8020000000001</v>
          </cell>
          <cell r="AP921">
            <v>345.84</v>
          </cell>
          <cell r="AQ921">
            <v>91.71</v>
          </cell>
          <cell r="AT921">
            <v>948.21799999999996</v>
          </cell>
          <cell r="AU921">
            <v>2317.2399999999998</v>
          </cell>
          <cell r="AY921">
            <v>281.64999999999998</v>
          </cell>
          <cell r="AZ921">
            <v>91.71</v>
          </cell>
          <cell r="BC921">
            <v>879.428</v>
          </cell>
          <cell r="BD921">
            <v>2449.2719999999999</v>
          </cell>
          <cell r="BH921">
            <v>275.10000000000002</v>
          </cell>
          <cell r="BI921">
            <v>91.71</v>
          </cell>
          <cell r="BM921">
            <v>2439.5920000000001</v>
          </cell>
          <cell r="BQ921">
            <v>368.11</v>
          </cell>
          <cell r="BR921">
            <v>91.71</v>
          </cell>
          <cell r="BU921">
            <v>1146.9359999999999</v>
          </cell>
          <cell r="BV921">
            <v>2407.7060000000001</v>
          </cell>
          <cell r="BZ921">
            <v>248.245</v>
          </cell>
          <cell r="CA921">
            <v>91.71</v>
          </cell>
          <cell r="CD921">
            <v>1019.328</v>
          </cell>
          <cell r="CE921">
            <v>2483.9140000000002</v>
          </cell>
          <cell r="CI921">
            <v>353.7</v>
          </cell>
          <cell r="CJ921">
            <v>91.71</v>
          </cell>
          <cell r="CM921">
            <v>952.58399999999995</v>
          </cell>
          <cell r="CN921">
            <v>2389.5</v>
          </cell>
          <cell r="CR921">
            <v>335.36</v>
          </cell>
          <cell r="CS921">
            <v>193.18</v>
          </cell>
          <cell r="CV921">
            <v>1066.432</v>
          </cell>
          <cell r="CW921">
            <v>2367.8629999999998</v>
          </cell>
          <cell r="DA921">
            <v>320.95</v>
          </cell>
          <cell r="DB921">
            <v>150.43</v>
          </cell>
          <cell r="DE921">
            <v>1171.4459999999999</v>
          </cell>
          <cell r="DF921">
            <v>2292.6799999999998</v>
          </cell>
          <cell r="DJ921">
            <v>203.70500000000001</v>
          </cell>
          <cell r="DK921">
            <v>107.01</v>
          </cell>
          <cell r="DN921">
            <v>1071.231</v>
          </cell>
          <cell r="DO921">
            <v>2481.79</v>
          </cell>
          <cell r="DQ921">
            <v>90.37</v>
          </cell>
        </row>
        <row r="922">
          <cell r="A922">
            <v>16</v>
          </cell>
          <cell r="B922" t="str">
            <v>RM</v>
          </cell>
          <cell r="C922" t="str">
            <v>FM</v>
          </cell>
          <cell r="D922" t="str">
            <v>CAUSTIC SODA</v>
          </cell>
          <cell r="E922" t="str">
            <v>CAUSTIC SODA</v>
          </cell>
          <cell r="F922">
            <v>264.62</v>
          </cell>
          <cell r="G922">
            <v>357.9</v>
          </cell>
          <cell r="H922">
            <v>0</v>
          </cell>
          <cell r="I922">
            <v>609.70000000000005</v>
          </cell>
          <cell r="J922">
            <v>153.61099999999999</v>
          </cell>
          <cell r="K922">
            <v>5479.576</v>
          </cell>
          <cell r="L922">
            <v>1648.7660000000001</v>
          </cell>
          <cell r="M922">
            <v>43.79</v>
          </cell>
          <cell r="N922">
            <v>0</v>
          </cell>
          <cell r="O922">
            <v>301.3</v>
          </cell>
          <cell r="P922">
            <v>194.71</v>
          </cell>
          <cell r="Q922">
            <v>0</v>
          </cell>
          <cell r="R922">
            <v>1134.8942857142856</v>
          </cell>
          <cell r="S922">
            <v>1179.029</v>
          </cell>
          <cell r="T922">
            <v>4115.4520000000002</v>
          </cell>
          <cell r="U922">
            <v>49.539000000000001</v>
          </cell>
          <cell r="V922">
            <v>128</v>
          </cell>
          <cell r="W922">
            <v>0</v>
          </cell>
          <cell r="X922">
            <v>269.20999999999998</v>
          </cell>
          <cell r="Y922">
            <v>91.71</v>
          </cell>
          <cell r="Z922">
            <v>0</v>
          </cell>
          <cell r="AA922">
            <v>1157.8</v>
          </cell>
          <cell r="AB922">
            <v>181.316</v>
          </cell>
          <cell r="AC922">
            <v>3225.4390000000003</v>
          </cell>
          <cell r="AD922">
            <v>2061.2539999999999</v>
          </cell>
          <cell r="AE922">
            <v>17.14</v>
          </cell>
          <cell r="AF922">
            <v>0</v>
          </cell>
          <cell r="AG922">
            <v>327.5</v>
          </cell>
          <cell r="AH922">
            <v>91.71</v>
          </cell>
          <cell r="AI922">
            <v>0</v>
          </cell>
          <cell r="AJ922">
            <v>1262</v>
          </cell>
          <cell r="AK922">
            <v>200.26900000000001</v>
          </cell>
          <cell r="AL922">
            <v>3237.2400000000002</v>
          </cell>
          <cell r="AM922">
            <v>8847.8459999999995</v>
          </cell>
          <cell r="AN922">
            <v>42.81</v>
          </cell>
          <cell r="AO922">
            <v>0</v>
          </cell>
          <cell r="AP922">
            <v>345.84</v>
          </cell>
          <cell r="AQ922">
            <v>91.71</v>
          </cell>
          <cell r="AR922">
            <v>1398.75</v>
          </cell>
          <cell r="AS922">
            <v>1684.2</v>
          </cell>
          <cell r="AT922">
            <v>151.47300000000001</v>
          </cell>
          <cell r="AU922">
            <v>5055.7539999999999</v>
          </cell>
          <cell r="AV922">
            <v>3863.3450000000003</v>
          </cell>
          <cell r="AW922">
            <v>70.900000000000006</v>
          </cell>
          <cell r="AX922">
            <v>0</v>
          </cell>
          <cell r="AY922">
            <v>281.64999999999998</v>
          </cell>
          <cell r="AZ922">
            <v>91.71</v>
          </cell>
          <cell r="BA922">
            <v>2777.92</v>
          </cell>
          <cell r="BB922">
            <v>1739.4</v>
          </cell>
          <cell r="BC922">
            <v>131.303</v>
          </cell>
          <cell r="BD922">
            <v>4978.7219999999998</v>
          </cell>
          <cell r="BE922">
            <v>2795.0239999999999</v>
          </cell>
          <cell r="BF922">
            <v>230.32</v>
          </cell>
          <cell r="BG922">
            <v>0</v>
          </cell>
          <cell r="BK922">
            <v>1575.6</v>
          </cell>
          <cell r="BO922">
            <v>82.28</v>
          </cell>
          <cell r="BT922">
            <v>1522.1</v>
          </cell>
          <cell r="BU922">
            <v>129.02000000000001</v>
          </cell>
          <cell r="CC922">
            <v>1321.3</v>
          </cell>
          <cell r="CD922">
            <v>143.77500000000001</v>
          </cell>
          <cell r="CL922">
            <v>1117.2</v>
          </cell>
          <cell r="CM922">
            <v>118.336</v>
          </cell>
          <cell r="CU922">
            <v>1044.0999999999999</v>
          </cell>
          <cell r="CV922">
            <v>94.563000000000002</v>
          </cell>
          <cell r="DD922">
            <v>999.2</v>
          </cell>
          <cell r="DE922">
            <v>107.032</v>
          </cell>
          <cell r="DM922">
            <v>731.1</v>
          </cell>
          <cell r="DN922">
            <v>132.45099999999999</v>
          </cell>
        </row>
        <row r="923">
          <cell r="A923">
            <v>17</v>
          </cell>
          <cell r="B923" t="str">
            <v>RM</v>
          </cell>
          <cell r="C923" t="str">
            <v>FM</v>
          </cell>
          <cell r="D923" t="str">
            <v>MINERAL OIL(SAVANOL-82)</v>
          </cell>
          <cell r="E923" t="str">
            <v>MINERAL OIL(SAVANOL-82)</v>
          </cell>
        </row>
        <row r="924">
          <cell r="A924">
            <v>237</v>
          </cell>
          <cell r="B924" t="str">
            <v>RM</v>
          </cell>
          <cell r="C924" t="str">
            <v>FM</v>
          </cell>
          <cell r="D924" t="str">
            <v>NEEM OIL</v>
          </cell>
          <cell r="E924" t="str">
            <v>NEEM OIL</v>
          </cell>
          <cell r="G924">
            <v>792.15</v>
          </cell>
          <cell r="I924">
            <v>345.303</v>
          </cell>
          <cell r="J924">
            <v>38.118000000000002</v>
          </cell>
          <cell r="K924">
            <v>341.04200000000003</v>
          </cell>
          <cell r="M924">
            <v>661.44</v>
          </cell>
          <cell r="P924">
            <v>400.86</v>
          </cell>
          <cell r="R924">
            <v>179.04600000000002</v>
          </cell>
          <cell r="S924">
            <v>38.118000000000002</v>
          </cell>
          <cell r="T924">
            <v>393.22899999999993</v>
          </cell>
          <cell r="V924">
            <v>959.59</v>
          </cell>
          <cell r="Y924">
            <v>517.14</v>
          </cell>
          <cell r="AA924">
            <v>458.577</v>
          </cell>
          <cell r="AB924">
            <v>38.118000000000002</v>
          </cell>
          <cell r="AC924">
            <v>1237.2049999999999</v>
          </cell>
          <cell r="AE924">
            <v>1460.46</v>
          </cell>
          <cell r="AH924">
            <v>1330.48</v>
          </cell>
          <cell r="AJ924">
            <v>476.84700000000004</v>
          </cell>
          <cell r="AK924">
            <v>38.118000000000002</v>
          </cell>
          <cell r="AL924">
            <v>1651.412</v>
          </cell>
          <cell r="AN924">
            <v>633.09</v>
          </cell>
          <cell r="AQ924">
            <v>1238.76</v>
          </cell>
          <cell r="AS924">
            <v>365.4</v>
          </cell>
          <cell r="AU924">
            <v>666.34699999999987</v>
          </cell>
          <cell r="AW924">
            <v>863.63</v>
          </cell>
          <cell r="AZ924">
            <v>1435.66</v>
          </cell>
          <cell r="BB924">
            <v>498.77100000000007</v>
          </cell>
          <cell r="BD924">
            <v>1113.921</v>
          </cell>
          <cell r="BF924">
            <v>461.5</v>
          </cell>
        </row>
        <row r="925">
          <cell r="A925">
            <v>19</v>
          </cell>
          <cell r="B925" t="str">
            <v>SRM</v>
          </cell>
          <cell r="C925" t="str">
            <v>FM</v>
          </cell>
          <cell r="D925" t="str">
            <v>RM TOTAL</v>
          </cell>
          <cell r="E925" t="str">
            <v>RM TOTAL</v>
          </cell>
          <cell r="F925">
            <v>264.62</v>
          </cell>
          <cell r="G925">
            <v>357.9</v>
          </cell>
          <cell r="H925">
            <v>0</v>
          </cell>
          <cell r="I925">
            <v>858.38000000000011</v>
          </cell>
          <cell r="J925">
            <v>1577.922</v>
          </cell>
          <cell r="K925">
            <v>5479.576</v>
          </cell>
          <cell r="L925">
            <v>1648.7660000000001</v>
          </cell>
          <cell r="M925">
            <v>43.79</v>
          </cell>
          <cell r="N925">
            <v>0</v>
          </cell>
          <cell r="O925">
            <v>301.3</v>
          </cell>
          <cell r="P925">
            <v>194.71</v>
          </cell>
          <cell r="Q925">
            <v>0</v>
          </cell>
          <cell r="R925">
            <v>1134.8942857142856</v>
          </cell>
          <cell r="S925">
            <v>1179.029</v>
          </cell>
          <cell r="T925">
            <v>4115.4520000000002</v>
          </cell>
          <cell r="U925">
            <v>49.539000000000001</v>
          </cell>
          <cell r="V925">
            <v>379</v>
          </cell>
          <cell r="W925">
            <v>0</v>
          </cell>
          <cell r="X925">
            <v>269.20999999999998</v>
          </cell>
          <cell r="Y925">
            <v>91.71</v>
          </cell>
          <cell r="Z925">
            <v>0</v>
          </cell>
          <cell r="AA925">
            <v>1832.8702857142857</v>
          </cell>
          <cell r="AB925">
            <v>1257.1369999999999</v>
          </cell>
          <cell r="AC925">
            <v>3225.4390000000003</v>
          </cell>
          <cell r="AD925">
            <v>2061.2539999999999</v>
          </cell>
          <cell r="AE925">
            <v>63.31</v>
          </cell>
          <cell r="AF925">
            <v>0</v>
          </cell>
          <cell r="AG925">
            <v>327.5</v>
          </cell>
          <cell r="AH925">
            <v>91.71</v>
          </cell>
          <cell r="AI925">
            <v>0</v>
          </cell>
          <cell r="AJ925">
            <v>1665.7</v>
          </cell>
          <cell r="AK925">
            <v>1216.8689999999999</v>
          </cell>
          <cell r="AL925">
            <v>3237.2400000000002</v>
          </cell>
          <cell r="AM925">
            <v>8847.8459999999995</v>
          </cell>
          <cell r="AN925">
            <v>58.81</v>
          </cell>
          <cell r="AO925">
            <v>0</v>
          </cell>
          <cell r="AP925">
            <v>345.84</v>
          </cell>
          <cell r="AQ925">
            <v>91.71</v>
          </cell>
          <cell r="AR925">
            <v>1398.75</v>
          </cell>
          <cell r="AS925">
            <v>1703.3835000000001</v>
          </cell>
          <cell r="AT925">
            <v>1099.691</v>
          </cell>
          <cell r="AU925">
            <v>5055.7539999999999</v>
          </cell>
          <cell r="AV925">
            <v>3863.3450000000003</v>
          </cell>
          <cell r="AW925">
            <v>70.900000000000006</v>
          </cell>
          <cell r="AX925">
            <v>0</v>
          </cell>
          <cell r="AY925">
            <v>281.64999999999998</v>
          </cell>
          <cell r="AZ925">
            <v>91.71</v>
          </cell>
          <cell r="BA925">
            <v>2777.92</v>
          </cell>
          <cell r="BB925">
            <v>2174.6610000000001</v>
          </cell>
          <cell r="BC925">
            <v>1010.731</v>
          </cell>
          <cell r="BD925">
            <v>4978.7219999999998</v>
          </cell>
          <cell r="BE925">
            <v>2795.0239999999999</v>
          </cell>
          <cell r="BF925">
            <v>230.32</v>
          </cell>
          <cell r="BG925">
            <v>0</v>
          </cell>
          <cell r="BH925">
            <v>275.10000000000002</v>
          </cell>
          <cell r="BI925">
            <v>91.71</v>
          </cell>
          <cell r="BJ925">
            <v>2484.8629999999998</v>
          </cell>
          <cell r="BK925">
            <v>1852.2227142857141</v>
          </cell>
          <cell r="BL925">
            <v>0</v>
          </cell>
          <cell r="BM925">
            <v>5783.4690000000001</v>
          </cell>
          <cell r="BN925">
            <v>3675.83</v>
          </cell>
          <cell r="BO925">
            <v>292.92999999999995</v>
          </cell>
          <cell r="BP925">
            <v>0</v>
          </cell>
          <cell r="BQ925">
            <v>368.11</v>
          </cell>
          <cell r="BR925">
            <v>91.71</v>
          </cell>
          <cell r="BS925">
            <v>2256.2530000000002</v>
          </cell>
          <cell r="BT925">
            <v>2018.0175714285713</v>
          </cell>
          <cell r="BU925">
            <v>1290.8599999999999</v>
          </cell>
          <cell r="BV925">
            <v>5080.3790000000008</v>
          </cell>
          <cell r="BW925">
            <v>7474.6729999999998</v>
          </cell>
          <cell r="BX925">
            <v>327.85</v>
          </cell>
          <cell r="BY925">
            <v>0</v>
          </cell>
          <cell r="BZ925">
            <v>248.245</v>
          </cell>
          <cell r="CA925">
            <v>91.71</v>
          </cell>
          <cell r="CB925">
            <v>1638.6869999999999</v>
          </cell>
          <cell r="CC925">
            <v>2806.4389999999999</v>
          </cell>
          <cell r="CD925">
            <v>1163.1030000000001</v>
          </cell>
          <cell r="CE925">
            <v>5749.7350000000006</v>
          </cell>
          <cell r="CF925">
            <v>4364.6779999999999</v>
          </cell>
          <cell r="CG925">
            <v>237.53</v>
          </cell>
          <cell r="CH925">
            <v>0</v>
          </cell>
          <cell r="CI925">
            <v>353.7</v>
          </cell>
          <cell r="CJ925">
            <v>91.71</v>
          </cell>
          <cell r="CK925">
            <v>1638.6869999999999</v>
          </cell>
          <cell r="CL925">
            <v>2601.0290000000005</v>
          </cell>
          <cell r="CM925">
            <v>1070.9199999999998</v>
          </cell>
          <cell r="CN925">
            <v>6657.51</v>
          </cell>
          <cell r="CO925">
            <v>1787.8499999999997</v>
          </cell>
          <cell r="CP925">
            <v>100.36</v>
          </cell>
          <cell r="CQ925">
            <v>0</v>
          </cell>
          <cell r="CR925">
            <v>335.36</v>
          </cell>
          <cell r="CS925">
            <v>193.18</v>
          </cell>
          <cell r="CT925">
            <v>1638.6869999999999</v>
          </cell>
          <cell r="CU925">
            <v>2854.1536000000001</v>
          </cell>
          <cell r="CV925">
            <v>1160.9950000000001</v>
          </cell>
          <cell r="CW925">
            <v>6894.7620000000006</v>
          </cell>
          <cell r="CX925">
            <v>300.01</v>
          </cell>
          <cell r="CY925">
            <v>0</v>
          </cell>
          <cell r="CZ925">
            <v>0</v>
          </cell>
          <cell r="DA925">
            <v>320.95</v>
          </cell>
          <cell r="DB925">
            <v>150.43</v>
          </cell>
          <cell r="DC925">
            <v>1638.6869999999999</v>
          </cell>
          <cell r="DD925">
            <v>2700.48</v>
          </cell>
          <cell r="DE925">
            <v>1278.4779999999998</v>
          </cell>
          <cell r="DF925">
            <v>5826.2389999999996</v>
          </cell>
          <cell r="DG925">
            <v>32.96</v>
          </cell>
          <cell r="DH925">
            <v>346.53999999999996</v>
          </cell>
          <cell r="DI925">
            <v>0</v>
          </cell>
          <cell r="DJ925">
            <v>203.70500000000001</v>
          </cell>
          <cell r="DK925">
            <v>107.01</v>
          </cell>
          <cell r="DL925">
            <v>1638.6869999999999</v>
          </cell>
          <cell r="DM925">
            <v>1610.0477142857144</v>
          </cell>
          <cell r="DN925">
            <v>1203.682</v>
          </cell>
          <cell r="DO925">
            <v>3541.386</v>
          </cell>
          <cell r="DP925">
            <v>8966.973</v>
          </cell>
          <cell r="DQ925">
            <v>129.19999999999999</v>
          </cell>
          <cell r="DR925">
            <v>0</v>
          </cell>
        </row>
        <row r="926">
          <cell r="A926" t="str">
            <v>SPLIT FATTY ACIDS</v>
          </cell>
          <cell r="B926" t="str">
            <v>SRM</v>
          </cell>
          <cell r="C926" t="str">
            <v>FM</v>
          </cell>
          <cell r="D926" t="str">
            <v>SCPKO-HLL</v>
          </cell>
          <cell r="E926" t="str">
            <v>SCPKO-HLL</v>
          </cell>
        </row>
        <row r="927">
          <cell r="A927">
            <v>18</v>
          </cell>
          <cell r="B927" t="str">
            <v>SRM</v>
          </cell>
          <cell r="C927" t="str">
            <v>FM</v>
          </cell>
          <cell r="D927" t="str">
            <v>SCPKO</v>
          </cell>
          <cell r="E927" t="str">
            <v>SCPKO</v>
          </cell>
          <cell r="G927">
            <v>792.15</v>
          </cell>
          <cell r="I927">
            <v>345.303</v>
          </cell>
          <cell r="K927">
            <v>341.04200000000003</v>
          </cell>
          <cell r="M927">
            <v>661.44</v>
          </cell>
          <cell r="P927">
            <v>400.86</v>
          </cell>
          <cell r="R927">
            <v>179.04600000000002</v>
          </cell>
          <cell r="T927">
            <v>393.22899999999993</v>
          </cell>
          <cell r="V927">
            <v>959.59</v>
          </cell>
          <cell r="Y927">
            <v>517.14</v>
          </cell>
          <cell r="AA927">
            <v>458.577</v>
          </cell>
          <cell r="AC927">
            <v>1237.2049999999999</v>
          </cell>
          <cell r="AE927">
            <v>1460.46</v>
          </cell>
          <cell r="AH927">
            <v>1330.48</v>
          </cell>
          <cell r="AJ927">
            <v>476.84700000000004</v>
          </cell>
          <cell r="AL927">
            <v>1651.412</v>
          </cell>
          <cell r="AN927">
            <v>633.09</v>
          </cell>
          <cell r="AQ927">
            <v>1238.76</v>
          </cell>
          <cell r="AS927">
            <v>365.4</v>
          </cell>
          <cell r="AU927">
            <v>666.34699999999987</v>
          </cell>
          <cell r="AW927">
            <v>863.63</v>
          </cell>
          <cell r="AZ927">
            <v>1435.66</v>
          </cell>
          <cell r="BB927">
            <v>498.77100000000007</v>
          </cell>
          <cell r="BD927">
            <v>1113.921</v>
          </cell>
          <cell r="BF927">
            <v>461.5</v>
          </cell>
          <cell r="BI927">
            <v>1136.3800000000001</v>
          </cell>
          <cell r="BK927">
            <v>484.15499999999997</v>
          </cell>
          <cell r="BM927">
            <v>729.41100000000006</v>
          </cell>
          <cell r="BO927">
            <v>1299.21</v>
          </cell>
          <cell r="BR927">
            <v>713.4</v>
          </cell>
          <cell r="BT927">
            <v>588.29399999999998</v>
          </cell>
          <cell r="BV927">
            <v>291.15800000000002</v>
          </cell>
          <cell r="BX927">
            <v>1057</v>
          </cell>
          <cell r="CA927">
            <v>691.98</v>
          </cell>
          <cell r="CC927">
            <v>274.05</v>
          </cell>
          <cell r="CE927">
            <v>438.32600000000002</v>
          </cell>
          <cell r="CG927">
            <v>1242.97</v>
          </cell>
          <cell r="CL927">
            <v>537.13800000000003</v>
          </cell>
          <cell r="CN927">
            <v>895.60699999999997</v>
          </cell>
          <cell r="CP927">
            <v>101.84</v>
          </cell>
          <cell r="CU927">
            <v>133.37100000000001</v>
          </cell>
          <cell r="CW927">
            <v>288.53500000000003</v>
          </cell>
          <cell r="CY927">
            <v>685.86</v>
          </cell>
          <cell r="DD927">
            <v>40.194000000000052</v>
          </cell>
          <cell r="DF927">
            <v>474.77199999999993</v>
          </cell>
          <cell r="DH927">
            <v>359.7</v>
          </cell>
          <cell r="DM927">
            <v>754.74199999999996</v>
          </cell>
          <cell r="DO927">
            <v>2128.1669999999999</v>
          </cell>
          <cell r="DQ927">
            <v>568.94000000000005</v>
          </cell>
        </row>
        <row r="928">
          <cell r="A928">
            <v>19</v>
          </cell>
          <cell r="B928" t="str">
            <v>SRM</v>
          </cell>
          <cell r="C928" t="str">
            <v>FM</v>
          </cell>
          <cell r="D928" t="str">
            <v>SCNO</v>
          </cell>
          <cell r="E928" t="str">
            <v>SCNO</v>
          </cell>
        </row>
        <row r="929">
          <cell r="A929">
            <v>20</v>
          </cell>
          <cell r="B929" t="str">
            <v>SRM</v>
          </cell>
          <cell r="C929" t="str">
            <v>FM</v>
          </cell>
          <cell r="D929" t="str">
            <v>SCPKO-HLL</v>
          </cell>
          <cell r="E929" t="str">
            <v>SCPKO-HLL</v>
          </cell>
          <cell r="G929">
            <v>201.39660000000001</v>
          </cell>
          <cell r="K929">
            <v>28.806999999999999</v>
          </cell>
          <cell r="P929">
            <v>201.39660000000001</v>
          </cell>
          <cell r="T929">
            <v>37.424999999999997</v>
          </cell>
          <cell r="V929">
            <v>233</v>
          </cell>
          <cell r="X929">
            <v>410.4</v>
          </cell>
          <cell r="AC929">
            <v>37.424999999999997</v>
          </cell>
          <cell r="AG929">
            <v>505.30500000000001</v>
          </cell>
          <cell r="AL929">
            <v>37.424999999999997</v>
          </cell>
          <cell r="AP929">
            <v>505.30500000000001</v>
          </cell>
          <cell r="AU929">
            <v>37.424999999999997</v>
          </cell>
          <cell r="AY929">
            <v>505.30500000000001</v>
          </cell>
          <cell r="BD929">
            <v>37.424999999999997</v>
          </cell>
        </row>
        <row r="930">
          <cell r="A930">
            <v>21</v>
          </cell>
          <cell r="B930" t="str">
            <v>SRM</v>
          </cell>
          <cell r="C930" t="str">
            <v>FM</v>
          </cell>
          <cell r="D930" t="str">
            <v>SPKFAD</v>
          </cell>
          <cell r="E930" t="str">
            <v>SPKFAD</v>
          </cell>
          <cell r="K930">
            <v>209.65</v>
          </cell>
          <cell r="T930">
            <v>209.65</v>
          </cell>
          <cell r="AC930">
            <v>209.65</v>
          </cell>
          <cell r="AL930">
            <v>209.65</v>
          </cell>
          <cell r="AU930">
            <v>209.65</v>
          </cell>
          <cell r="BD930">
            <v>209.65</v>
          </cell>
          <cell r="BM930">
            <v>152.36000000000001</v>
          </cell>
          <cell r="BV930">
            <v>152.36000000000001</v>
          </cell>
          <cell r="CE930">
            <v>152.36000000000001</v>
          </cell>
          <cell r="CN930">
            <v>152.36000000000001</v>
          </cell>
          <cell r="CW930">
            <v>152.36000000000001</v>
          </cell>
          <cell r="DF930">
            <v>152.36000000000001</v>
          </cell>
          <cell r="DO930">
            <v>152.36000000000001</v>
          </cell>
        </row>
        <row r="931">
          <cell r="A931">
            <v>22</v>
          </cell>
          <cell r="B931" t="str">
            <v>SRM</v>
          </cell>
          <cell r="C931" t="str">
            <v>FM</v>
          </cell>
          <cell r="D931" t="str">
            <v>SCPS</v>
          </cell>
          <cell r="E931" t="str">
            <v>SCPS</v>
          </cell>
          <cell r="F931">
            <v>163.30500000000001</v>
          </cell>
          <cell r="G931">
            <v>18.75</v>
          </cell>
          <cell r="H931">
            <v>4.42</v>
          </cell>
          <cell r="K931">
            <v>524.18499999999995</v>
          </cell>
          <cell r="M931">
            <v>832.73</v>
          </cell>
          <cell r="P931">
            <v>175</v>
          </cell>
          <cell r="Q931">
            <v>4.42</v>
          </cell>
          <cell r="R931">
            <v>239.12571428571425</v>
          </cell>
          <cell r="S931">
            <v>101.568</v>
          </cell>
          <cell r="T931">
            <v>410.20400000000001</v>
          </cell>
          <cell r="Z931">
            <v>4.42</v>
          </cell>
          <cell r="AA931">
            <v>67.139142857142829</v>
          </cell>
          <cell r="AB931">
            <v>96.86</v>
          </cell>
          <cell r="AC931">
            <v>126.414</v>
          </cell>
          <cell r="AI931">
            <v>4.42</v>
          </cell>
          <cell r="AJ931">
            <v>82.77428571428571</v>
          </cell>
          <cell r="AK931">
            <v>41.616</v>
          </cell>
          <cell r="AL931">
            <v>152.59299999999999</v>
          </cell>
          <cell r="AN931">
            <v>111.22</v>
          </cell>
          <cell r="AP931">
            <v>25.866</v>
          </cell>
          <cell r="AR931">
            <v>4.42</v>
          </cell>
          <cell r="AS931">
            <v>36.78857142857143</v>
          </cell>
          <cell r="AU931">
            <v>180.357</v>
          </cell>
          <cell r="AW931">
            <v>794.41</v>
          </cell>
          <cell r="BA931">
            <v>4.42</v>
          </cell>
          <cell r="BB931">
            <v>202.33714285714285</v>
          </cell>
          <cell r="BC931">
            <v>120.56399999999999</v>
          </cell>
          <cell r="BD931">
            <v>67.057000000000002</v>
          </cell>
          <cell r="BF931">
            <v>104.56</v>
          </cell>
        </row>
        <row r="932">
          <cell r="A932">
            <v>23</v>
          </cell>
          <cell r="B932" t="str">
            <v>SRM</v>
          </cell>
          <cell r="C932" t="str">
            <v>FM</v>
          </cell>
          <cell r="D932" t="str">
            <v>SRBDPS</v>
          </cell>
          <cell r="E932" t="str">
            <v>SRBDPS</v>
          </cell>
          <cell r="G932">
            <v>201.39660000000001</v>
          </cell>
          <cell r="K932">
            <v>28.806999999999999</v>
          </cell>
          <cell r="P932">
            <v>201.39660000000001</v>
          </cell>
          <cell r="T932">
            <v>37.424999999999997</v>
          </cell>
          <cell r="V932">
            <v>233</v>
          </cell>
          <cell r="X932">
            <v>410.4</v>
          </cell>
          <cell r="AC932">
            <v>37.424999999999997</v>
          </cell>
          <cell r="AG932">
            <v>505.30500000000001</v>
          </cell>
          <cell r="AL932">
            <v>37.424999999999997</v>
          </cell>
          <cell r="AP932">
            <v>505.30500000000001</v>
          </cell>
          <cell r="AU932">
            <v>37.424999999999997</v>
          </cell>
          <cell r="AY932">
            <v>505.30500000000001</v>
          </cell>
          <cell r="BD932">
            <v>37.424999999999997</v>
          </cell>
          <cell r="BH932">
            <v>505.30500000000001</v>
          </cell>
          <cell r="BM932">
            <v>37.424999999999997</v>
          </cell>
          <cell r="BQ932">
            <v>505.30500000000001</v>
          </cell>
          <cell r="BV932">
            <v>37.424999999999997</v>
          </cell>
          <cell r="BZ932">
            <v>505.30500000000001</v>
          </cell>
          <cell r="CE932">
            <v>37.424999999999997</v>
          </cell>
          <cell r="CI932">
            <v>505.30500000000001</v>
          </cell>
          <cell r="CN932">
            <v>37.424999999999997</v>
          </cell>
          <cell r="CR932">
            <v>505.30500000000001</v>
          </cell>
          <cell r="CW932">
            <v>37.424999999999997</v>
          </cell>
          <cell r="DA932">
            <v>505.30500000000001</v>
          </cell>
          <cell r="DF932">
            <v>37.424999999999997</v>
          </cell>
          <cell r="DJ932">
            <v>505.30500000000001</v>
          </cell>
          <cell r="DO932">
            <v>37.424999999999997</v>
          </cell>
        </row>
        <row r="933">
          <cell r="A933">
            <v>24</v>
          </cell>
          <cell r="B933" t="str">
            <v>SRM</v>
          </cell>
          <cell r="C933" t="str">
            <v>FM</v>
          </cell>
          <cell r="D933" t="str">
            <v>SCPO</v>
          </cell>
          <cell r="E933" t="str">
            <v>SCPO</v>
          </cell>
          <cell r="AC933">
            <v>11.241</v>
          </cell>
          <cell r="AU933">
            <v>407.7</v>
          </cell>
          <cell r="BD933">
            <v>339.74599999999998</v>
          </cell>
        </row>
        <row r="934">
          <cell r="A934">
            <v>25</v>
          </cell>
          <cell r="B934" t="str">
            <v>SRM</v>
          </cell>
          <cell r="C934" t="str">
            <v>FM</v>
          </cell>
          <cell r="D934" t="str">
            <v>SPFAD</v>
          </cell>
          <cell r="E934" t="str">
            <v>SPFAD</v>
          </cell>
          <cell r="F934">
            <v>163.30500000000001</v>
          </cell>
          <cell r="G934">
            <v>18.75</v>
          </cell>
          <cell r="H934">
            <v>4.42</v>
          </cell>
          <cell r="I934">
            <v>590.12099999999998</v>
          </cell>
          <cell r="K934">
            <v>524.18499999999995</v>
          </cell>
          <cell r="M934">
            <v>832.73</v>
          </cell>
          <cell r="P934">
            <v>175</v>
          </cell>
          <cell r="Q934">
            <v>4.42</v>
          </cell>
          <cell r="R934">
            <v>239.12571428571425</v>
          </cell>
          <cell r="S934">
            <v>101.568</v>
          </cell>
          <cell r="T934">
            <v>410.20400000000001</v>
          </cell>
          <cell r="V934">
            <v>345.18</v>
          </cell>
          <cell r="Z934">
            <v>4.42</v>
          </cell>
          <cell r="AA934">
            <v>67.139142857142829</v>
          </cell>
          <cell r="AB934">
            <v>96.86</v>
          </cell>
          <cell r="AC934">
            <v>126.414</v>
          </cell>
          <cell r="AI934">
            <v>4.42</v>
          </cell>
          <cell r="AJ934">
            <v>82.77428571428571</v>
          </cell>
          <cell r="AK934">
            <v>41.616</v>
          </cell>
          <cell r="AL934">
            <v>152.59299999999999</v>
          </cell>
          <cell r="AN934">
            <v>111.22</v>
          </cell>
          <cell r="AP934">
            <v>25.866</v>
          </cell>
          <cell r="AR934">
            <v>4.42</v>
          </cell>
          <cell r="AS934">
            <v>36.78857142857143</v>
          </cell>
          <cell r="AU934">
            <v>180.357</v>
          </cell>
          <cell r="AW934">
            <v>794.41</v>
          </cell>
          <cell r="BA934">
            <v>4.42</v>
          </cell>
          <cell r="BB934">
            <v>202.33714285714285</v>
          </cell>
          <cell r="BC934">
            <v>120.56399999999999</v>
          </cell>
          <cell r="BD934">
            <v>67.057000000000002</v>
          </cell>
          <cell r="BF934">
            <v>104.56</v>
          </cell>
          <cell r="BJ934">
            <v>4.42</v>
          </cell>
          <cell r="BK934">
            <v>108.52628571428568</v>
          </cell>
          <cell r="BL934">
            <v>50.591999999999999</v>
          </cell>
          <cell r="BM934">
            <v>213.15300000000002</v>
          </cell>
          <cell r="BQ934">
            <v>265.01850000000002</v>
          </cell>
          <cell r="BS934">
            <v>4.42</v>
          </cell>
          <cell r="BT934">
            <v>150.83314285714283</v>
          </cell>
          <cell r="BU934">
            <v>123.828</v>
          </cell>
          <cell r="BV934">
            <v>1612.7029999999997</v>
          </cell>
          <cell r="BX934">
            <v>375.02</v>
          </cell>
          <cell r="BZ934">
            <v>224.14500000000001</v>
          </cell>
          <cell r="CB934">
            <v>4.42</v>
          </cell>
          <cell r="CC934">
            <v>507.68228571428574</v>
          </cell>
          <cell r="CD934">
            <v>129.744</v>
          </cell>
          <cell r="CE934">
            <v>2381.6880000000001</v>
          </cell>
          <cell r="CG934">
            <v>73.319999999999993</v>
          </cell>
          <cell r="CI934">
            <v>224.14500000000001</v>
          </cell>
          <cell r="CK934">
            <v>4.42</v>
          </cell>
          <cell r="CL934">
            <v>559.18628571428576</v>
          </cell>
          <cell r="CM934">
            <v>74.867999999999995</v>
          </cell>
          <cell r="CN934">
            <v>1965.548</v>
          </cell>
          <cell r="CR934">
            <v>145.85</v>
          </cell>
          <cell r="CT934">
            <v>4.42</v>
          </cell>
          <cell r="CU934">
            <v>552.74828571428577</v>
          </cell>
          <cell r="CV934">
            <v>36.107999999999997</v>
          </cell>
          <cell r="CW934">
            <v>1212.3779999999999</v>
          </cell>
          <cell r="CY934">
            <v>629.53</v>
          </cell>
          <cell r="DA934">
            <v>76.37700000000001</v>
          </cell>
          <cell r="DC934">
            <v>4.42</v>
          </cell>
          <cell r="DD934">
            <v>253.84114285714287</v>
          </cell>
          <cell r="DE934">
            <v>53.652000000000001</v>
          </cell>
          <cell r="DF934">
            <v>925.69800000000009</v>
          </cell>
          <cell r="DH934">
            <v>63</v>
          </cell>
          <cell r="DL934">
            <v>4.42</v>
          </cell>
          <cell r="DM934">
            <v>114.0445714285714</v>
          </cell>
          <cell r="DN934">
            <v>85.475999999999999</v>
          </cell>
          <cell r="DO934">
            <v>992.86599999999999</v>
          </cell>
          <cell r="DQ934">
            <v>154.30000000000001</v>
          </cell>
        </row>
        <row r="935">
          <cell r="A935">
            <v>26</v>
          </cell>
          <cell r="B935" t="str">
            <v>SRM</v>
          </cell>
          <cell r="C935" t="str">
            <v>FM</v>
          </cell>
          <cell r="D935" t="str">
            <v>SCPS-HLL</v>
          </cell>
          <cell r="E935" t="str">
            <v>SCPS-HLL</v>
          </cell>
          <cell r="F935">
            <v>163.30500000000001</v>
          </cell>
          <cell r="G935">
            <v>1012.2966</v>
          </cell>
          <cell r="H935">
            <v>4.42</v>
          </cell>
          <cell r="I935">
            <v>935.42399999999998</v>
          </cell>
          <cell r="J935">
            <v>0</v>
          </cell>
          <cell r="K935">
            <v>1730.175</v>
          </cell>
          <cell r="L935">
            <v>0</v>
          </cell>
          <cell r="M935">
            <v>1494.17</v>
          </cell>
          <cell r="N935">
            <v>0</v>
          </cell>
          <cell r="O935">
            <v>0</v>
          </cell>
          <cell r="P935">
            <v>777.25660000000005</v>
          </cell>
          <cell r="Q935">
            <v>44.53</v>
          </cell>
          <cell r="R935">
            <v>1052.5957142857142</v>
          </cell>
          <cell r="S935">
            <v>101.568</v>
          </cell>
          <cell r="T935">
            <v>1265.0089999999998</v>
          </cell>
          <cell r="U935">
            <v>0</v>
          </cell>
          <cell r="V935">
            <v>1537.7700000000002</v>
          </cell>
          <cell r="W935">
            <v>0</v>
          </cell>
          <cell r="X935">
            <v>410.4</v>
          </cell>
          <cell r="Y935">
            <v>517.14</v>
          </cell>
          <cell r="Z935">
            <v>44.53</v>
          </cell>
          <cell r="AA935">
            <v>1411.9221428571427</v>
          </cell>
          <cell r="AB935">
            <v>96.86</v>
          </cell>
          <cell r="AC935">
            <v>2055.86</v>
          </cell>
          <cell r="AD935">
            <v>0</v>
          </cell>
          <cell r="AE935">
            <v>1460.46</v>
          </cell>
          <cell r="AF935">
            <v>0</v>
          </cell>
          <cell r="AG935">
            <v>505.30500000000001</v>
          </cell>
          <cell r="AH935">
            <v>1330.48</v>
          </cell>
          <cell r="AI935">
            <v>44.53</v>
          </cell>
          <cell r="AJ935">
            <v>822.70928571428567</v>
          </cell>
          <cell r="AK935">
            <v>41.616</v>
          </cell>
          <cell r="AL935">
            <v>2051.08</v>
          </cell>
          <cell r="AM935">
            <v>0</v>
          </cell>
          <cell r="AN935">
            <v>744.31000000000006</v>
          </cell>
          <cell r="AO935">
            <v>0</v>
          </cell>
          <cell r="AP935">
            <v>531.17100000000005</v>
          </cell>
          <cell r="AQ935">
            <v>1238.76</v>
          </cell>
          <cell r="AR935">
            <v>44.53</v>
          </cell>
          <cell r="AS935">
            <v>402.18857142857144</v>
          </cell>
          <cell r="AT935">
            <v>0</v>
          </cell>
          <cell r="AU935">
            <v>1501.4789999999998</v>
          </cell>
          <cell r="AV935">
            <v>0</v>
          </cell>
          <cell r="AW935">
            <v>1658.04</v>
          </cell>
          <cell r="AX935">
            <v>0</v>
          </cell>
          <cell r="AY935">
            <v>505.30500000000001</v>
          </cell>
          <cell r="AZ935">
            <v>1435.66</v>
          </cell>
          <cell r="BA935">
            <v>44.53</v>
          </cell>
          <cell r="BB935">
            <v>792.45814285714289</v>
          </cell>
          <cell r="BC935">
            <v>120.56399999999999</v>
          </cell>
          <cell r="BD935">
            <v>1767.799</v>
          </cell>
          <cell r="BE935">
            <v>0</v>
          </cell>
          <cell r="BF935">
            <v>857.41</v>
          </cell>
          <cell r="BG935">
            <v>0</v>
          </cell>
        </row>
        <row r="936">
          <cell r="A936">
            <v>27</v>
          </cell>
          <cell r="B936" t="str">
            <v>SRM</v>
          </cell>
          <cell r="C936" t="str">
            <v>FM</v>
          </cell>
          <cell r="D936" t="str">
            <v>SMUSTARD OIL</v>
          </cell>
          <cell r="E936" t="str">
            <v>SMUSTARD OIL</v>
          </cell>
          <cell r="AC936">
            <v>11.241</v>
          </cell>
          <cell r="AU936">
            <v>407.7</v>
          </cell>
          <cell r="BD936">
            <v>339.74599999999998</v>
          </cell>
          <cell r="BM936">
            <v>180.28399999999999</v>
          </cell>
          <cell r="BV936">
            <v>5.9720000000000004</v>
          </cell>
          <cell r="CE936">
            <v>138.06</v>
          </cell>
          <cell r="CN936">
            <v>287.46699999999998</v>
          </cell>
          <cell r="DF936">
            <v>5.2830000000000004</v>
          </cell>
          <cell r="DO936">
            <v>5.2830000000000004</v>
          </cell>
        </row>
        <row r="937">
          <cell r="A937">
            <v>28</v>
          </cell>
          <cell r="B937" t="str">
            <v>SRM</v>
          </cell>
          <cell r="C937" t="str">
            <v>FM</v>
          </cell>
          <cell r="D937" t="str">
            <v>SMUSTARD OIL-EXPELLER</v>
          </cell>
          <cell r="E937" t="str">
            <v>SMUSTARD OIL-EXPELLER</v>
          </cell>
          <cell r="F937">
            <v>200.4</v>
          </cell>
          <cell r="G937">
            <v>340.12440000000004</v>
          </cell>
          <cell r="I937">
            <v>590.12099999999998</v>
          </cell>
          <cell r="K937">
            <v>626.49099999999999</v>
          </cell>
          <cell r="O937">
            <v>166.8</v>
          </cell>
          <cell r="P937">
            <v>421.84260000000006</v>
          </cell>
          <cell r="Q937">
            <v>40.11</v>
          </cell>
          <cell r="R937">
            <v>634.42399999999998</v>
          </cell>
          <cell r="T937">
            <v>214.50100000000003</v>
          </cell>
          <cell r="V937">
            <v>345.18</v>
          </cell>
          <cell r="X937">
            <v>99.215999999999994</v>
          </cell>
          <cell r="Y937">
            <v>948.57</v>
          </cell>
          <cell r="Z937">
            <v>40.11</v>
          </cell>
          <cell r="AA937">
            <v>886.20600000000002</v>
          </cell>
          <cell r="AC937">
            <v>433.92500000000001</v>
          </cell>
          <cell r="AG937">
            <v>267.55</v>
          </cell>
          <cell r="AH937">
            <v>464.91030000000006</v>
          </cell>
          <cell r="AI937">
            <v>40.11</v>
          </cell>
          <cell r="AJ937">
            <v>263.08799999999997</v>
          </cell>
          <cell r="AP937">
            <v>207.6</v>
          </cell>
          <cell r="AQ937">
            <v>66.257999999999996</v>
          </cell>
          <cell r="AR937">
            <v>40.11</v>
          </cell>
          <cell r="AS937">
            <v>398.9</v>
          </cell>
          <cell r="AY937">
            <v>207.6</v>
          </cell>
          <cell r="AZ937">
            <v>66.257999999999996</v>
          </cell>
          <cell r="BA937">
            <v>40.11</v>
          </cell>
          <cell r="BB937">
            <v>91.35</v>
          </cell>
          <cell r="BF937">
            <v>291.35000000000002</v>
          </cell>
          <cell r="BJ937">
            <v>40.11</v>
          </cell>
          <cell r="BK937">
            <v>367.22700000000003</v>
          </cell>
          <cell r="BO937">
            <v>37.5</v>
          </cell>
          <cell r="BS937">
            <v>40.11</v>
          </cell>
          <cell r="BT937">
            <v>202.79700000000003</v>
          </cell>
          <cell r="BV937">
            <v>95.73</v>
          </cell>
          <cell r="BX937">
            <v>17.5</v>
          </cell>
          <cell r="CB937">
            <v>40.11</v>
          </cell>
          <cell r="CK937">
            <v>40.11</v>
          </cell>
          <cell r="CL937">
            <v>277.70400000000001</v>
          </cell>
          <cell r="CP937">
            <v>120.88</v>
          </cell>
          <cell r="CT937">
            <v>40.11</v>
          </cell>
          <cell r="CU937">
            <v>105.977</v>
          </cell>
          <cell r="CW937">
            <v>442.61400000000003</v>
          </cell>
          <cell r="CY937">
            <v>421.98</v>
          </cell>
          <cell r="DM937">
            <v>215.58600000000001</v>
          </cell>
        </row>
        <row r="938">
          <cell r="A938">
            <v>30</v>
          </cell>
          <cell r="B938" t="str">
            <v>IPRM</v>
          </cell>
          <cell r="C938" t="str">
            <v>FM</v>
          </cell>
          <cell r="D938" t="str">
            <v>SRM TOTAL</v>
          </cell>
          <cell r="E938" t="str">
            <v>SRM TOTAL</v>
          </cell>
          <cell r="F938">
            <v>163.30500000000001</v>
          </cell>
          <cell r="G938">
            <v>1012.2966</v>
          </cell>
          <cell r="H938">
            <v>4.42</v>
          </cell>
          <cell r="I938">
            <v>935.42399999999998</v>
          </cell>
          <cell r="J938">
            <v>0</v>
          </cell>
          <cell r="K938">
            <v>1730.175</v>
          </cell>
          <cell r="L938">
            <v>0</v>
          </cell>
          <cell r="M938">
            <v>1494.17</v>
          </cell>
          <cell r="N938">
            <v>0</v>
          </cell>
          <cell r="O938">
            <v>0</v>
          </cell>
          <cell r="P938">
            <v>777.25660000000005</v>
          </cell>
          <cell r="Q938">
            <v>44.53</v>
          </cell>
          <cell r="R938">
            <v>1052.5957142857142</v>
          </cell>
          <cell r="S938">
            <v>101.568</v>
          </cell>
          <cell r="T938">
            <v>1265.0089999999998</v>
          </cell>
          <cell r="U938">
            <v>0</v>
          </cell>
          <cell r="V938">
            <v>1537.7700000000002</v>
          </cell>
          <cell r="W938">
            <v>0</v>
          </cell>
          <cell r="X938">
            <v>410.4</v>
          </cell>
          <cell r="Y938">
            <v>517.14</v>
          </cell>
          <cell r="Z938">
            <v>44.53</v>
          </cell>
          <cell r="AA938">
            <v>1411.9221428571427</v>
          </cell>
          <cell r="AB938">
            <v>96.86</v>
          </cell>
          <cell r="AC938">
            <v>2055.86</v>
          </cell>
          <cell r="AD938">
            <v>0</v>
          </cell>
          <cell r="AE938">
            <v>1460.46</v>
          </cell>
          <cell r="AF938">
            <v>0</v>
          </cell>
          <cell r="AG938">
            <v>505.30500000000001</v>
          </cell>
          <cell r="AH938">
            <v>1330.48</v>
          </cell>
          <cell r="AI938">
            <v>44.53</v>
          </cell>
          <cell r="AJ938">
            <v>822.70928571428567</v>
          </cell>
          <cell r="AK938">
            <v>41.616</v>
          </cell>
          <cell r="AL938">
            <v>2051.08</v>
          </cell>
          <cell r="AM938">
            <v>0</v>
          </cell>
          <cell r="AN938">
            <v>744.31000000000006</v>
          </cell>
          <cell r="AO938">
            <v>0</v>
          </cell>
          <cell r="AP938">
            <v>531.17100000000005</v>
          </cell>
          <cell r="AQ938">
            <v>1238.76</v>
          </cell>
          <cell r="AR938">
            <v>44.53</v>
          </cell>
          <cell r="AS938">
            <v>402.18857142857144</v>
          </cell>
          <cell r="AT938">
            <v>0</v>
          </cell>
          <cell r="AU938">
            <v>1501.4789999999998</v>
          </cell>
          <cell r="AV938">
            <v>0</v>
          </cell>
          <cell r="AW938">
            <v>1658.04</v>
          </cell>
          <cell r="AX938">
            <v>0</v>
          </cell>
          <cell r="AY938">
            <v>505.30500000000001</v>
          </cell>
          <cell r="AZ938">
            <v>1435.66</v>
          </cell>
          <cell r="BA938">
            <v>44.53</v>
          </cell>
          <cell r="BB938">
            <v>792.45814285714289</v>
          </cell>
          <cell r="BC938">
            <v>120.56399999999999</v>
          </cell>
          <cell r="BD938">
            <v>1767.799</v>
          </cell>
          <cell r="BE938">
            <v>0</v>
          </cell>
          <cell r="BF938">
            <v>857.41</v>
          </cell>
          <cell r="BG938">
            <v>0</v>
          </cell>
          <cell r="BH938">
            <v>505.30500000000001</v>
          </cell>
          <cell r="BI938">
            <v>1136.3800000000001</v>
          </cell>
          <cell r="BJ938">
            <v>44.53</v>
          </cell>
          <cell r="BK938">
            <v>959.90828571428574</v>
          </cell>
          <cell r="BL938">
            <v>50.591999999999999</v>
          </cell>
          <cell r="BM938">
            <v>1312.6330000000003</v>
          </cell>
          <cell r="BN938">
            <v>0</v>
          </cell>
          <cell r="BO938">
            <v>1336.71</v>
          </cell>
          <cell r="BP938">
            <v>0</v>
          </cell>
          <cell r="BQ938">
            <v>770.32349999999997</v>
          </cell>
          <cell r="BR938">
            <v>713.4</v>
          </cell>
          <cell r="BS938">
            <v>44.53</v>
          </cell>
          <cell r="BT938">
            <v>941.9241428571429</v>
          </cell>
          <cell r="BU938">
            <v>123.828</v>
          </cell>
          <cell r="BV938">
            <v>2195.348</v>
          </cell>
          <cell r="BW938">
            <v>0</v>
          </cell>
          <cell r="BX938">
            <v>1449.52</v>
          </cell>
          <cell r="BY938">
            <v>0</v>
          </cell>
          <cell r="BZ938">
            <v>729.45</v>
          </cell>
          <cell r="CA938">
            <v>691.98</v>
          </cell>
          <cell r="CB938">
            <v>44.53</v>
          </cell>
          <cell r="CC938">
            <v>781.73228571428581</v>
          </cell>
          <cell r="CD938">
            <v>129.744</v>
          </cell>
          <cell r="CE938">
            <v>3147.8589999999999</v>
          </cell>
          <cell r="CF938">
            <v>0</v>
          </cell>
          <cell r="CG938">
            <v>1316.29</v>
          </cell>
          <cell r="CH938">
            <v>0</v>
          </cell>
          <cell r="CI938">
            <v>729.45</v>
          </cell>
          <cell r="CJ938">
            <v>0</v>
          </cell>
          <cell r="CK938">
            <v>44.53</v>
          </cell>
          <cell r="CL938">
            <v>1374.0282857142859</v>
          </cell>
          <cell r="CM938">
            <v>74.867999999999995</v>
          </cell>
          <cell r="CN938">
            <v>3338.4070000000002</v>
          </cell>
          <cell r="CO938">
            <v>0</v>
          </cell>
          <cell r="CP938">
            <v>222.72</v>
          </cell>
          <cell r="CQ938">
            <v>0</v>
          </cell>
          <cell r="CR938">
            <v>651.15499999999997</v>
          </cell>
          <cell r="CS938">
            <v>0</v>
          </cell>
          <cell r="CT938">
            <v>44.53</v>
          </cell>
          <cell r="CU938">
            <v>792.09628571428573</v>
          </cell>
          <cell r="CV938">
            <v>36.107999999999997</v>
          </cell>
          <cell r="CW938">
            <v>2133.3119999999999</v>
          </cell>
          <cell r="CX938">
            <v>0</v>
          </cell>
          <cell r="CY938">
            <v>1737.37</v>
          </cell>
          <cell r="CZ938">
            <v>0</v>
          </cell>
          <cell r="DA938">
            <v>581.68200000000002</v>
          </cell>
          <cell r="DB938">
            <v>0</v>
          </cell>
          <cell r="DC938">
            <v>4.42</v>
          </cell>
          <cell r="DD938">
            <v>294.03514285714294</v>
          </cell>
          <cell r="DE938">
            <v>53.652000000000001</v>
          </cell>
          <cell r="DF938">
            <v>1595.538</v>
          </cell>
          <cell r="DG938">
            <v>0</v>
          </cell>
          <cell r="DH938">
            <v>422.7</v>
          </cell>
          <cell r="DI938">
            <v>0</v>
          </cell>
          <cell r="DJ938">
            <v>505.30500000000001</v>
          </cell>
          <cell r="DK938">
            <v>0</v>
          </cell>
          <cell r="DL938">
            <v>4.42</v>
          </cell>
          <cell r="DM938">
            <v>1084.3725714285715</v>
          </cell>
          <cell r="DN938">
            <v>85.475999999999999</v>
          </cell>
          <cell r="DO938">
            <v>3316.1010000000001</v>
          </cell>
          <cell r="DP938">
            <v>0</v>
          </cell>
          <cell r="DQ938">
            <v>723.24</v>
          </cell>
          <cell r="DR938">
            <v>0</v>
          </cell>
        </row>
        <row r="939">
          <cell r="A939" t="str">
            <v>IN-PROCESS FATTY ACIDS</v>
          </cell>
          <cell r="B939" t="str">
            <v>IPRM</v>
          </cell>
          <cell r="C939" t="str">
            <v>FM</v>
          </cell>
          <cell r="D939" t="str">
            <v>SB/PSCPKO&gt;C14</v>
          </cell>
          <cell r="E939" t="str">
            <v>S B/P PKO</v>
          </cell>
        </row>
        <row r="940">
          <cell r="A940">
            <v>29</v>
          </cell>
          <cell r="B940" t="str">
            <v>IPRM</v>
          </cell>
          <cell r="C940" t="str">
            <v>FM</v>
          </cell>
          <cell r="D940" t="str">
            <v>B/PSCPKO&gt;C14</v>
          </cell>
          <cell r="E940" t="str">
            <v xml:space="preserve">B/P PKO </v>
          </cell>
          <cell r="F940">
            <v>200.4</v>
          </cell>
          <cell r="G940">
            <v>340.12440000000004</v>
          </cell>
          <cell r="I940">
            <v>134.06700000000001</v>
          </cell>
          <cell r="O940">
            <v>166.8</v>
          </cell>
          <cell r="P940">
            <v>421.84260000000006</v>
          </cell>
          <cell r="R940">
            <v>87.435000000000002</v>
          </cell>
          <cell r="V940">
            <v>97.85</v>
          </cell>
          <cell r="X940">
            <v>99.215999999999994</v>
          </cell>
          <cell r="Y940">
            <v>948.57</v>
          </cell>
          <cell r="AA940">
            <v>113.24914285714286</v>
          </cell>
          <cell r="AG940">
            <v>267.55</v>
          </cell>
          <cell r="AH940">
            <v>464.91030000000006</v>
          </cell>
          <cell r="AJ940">
            <v>614</v>
          </cell>
          <cell r="AP940">
            <v>207.6</v>
          </cell>
          <cell r="AQ940">
            <v>66.257999999999996</v>
          </cell>
          <cell r="AS940">
            <v>398.9</v>
          </cell>
          <cell r="AY940">
            <v>207.6</v>
          </cell>
          <cell r="AZ940">
            <v>66.257999999999996</v>
          </cell>
          <cell r="BB940">
            <v>110.36571428571429</v>
          </cell>
          <cell r="BH940">
            <v>145.19999999999999</v>
          </cell>
          <cell r="BI940">
            <v>150.18480000000002</v>
          </cell>
          <cell r="BK940">
            <v>459.85714285714283</v>
          </cell>
          <cell r="BR940">
            <v>189.93960000000001</v>
          </cell>
          <cell r="BT940">
            <v>217.05257142857144</v>
          </cell>
          <cell r="CA940">
            <v>287.11799999999999</v>
          </cell>
          <cell r="CC940">
            <v>404.6742857142857</v>
          </cell>
          <cell r="CI940">
            <v>64.272000000000006</v>
          </cell>
          <cell r="CJ940">
            <v>256.19760000000002</v>
          </cell>
          <cell r="CL940">
            <v>391.79828571428573</v>
          </cell>
          <cell r="CR940">
            <v>62.4</v>
          </cell>
          <cell r="CS940">
            <v>267.24060000000003</v>
          </cell>
          <cell r="CU940">
            <v>392.71800000000002</v>
          </cell>
          <cell r="DA940">
            <v>58.031999999999996</v>
          </cell>
          <cell r="DB940">
            <v>212.0256</v>
          </cell>
          <cell r="DD940">
            <v>106.68685714285716</v>
          </cell>
          <cell r="DK940">
            <v>17.668800000000005</v>
          </cell>
          <cell r="DM940">
            <v>149.88857142857142</v>
          </cell>
        </row>
        <row r="941">
          <cell r="A941">
            <v>30</v>
          </cell>
          <cell r="B941" t="str">
            <v>IPRM</v>
          </cell>
          <cell r="C941" t="str">
            <v>FM</v>
          </cell>
          <cell r="D941" t="str">
            <v>B/P CNO&gt;C14</v>
          </cell>
          <cell r="E941" t="str">
            <v>B/P CNO&gt;C14</v>
          </cell>
        </row>
        <row r="942">
          <cell r="A942">
            <v>31</v>
          </cell>
          <cell r="B942" t="str">
            <v>IPRM</v>
          </cell>
          <cell r="C942" t="str">
            <v>FM</v>
          </cell>
          <cell r="D942" t="str">
            <v>SB/PSCPKO&gt;C14</v>
          </cell>
          <cell r="E942" t="str">
            <v>S B/P PKO</v>
          </cell>
        </row>
        <row r="943">
          <cell r="A943">
            <v>32</v>
          </cell>
          <cell r="B943" t="str">
            <v>IPRM</v>
          </cell>
          <cell r="C943" t="str">
            <v>FM</v>
          </cell>
          <cell r="D943" t="str">
            <v>B/PSCNO&gt;C14</v>
          </cell>
          <cell r="E943" t="str">
            <v>S B/P CNO</v>
          </cell>
          <cell r="X943">
            <v>268.94000000000005</v>
          </cell>
        </row>
        <row r="944">
          <cell r="A944">
            <v>33</v>
          </cell>
          <cell r="B944" t="str">
            <v>IPRM</v>
          </cell>
          <cell r="C944" t="str">
            <v>SM</v>
          </cell>
          <cell r="D944" t="str">
            <v>B/PSCPKO&gt;C16</v>
          </cell>
          <cell r="E944" t="str">
            <v>B/P&gt;C16 - OLEIC K</v>
          </cell>
          <cell r="F944">
            <v>148.43</v>
          </cell>
          <cell r="G944">
            <v>1382.16</v>
          </cell>
          <cell r="I944">
            <v>30.133071428571434</v>
          </cell>
          <cell r="O944">
            <v>160.64249999999998</v>
          </cell>
          <cell r="P944">
            <v>1382.16</v>
          </cell>
          <cell r="R944">
            <v>148.64571428571429</v>
          </cell>
          <cell r="Y944">
            <v>1258.1199999999999</v>
          </cell>
          <cell r="AA944">
            <v>72.70714285714287</v>
          </cell>
          <cell r="AG944">
            <v>266.23</v>
          </cell>
          <cell r="AH944">
            <v>1404.31</v>
          </cell>
          <cell r="AJ944">
            <v>104.825</v>
          </cell>
          <cell r="AP944">
            <v>268.20999999999998</v>
          </cell>
          <cell r="AQ944">
            <v>1630.24</v>
          </cell>
          <cell r="AS944">
            <v>151.06928571428571</v>
          </cell>
          <cell r="AY944">
            <v>269.94</v>
          </cell>
          <cell r="AZ944">
            <v>1652.39</v>
          </cell>
          <cell r="BB944">
            <v>210.8507142857143</v>
          </cell>
        </row>
        <row r="945">
          <cell r="A945">
            <v>34</v>
          </cell>
          <cell r="B945" t="str">
            <v>IPRM</v>
          </cell>
          <cell r="C945" t="str">
            <v>SM</v>
          </cell>
          <cell r="D945" t="str">
            <v>HYD C16/C18 FOR DTP-7</v>
          </cell>
          <cell r="E945" t="str">
            <v>HYD C16/C18 FOR DTP-7</v>
          </cell>
          <cell r="G945">
            <v>138.16836000000001</v>
          </cell>
          <cell r="I945">
            <v>163.995</v>
          </cell>
          <cell r="O945">
            <v>86.111999999999995</v>
          </cell>
          <cell r="P945">
            <v>240.01236</v>
          </cell>
          <cell r="Y945">
            <v>248.49936000000002</v>
          </cell>
          <cell r="AH945">
            <v>250.19676000000001</v>
          </cell>
          <cell r="AQ945">
            <v>250.19676000000001</v>
          </cell>
          <cell r="AY945">
            <v>27.143999999999998</v>
          </cell>
          <cell r="AZ945">
            <v>4.07376</v>
          </cell>
        </row>
        <row r="946">
          <cell r="A946">
            <v>35</v>
          </cell>
          <cell r="B946" t="str">
            <v>IPRM</v>
          </cell>
          <cell r="C946" t="str">
            <v>NM</v>
          </cell>
          <cell r="D946" t="str">
            <v>L/E PKO(C6-C8)-C6@65%</v>
          </cell>
          <cell r="E946" t="str">
            <v>C6&gt;50%</v>
          </cell>
          <cell r="G946">
            <v>408.26600000000002</v>
          </cell>
          <cell r="P946">
            <v>408.26600000000002</v>
          </cell>
          <cell r="X946">
            <v>268.94000000000005</v>
          </cell>
          <cell r="Y946">
            <v>377.39600000000002</v>
          </cell>
          <cell r="AH946">
            <v>377.39600000000002</v>
          </cell>
          <cell r="AP946">
            <v>27.768000000000001</v>
          </cell>
          <cell r="AY946">
            <v>135.13499999999999</v>
          </cell>
        </row>
        <row r="947">
          <cell r="A947">
            <v>36</v>
          </cell>
          <cell r="B947" t="str">
            <v>IPRM</v>
          </cell>
          <cell r="C947" t="str">
            <v>FM</v>
          </cell>
          <cell r="D947" t="str">
            <v>L/E PKO(C6-C12)</v>
          </cell>
          <cell r="E947" t="str">
            <v>TALOJA</v>
          </cell>
          <cell r="F947">
            <v>148.43</v>
          </cell>
          <cell r="G947">
            <v>1382.16</v>
          </cell>
          <cell r="I947">
            <v>30.133071428571434</v>
          </cell>
          <cell r="O947">
            <v>160.64249999999998</v>
          </cell>
          <cell r="P947">
            <v>1382.16</v>
          </cell>
          <cell r="R947">
            <v>148.64571428571429</v>
          </cell>
          <cell r="X947">
            <v>75.239999999999995</v>
          </cell>
          <cell r="Y947">
            <v>1258.1199999999999</v>
          </cell>
          <cell r="AA947">
            <v>72.70714285714287</v>
          </cell>
          <cell r="AG947">
            <v>266.23</v>
          </cell>
          <cell r="AH947">
            <v>1404.31</v>
          </cell>
          <cell r="AJ947">
            <v>104.825</v>
          </cell>
          <cell r="AP947">
            <v>268.20999999999998</v>
          </cell>
          <cell r="AQ947">
            <v>1630.24</v>
          </cell>
          <cell r="AS947">
            <v>151.06928571428571</v>
          </cell>
          <cell r="AY947">
            <v>269.94</v>
          </cell>
          <cell r="AZ947">
            <v>1652.39</v>
          </cell>
          <cell r="BB947">
            <v>210.8507142857143</v>
          </cell>
          <cell r="BH947">
            <v>270.43599999999998</v>
          </cell>
          <cell r="BI947">
            <v>1740.99</v>
          </cell>
          <cell r="BK947">
            <v>210.8507142857143</v>
          </cell>
          <cell r="BQ947">
            <v>230.267</v>
          </cell>
          <cell r="BR947">
            <v>1846.088</v>
          </cell>
          <cell r="BT947">
            <v>285.2</v>
          </cell>
          <cell r="BZ947">
            <v>294.32499999999999</v>
          </cell>
          <cell r="CA947">
            <v>1772</v>
          </cell>
          <cell r="CC947">
            <v>333.2</v>
          </cell>
          <cell r="CI947">
            <v>284.97000000000003</v>
          </cell>
          <cell r="CJ947">
            <v>2296.79</v>
          </cell>
          <cell r="CL947">
            <v>16.965</v>
          </cell>
          <cell r="CR947">
            <v>284.97000000000003</v>
          </cell>
          <cell r="CS947">
            <v>2401.748</v>
          </cell>
          <cell r="CU947">
            <v>95.327142857142874</v>
          </cell>
          <cell r="DA947">
            <v>377.37</v>
          </cell>
          <cell r="DB947">
            <v>2401.748</v>
          </cell>
          <cell r="DD947">
            <v>18.580714285714265</v>
          </cell>
          <cell r="DJ947">
            <v>227.35900000000001</v>
          </cell>
          <cell r="DK947">
            <v>2401.748</v>
          </cell>
          <cell r="DM947">
            <v>5.6550000000000233</v>
          </cell>
        </row>
        <row r="948">
          <cell r="A948">
            <v>37</v>
          </cell>
          <cell r="B948" t="str">
            <v>IPRM</v>
          </cell>
          <cell r="C948" t="str">
            <v>FM</v>
          </cell>
          <cell r="D948" t="str">
            <v>HYD.L/EPKO(C6-C12)</v>
          </cell>
          <cell r="E948" t="str">
            <v>H L/E PKO</v>
          </cell>
          <cell r="G948">
            <v>138.16836000000001</v>
          </cell>
          <cell r="I948">
            <v>163.995</v>
          </cell>
          <cell r="O948">
            <v>86.111999999999995</v>
          </cell>
          <cell r="P948">
            <v>240.01236</v>
          </cell>
          <cell r="Y948">
            <v>248.49936000000002</v>
          </cell>
          <cell r="AH948">
            <v>250.19676000000001</v>
          </cell>
          <cell r="AQ948">
            <v>250.19676000000001</v>
          </cell>
          <cell r="AY948">
            <v>27.143999999999998</v>
          </cell>
          <cell r="AZ948">
            <v>4.07376</v>
          </cell>
          <cell r="BH948">
            <v>32.448</v>
          </cell>
          <cell r="BQ948">
            <v>139.84800000000001</v>
          </cell>
          <cell r="DJ948">
            <v>126.97499999999999</v>
          </cell>
        </row>
        <row r="949">
          <cell r="A949">
            <v>38</v>
          </cell>
          <cell r="B949" t="str">
            <v>IPRM</v>
          </cell>
          <cell r="C949" t="str">
            <v>FM</v>
          </cell>
          <cell r="D949" t="str">
            <v>L/E PKO(C8-C12)</v>
          </cell>
          <cell r="E949" t="str">
            <v>L/E PKO</v>
          </cell>
          <cell r="G949">
            <v>408.26600000000002</v>
          </cell>
          <cell r="P949">
            <v>408.26600000000002</v>
          </cell>
          <cell r="Y949">
            <v>377.39600000000002</v>
          </cell>
          <cell r="AH949">
            <v>377.39600000000002</v>
          </cell>
          <cell r="AP949">
            <v>27.768000000000001</v>
          </cell>
          <cell r="AY949">
            <v>135.13499999999999</v>
          </cell>
          <cell r="BQ949">
            <v>9.9</v>
          </cell>
          <cell r="DJ949">
            <v>121.2</v>
          </cell>
        </row>
        <row r="950">
          <cell r="A950">
            <v>39</v>
          </cell>
          <cell r="B950" t="str">
            <v>IPRM</v>
          </cell>
          <cell r="C950" t="str">
            <v>FM</v>
          </cell>
          <cell r="D950" t="str">
            <v>L/E PKO(C10-C12)</v>
          </cell>
          <cell r="E950" t="str">
            <v>B/P OF C8 H</v>
          </cell>
          <cell r="P950">
            <v>118.935</v>
          </cell>
          <cell r="X950">
            <v>75.239999999999995</v>
          </cell>
          <cell r="Y950">
            <v>117.34920000000001</v>
          </cell>
          <cell r="AP950">
            <v>273.60000000000002</v>
          </cell>
          <cell r="AY950">
            <v>300.60000000000002</v>
          </cell>
          <cell r="BH950">
            <v>339.3</v>
          </cell>
        </row>
        <row r="951">
          <cell r="A951">
            <v>40</v>
          </cell>
          <cell r="B951" t="str">
            <v>IPRM</v>
          </cell>
          <cell r="C951" t="str">
            <v>FM</v>
          </cell>
          <cell r="D951" t="str">
            <v>C12+C14+C16-PKO/CNO</v>
          </cell>
          <cell r="E951" t="str">
            <v>C12+C14+C16-PKO/CNO</v>
          </cell>
        </row>
        <row r="952">
          <cell r="A952">
            <v>41</v>
          </cell>
          <cell r="B952" t="str">
            <v>IPRM</v>
          </cell>
          <cell r="C952" t="str">
            <v>FM</v>
          </cell>
          <cell r="D952" t="str">
            <v>C14+C16(C14~60)</v>
          </cell>
          <cell r="E952" t="str">
            <v>C14+C16(C14~60)</v>
          </cell>
          <cell r="F952">
            <v>8.3975000000000009</v>
          </cell>
          <cell r="G952">
            <v>14.272200000000002</v>
          </cell>
          <cell r="H952">
            <v>14.59</v>
          </cell>
          <cell r="I952">
            <v>137</v>
          </cell>
          <cell r="O952">
            <v>8.3975000000000009</v>
          </cell>
          <cell r="Q952">
            <v>14.59</v>
          </cell>
          <cell r="X952">
            <v>8.3975000000000009</v>
          </cell>
          <cell r="Z952">
            <v>14.59</v>
          </cell>
          <cell r="AI952">
            <v>14.59</v>
          </cell>
          <cell r="AJ952">
            <v>17</v>
          </cell>
          <cell r="AR952">
            <v>14.59</v>
          </cell>
          <cell r="BA952">
            <v>14.59</v>
          </cell>
        </row>
        <row r="953">
          <cell r="A953">
            <v>42</v>
          </cell>
          <cell r="B953" t="str">
            <v>IPRM</v>
          </cell>
          <cell r="C953" t="str">
            <v>FM</v>
          </cell>
          <cell r="D953" t="str">
            <v>C14+C16+C18(C16@65%)</v>
          </cell>
          <cell r="E953" t="str">
            <v>C14+C16+C18(C16@65%)</v>
          </cell>
          <cell r="F953">
            <v>0.312</v>
          </cell>
          <cell r="G953">
            <v>42.044402499999997</v>
          </cell>
          <cell r="O953">
            <v>29.952000000000002</v>
          </cell>
          <cell r="X953">
            <v>56.472000000000001</v>
          </cell>
          <cell r="AA953">
            <v>60</v>
          </cell>
          <cell r="AG953">
            <v>26.207999999999998</v>
          </cell>
          <cell r="AJ953">
            <v>23</v>
          </cell>
          <cell r="AP953">
            <v>25.271999999999998</v>
          </cell>
          <cell r="AY953">
            <v>99.84</v>
          </cell>
        </row>
        <row r="954">
          <cell r="A954">
            <v>43</v>
          </cell>
          <cell r="B954" t="str">
            <v>IPRM</v>
          </cell>
          <cell r="C954" t="str">
            <v>FM</v>
          </cell>
          <cell r="D954" t="str">
            <v>C16+C18-PFAD/PKO(C16@80%)</v>
          </cell>
          <cell r="E954" t="str">
            <v>C16+C18-PFAD/PKO(C16@80%)</v>
          </cell>
          <cell r="F954">
            <v>112.36499999999999</v>
          </cell>
          <cell r="AH954">
            <v>196.63920000000002</v>
          </cell>
        </row>
        <row r="955">
          <cell r="A955">
            <v>44</v>
          </cell>
          <cell r="B955" t="str">
            <v>IPRM</v>
          </cell>
          <cell r="C955" t="str">
            <v>NM</v>
          </cell>
          <cell r="D955" t="str">
            <v>L/E'S OF  S.B</v>
          </cell>
          <cell r="E955" t="str">
            <v>L/E'S OF  S.B</v>
          </cell>
          <cell r="F955">
            <v>8.3975000000000009</v>
          </cell>
          <cell r="G955">
            <v>14.272200000000002</v>
          </cell>
          <cell r="H955">
            <v>14.59</v>
          </cell>
          <cell r="I955">
            <v>137</v>
          </cell>
          <cell r="O955">
            <v>8.3975000000000009</v>
          </cell>
          <cell r="P955">
            <v>466.22520000000003</v>
          </cell>
          <cell r="Q955">
            <v>14.59</v>
          </cell>
          <cell r="X955">
            <v>8.3975000000000009</v>
          </cell>
          <cell r="Y955">
            <v>464.63940000000002</v>
          </cell>
          <cell r="Z955">
            <v>14.59</v>
          </cell>
          <cell r="AH955">
            <v>464.63940000000002</v>
          </cell>
          <cell r="AI955">
            <v>14.59</v>
          </cell>
          <cell r="AJ955">
            <v>17</v>
          </cell>
          <cell r="AQ955">
            <v>464.63940000000002</v>
          </cell>
          <cell r="AR955">
            <v>14.59</v>
          </cell>
          <cell r="AZ955">
            <v>464.63940000000002</v>
          </cell>
          <cell r="BA955">
            <v>14.59</v>
          </cell>
          <cell r="BJ955">
            <v>14.59</v>
          </cell>
          <cell r="BS955">
            <v>14.59</v>
          </cell>
          <cell r="CB955">
            <v>14.59</v>
          </cell>
          <cell r="CJ955">
            <v>140</v>
          </cell>
          <cell r="CK955">
            <v>14.59</v>
          </cell>
          <cell r="CT955">
            <v>14.59</v>
          </cell>
          <cell r="DB955">
            <v>1056.106</v>
          </cell>
          <cell r="DC955">
            <v>14.59</v>
          </cell>
          <cell r="DK955">
            <v>1130.635</v>
          </cell>
        </row>
        <row r="956">
          <cell r="A956">
            <v>45</v>
          </cell>
          <cell r="B956" t="str">
            <v>IPRM</v>
          </cell>
          <cell r="C956" t="str">
            <v>NM</v>
          </cell>
          <cell r="D956" t="str">
            <v>BAD C8/C10</v>
          </cell>
          <cell r="E956" t="str">
            <v>BAD C8/C10</v>
          </cell>
          <cell r="F956">
            <v>0.312</v>
          </cell>
          <cell r="G956">
            <v>42.044402499999997</v>
          </cell>
          <cell r="O956">
            <v>29.952000000000002</v>
          </cell>
          <cell r="X956">
            <v>56.472000000000001</v>
          </cell>
          <cell r="AA956">
            <v>60</v>
          </cell>
          <cell r="AG956">
            <v>26.207999999999998</v>
          </cell>
          <cell r="AJ956">
            <v>23</v>
          </cell>
          <cell r="AP956">
            <v>25.271999999999998</v>
          </cell>
          <cell r="AY956">
            <v>99.84</v>
          </cell>
          <cell r="BH956">
            <v>99.84</v>
          </cell>
          <cell r="BQ956">
            <v>99.84</v>
          </cell>
          <cell r="BZ956">
            <v>99.84</v>
          </cell>
          <cell r="CI956">
            <v>99.84</v>
          </cell>
          <cell r="CR956">
            <v>99.84</v>
          </cell>
          <cell r="DA956">
            <v>99.84</v>
          </cell>
          <cell r="DJ956">
            <v>68.328000000000003</v>
          </cell>
        </row>
        <row r="957">
          <cell r="A957">
            <v>46</v>
          </cell>
          <cell r="B957" t="str">
            <v>IPRM</v>
          </cell>
          <cell r="C957" t="str">
            <v>FM</v>
          </cell>
          <cell r="D957" t="str">
            <v>L/E PKO(C12@80%)</v>
          </cell>
          <cell r="E957" t="str">
            <v>B/P OF C10</v>
          </cell>
          <cell r="F957">
            <v>112.36499999999999</v>
          </cell>
          <cell r="G957">
            <v>803.93040000000008</v>
          </cell>
          <cell r="O957">
            <v>14.228067999999999</v>
          </cell>
          <cell r="P957">
            <v>1025.56</v>
          </cell>
          <cell r="Y957">
            <v>1048.82</v>
          </cell>
          <cell r="AG957">
            <v>89.658000000000001</v>
          </cell>
          <cell r="AH957">
            <v>196.63920000000002</v>
          </cell>
          <cell r="AQ957">
            <v>1366.1</v>
          </cell>
          <cell r="AZ957">
            <v>1701.48</v>
          </cell>
          <cell r="BB957">
            <v>97.427571428571426</v>
          </cell>
          <cell r="BZ957">
            <v>86.111999999999995</v>
          </cell>
        </row>
        <row r="958">
          <cell r="A958">
            <v>47</v>
          </cell>
          <cell r="B958" t="str">
            <v>IPRM</v>
          </cell>
          <cell r="C958" t="str">
            <v>NM</v>
          </cell>
          <cell r="D958" t="str">
            <v>DAG-MCT</v>
          </cell>
          <cell r="E958" t="str">
            <v>HYD DEAC MCT</v>
          </cell>
          <cell r="G958">
            <v>466.22520000000003</v>
          </cell>
          <cell r="H958">
            <v>26.38</v>
          </cell>
          <cell r="I958">
            <v>13.702500000000001</v>
          </cell>
          <cell r="P958">
            <v>466.22520000000003</v>
          </cell>
          <cell r="Q958">
            <v>26.38</v>
          </cell>
          <cell r="Y958">
            <v>464.63940000000002</v>
          </cell>
          <cell r="Z958">
            <v>26.38</v>
          </cell>
          <cell r="AH958">
            <v>464.63940000000002</v>
          </cell>
          <cell r="AI958">
            <v>26.38</v>
          </cell>
          <cell r="AQ958">
            <v>464.63940000000002</v>
          </cell>
          <cell r="AR958">
            <v>26.38</v>
          </cell>
          <cell r="AS958">
            <v>137.95714285714286</v>
          </cell>
          <cell r="AW958">
            <v>46.55</v>
          </cell>
          <cell r="AZ958">
            <v>464.63940000000002</v>
          </cell>
          <cell r="BA958">
            <v>26.38</v>
          </cell>
          <cell r="BB958">
            <v>128.76</v>
          </cell>
          <cell r="BI958">
            <v>464.63940000000002</v>
          </cell>
          <cell r="BR958">
            <v>464.63940000000002</v>
          </cell>
          <cell r="BS958">
            <v>26.38</v>
          </cell>
          <cell r="CA958">
            <v>464.63940000000002</v>
          </cell>
          <cell r="CB958">
            <v>26.38</v>
          </cell>
          <cell r="CJ958">
            <v>464.63940000000002</v>
          </cell>
          <cell r="CK958">
            <v>26.38</v>
          </cell>
          <cell r="CS958">
            <v>464.63940000000002</v>
          </cell>
          <cell r="CT958">
            <v>26.38</v>
          </cell>
          <cell r="DB958">
            <v>464.63940000000002</v>
          </cell>
          <cell r="DC958">
            <v>26.38</v>
          </cell>
          <cell r="DK958">
            <v>464.63940000000002</v>
          </cell>
          <cell r="DL958">
            <v>26.38</v>
          </cell>
        </row>
        <row r="959">
          <cell r="A959">
            <v>247</v>
          </cell>
          <cell r="B959" t="str">
            <v>IPRM</v>
          </cell>
          <cell r="C959" t="str">
            <v>NM</v>
          </cell>
          <cell r="D959" t="str">
            <v>D ACIDIFIED MCT</v>
          </cell>
          <cell r="E959" t="str">
            <v>D ACIDIFIED MCT</v>
          </cell>
          <cell r="BB959">
            <v>422.5</v>
          </cell>
          <cell r="BJ959">
            <v>26.38</v>
          </cell>
        </row>
        <row r="960">
          <cell r="A960">
            <v>48</v>
          </cell>
          <cell r="B960" t="str">
            <v>IPRM</v>
          </cell>
          <cell r="C960" t="str">
            <v>SM</v>
          </cell>
          <cell r="D960" t="str">
            <v>PKORESIDUE</v>
          </cell>
          <cell r="E960" t="str">
            <v>PKORESIDUE</v>
          </cell>
          <cell r="F960">
            <v>14.498999999999999</v>
          </cell>
          <cell r="G960">
            <v>803.93040000000008</v>
          </cell>
          <cell r="O960">
            <v>14.228067999999999</v>
          </cell>
          <cell r="P960">
            <v>1025.56</v>
          </cell>
          <cell r="R960">
            <v>89.522999999999982</v>
          </cell>
          <cell r="V960">
            <v>79</v>
          </cell>
          <cell r="Y960">
            <v>1048.82</v>
          </cell>
          <cell r="AG960">
            <v>89.658000000000001</v>
          </cell>
          <cell r="AH960">
            <v>1112.7</v>
          </cell>
          <cell r="AQ960">
            <v>1366.1</v>
          </cell>
          <cell r="AZ960">
            <v>1701.48</v>
          </cell>
          <cell r="BB960">
            <v>97.427571428571426</v>
          </cell>
          <cell r="BI960">
            <v>1836.2550000000001</v>
          </cell>
          <cell r="BK960">
            <v>74.944285714285712</v>
          </cell>
          <cell r="BR960">
            <v>1975.6120000000001</v>
          </cell>
          <cell r="BT960">
            <v>209.01128571428572</v>
          </cell>
          <cell r="CA960">
            <v>2060.482</v>
          </cell>
          <cell r="CI960">
            <v>4.4041179999999986</v>
          </cell>
          <cell r="CJ960">
            <v>2118.194</v>
          </cell>
          <cell r="CS960">
            <v>2177.6030000000001</v>
          </cell>
          <cell r="DB960">
            <v>2274.3539999999998</v>
          </cell>
          <cell r="DJ960">
            <v>10.081</v>
          </cell>
          <cell r="DK960">
            <v>2373.7289999999998</v>
          </cell>
        </row>
        <row r="961">
          <cell r="A961">
            <v>49</v>
          </cell>
          <cell r="B961" t="str">
            <v>IPRM</v>
          </cell>
          <cell r="C961" t="str">
            <v>SM</v>
          </cell>
          <cell r="D961" t="str">
            <v>SPKORESIDUE</v>
          </cell>
          <cell r="E961" t="str">
            <v>SPKORESIDUE</v>
          </cell>
          <cell r="G961">
            <v>845.37180000000001</v>
          </cell>
          <cell r="I961">
            <v>13.702500000000001</v>
          </cell>
          <cell r="P961">
            <v>689.92560000000003</v>
          </cell>
          <cell r="Y961">
            <v>741.0311999999999</v>
          </cell>
          <cell r="AH961">
            <v>790.00740000000008</v>
          </cell>
          <cell r="AQ961">
            <v>391.80959999999999</v>
          </cell>
          <cell r="AS961">
            <v>137.95714285714286</v>
          </cell>
          <cell r="AW961">
            <v>46.55</v>
          </cell>
          <cell r="AZ961">
            <v>306.6336</v>
          </cell>
          <cell r="BB961">
            <v>128.76</v>
          </cell>
          <cell r="BI961">
            <v>400.3272</v>
          </cell>
          <cell r="BK961">
            <v>128.76</v>
          </cell>
          <cell r="BR961">
            <v>743.16059999999993</v>
          </cell>
          <cell r="CA961">
            <v>783.61919999999998</v>
          </cell>
          <cell r="CJ961">
            <v>841.11300000000006</v>
          </cell>
          <cell r="CS961">
            <v>1005</v>
          </cell>
        </row>
        <row r="962">
          <cell r="A962">
            <v>50</v>
          </cell>
          <cell r="B962" t="str">
            <v>IPRM</v>
          </cell>
          <cell r="C962" t="str">
            <v>SM</v>
          </cell>
          <cell r="D962" t="str">
            <v>DPKORESIDUE</v>
          </cell>
          <cell r="E962" t="str">
            <v>DPKORESIDUE</v>
          </cell>
          <cell r="I962">
            <v>197.14</v>
          </cell>
          <cell r="M962">
            <v>15</v>
          </cell>
          <cell r="BB962">
            <v>422.5</v>
          </cell>
        </row>
        <row r="963">
          <cell r="A963">
            <v>51</v>
          </cell>
          <cell r="B963" t="str">
            <v>IPRM</v>
          </cell>
          <cell r="C963" t="str">
            <v>FM</v>
          </cell>
          <cell r="D963" t="str">
            <v>SPFAD+DPKORESIDUE-DSB FEED</v>
          </cell>
          <cell r="E963" t="str">
            <v>SPFAD+DPKORESIDUE-DSB FEED</v>
          </cell>
          <cell r="R963">
            <v>89.522999999999982</v>
          </cell>
          <cell r="V963">
            <v>79</v>
          </cell>
          <cell r="CC963">
            <v>191.83500000000001</v>
          </cell>
        </row>
        <row r="964">
          <cell r="A964">
            <v>52</v>
          </cell>
          <cell r="B964" t="str">
            <v>IPRM</v>
          </cell>
          <cell r="C964" t="str">
            <v>FM</v>
          </cell>
          <cell r="D964" t="str">
            <v>SRBDPS/CPS+SCPO-JBS FEED</v>
          </cell>
          <cell r="E964" t="str">
            <v>SRBDPS/CPS+SCPO-JBS FEED</v>
          </cell>
        </row>
        <row r="965">
          <cell r="A965">
            <v>53</v>
          </cell>
          <cell r="B965" t="str">
            <v>IPRM</v>
          </cell>
          <cell r="C965" t="str">
            <v>FM</v>
          </cell>
          <cell r="D965" t="str">
            <v>SRBDPS/CPS+B/PPKO-JBS FEED</v>
          </cell>
          <cell r="E965" t="str">
            <v>SRBDPS/CPS+B/PPKO-JBS FEED</v>
          </cell>
          <cell r="G965">
            <v>963.92</v>
          </cell>
          <cell r="H965">
            <v>463.23</v>
          </cell>
          <cell r="I965">
            <v>197.14</v>
          </cell>
          <cell r="J965">
            <v>28.010999999999999</v>
          </cell>
          <cell r="M965">
            <v>15</v>
          </cell>
          <cell r="P965">
            <v>1047.18</v>
          </cell>
          <cell r="Q965">
            <v>463.23</v>
          </cell>
          <cell r="R965">
            <v>47.46471428571428</v>
          </cell>
          <cell r="S965">
            <v>38.780999999999999</v>
          </cell>
          <cell r="Y965">
            <v>1122.05</v>
          </cell>
          <cell r="Z965">
            <v>463.23</v>
          </cell>
          <cell r="AA965">
            <v>109.9182857142857</v>
          </cell>
          <cell r="AB965">
            <v>24.138999999999999</v>
          </cell>
          <cell r="AH965">
            <v>1288.73</v>
          </cell>
          <cell r="AI965">
            <v>463.23</v>
          </cell>
          <cell r="AJ965">
            <v>99.092999999999975</v>
          </cell>
          <cell r="AK965">
            <v>28.978999999999999</v>
          </cell>
          <cell r="AN965">
            <v>24.61</v>
          </cell>
          <cell r="AP965">
            <v>4.8099999999999996</v>
          </cell>
          <cell r="AQ965">
            <v>1961.9</v>
          </cell>
          <cell r="AS965">
            <v>51.62828571428571</v>
          </cell>
          <cell r="AW965">
            <v>24.48</v>
          </cell>
          <cell r="AZ965">
            <v>1985.69</v>
          </cell>
          <cell r="BB965">
            <v>85.769571428571425</v>
          </cell>
          <cell r="BC965">
            <v>27.044</v>
          </cell>
        </row>
        <row r="966">
          <cell r="A966">
            <v>54</v>
          </cell>
          <cell r="B966" t="str">
            <v>IPRM</v>
          </cell>
          <cell r="C966" t="str">
            <v>FM</v>
          </cell>
          <cell r="D966" t="str">
            <v>SPFAD&gt;C16(C16@15-25%)</v>
          </cell>
          <cell r="E966" t="str">
            <v>D B/P&gt;C16 FOR ALC</v>
          </cell>
        </row>
        <row r="967">
          <cell r="A967">
            <v>55</v>
          </cell>
          <cell r="B967" t="str">
            <v>IPRM</v>
          </cell>
          <cell r="C967" t="str">
            <v>FM</v>
          </cell>
          <cell r="D967" t="str">
            <v>SPFAD&gt;C16(C16@15-25%)</v>
          </cell>
          <cell r="E967" t="str">
            <v>B/P&gt;C16 FOR ALC</v>
          </cell>
          <cell r="F967">
            <v>9.6199999999999992</v>
          </cell>
          <cell r="O967">
            <v>4.8099999999999996</v>
          </cell>
          <cell r="X967">
            <v>4.8099999999999996</v>
          </cell>
          <cell r="AA967">
            <v>30</v>
          </cell>
          <cell r="AG967">
            <v>4.8099999999999996</v>
          </cell>
          <cell r="AY967">
            <v>4.8099999999999996</v>
          </cell>
        </row>
        <row r="968">
          <cell r="A968">
            <v>56</v>
          </cell>
          <cell r="B968" t="str">
            <v>IPRM</v>
          </cell>
          <cell r="C968" t="str">
            <v>SM</v>
          </cell>
          <cell r="D968" t="str">
            <v>MIX RESIDUE</v>
          </cell>
          <cell r="E968" t="str">
            <v>MIX RESIDUE</v>
          </cell>
          <cell r="F968">
            <v>21</v>
          </cell>
          <cell r="G968">
            <v>963.92</v>
          </cell>
          <cell r="H968">
            <v>463.23</v>
          </cell>
          <cell r="I968">
            <v>9.992571428571452</v>
          </cell>
          <cell r="J968">
            <v>28.010999999999999</v>
          </cell>
          <cell r="M968">
            <v>20.75</v>
          </cell>
          <cell r="P968">
            <v>1047.18</v>
          </cell>
          <cell r="Q968">
            <v>463.23</v>
          </cell>
          <cell r="R968">
            <v>47.46471428571428</v>
          </cell>
          <cell r="S968">
            <v>38.780999999999999</v>
          </cell>
          <cell r="Y968">
            <v>1122.05</v>
          </cell>
          <cell r="Z968">
            <v>463.23</v>
          </cell>
          <cell r="AA968">
            <v>109.9182857142857</v>
          </cell>
          <cell r="AB968">
            <v>24.138999999999999</v>
          </cell>
          <cell r="AH968">
            <v>1288.73</v>
          </cell>
          <cell r="AI968">
            <v>463.23</v>
          </cell>
          <cell r="AJ968">
            <v>99.092999999999975</v>
          </cell>
          <cell r="AK968">
            <v>28.978999999999999</v>
          </cell>
          <cell r="AN968">
            <v>24.61</v>
          </cell>
          <cell r="AP968">
            <v>4.8099999999999996</v>
          </cell>
          <cell r="AQ968">
            <v>1961.9</v>
          </cell>
          <cell r="AS968">
            <v>51.62828571428571</v>
          </cell>
          <cell r="AW968">
            <v>24.48</v>
          </cell>
          <cell r="AZ968">
            <v>1985.69</v>
          </cell>
          <cell r="BB968">
            <v>85.769571428571425</v>
          </cell>
          <cell r="BC968">
            <v>27.044</v>
          </cell>
          <cell r="BH968">
            <v>4.8099999999999996</v>
          </cell>
          <cell r="BI968">
            <v>2068.1480000000001</v>
          </cell>
          <cell r="BK968">
            <v>85.769571428571425</v>
          </cell>
          <cell r="BL968">
            <v>2.359</v>
          </cell>
          <cell r="BQ968">
            <v>1.48</v>
          </cell>
          <cell r="BR968">
            <v>2418.6089999999999</v>
          </cell>
          <cell r="BT968">
            <v>20.817857142857143</v>
          </cell>
          <cell r="BU968">
            <v>14.337999999999999</v>
          </cell>
          <cell r="CA968">
            <v>2502.6570000000002</v>
          </cell>
          <cell r="CC968">
            <v>27.479571428571436</v>
          </cell>
          <cell r="CD968">
            <v>17.786999999999999</v>
          </cell>
          <cell r="CJ968">
            <v>2813.4740000000002</v>
          </cell>
          <cell r="CL968">
            <v>21.650571428571443</v>
          </cell>
          <cell r="CS968">
            <v>2884.835</v>
          </cell>
          <cell r="CU968">
            <v>25.397785714285721</v>
          </cell>
          <cell r="CV968">
            <v>18.573</v>
          </cell>
          <cell r="DB968">
            <v>2916.5509999999999</v>
          </cell>
          <cell r="DD968">
            <v>59.122714285714295</v>
          </cell>
          <cell r="DE968">
            <v>13.004</v>
          </cell>
          <cell r="DH968">
            <v>24.34</v>
          </cell>
          <cell r="DK968">
            <v>3108.433</v>
          </cell>
          <cell r="DM968">
            <v>83.271428571428572</v>
          </cell>
          <cell r="DN968">
            <v>26.105</v>
          </cell>
        </row>
        <row r="969">
          <cell r="A969">
            <v>57</v>
          </cell>
          <cell r="B969" t="str">
            <v>IPRM</v>
          </cell>
          <cell r="C969" t="str">
            <v>SM</v>
          </cell>
          <cell r="D969" t="str">
            <v>SMIX RESIDUE</v>
          </cell>
          <cell r="E969" t="str">
            <v>SMIX RESIDUE</v>
          </cell>
        </row>
        <row r="970">
          <cell r="A970">
            <v>58</v>
          </cell>
          <cell r="B970" t="str">
            <v>IPRM</v>
          </cell>
          <cell r="C970" t="str">
            <v>FM</v>
          </cell>
          <cell r="D970" t="str">
            <v>DMIX RESIDUE</v>
          </cell>
          <cell r="E970" t="str">
            <v>DMIX RESIDUE</v>
          </cell>
          <cell r="F970">
            <v>9.6199999999999992</v>
          </cell>
          <cell r="O970">
            <v>4.8099999999999996</v>
          </cell>
          <cell r="X970">
            <v>4.8099999999999996</v>
          </cell>
          <cell r="AA970">
            <v>30</v>
          </cell>
          <cell r="AG970">
            <v>4.8099999999999996</v>
          </cell>
          <cell r="AY970">
            <v>4.8099999999999996</v>
          </cell>
          <cell r="CI970">
            <v>2.2250000000000001</v>
          </cell>
          <cell r="CR970">
            <v>3.9580000000000002</v>
          </cell>
          <cell r="DA970">
            <v>4.452</v>
          </cell>
          <cell r="DJ970">
            <v>4.95</v>
          </cell>
        </row>
        <row r="971">
          <cell r="A971">
            <v>59</v>
          </cell>
          <cell r="B971" t="str">
            <v>IPRM</v>
          </cell>
          <cell r="C971" t="str">
            <v>FM</v>
          </cell>
          <cell r="D971" t="str">
            <v>HYD D RFA</v>
          </cell>
          <cell r="E971" t="str">
            <v>HYD D RFA</v>
          </cell>
          <cell r="F971">
            <v>21</v>
          </cell>
          <cell r="I971">
            <v>133.97999999999999</v>
          </cell>
        </row>
        <row r="972">
          <cell r="A972">
            <v>60</v>
          </cell>
          <cell r="B972" t="str">
            <v>IPRM</v>
          </cell>
          <cell r="C972" t="str">
            <v>FM</v>
          </cell>
          <cell r="D972" t="str">
            <v>B/P SMUSTARD&gt;C18</v>
          </cell>
          <cell r="E972" t="str">
            <v>B/P SMUSTARD&gt;C18</v>
          </cell>
          <cell r="F972">
            <v>40.9</v>
          </cell>
          <cell r="G972">
            <v>299.71620000000001</v>
          </cell>
          <cell r="H972">
            <v>1976.26</v>
          </cell>
          <cell r="O972">
            <v>40.9</v>
          </cell>
          <cell r="P972">
            <v>299.71600000000001</v>
          </cell>
          <cell r="Q972">
            <v>1976.26</v>
          </cell>
          <cell r="X972">
            <v>40.9</v>
          </cell>
          <cell r="Y972">
            <v>295.59312</v>
          </cell>
          <cell r="Z972">
            <v>1976.26</v>
          </cell>
          <cell r="AA972">
            <v>42.468428571428582</v>
          </cell>
          <cell r="AG972">
            <v>40.9</v>
          </cell>
          <cell r="AH972">
            <v>299.71620000000001</v>
          </cell>
          <cell r="AI972">
            <v>1976.26</v>
          </cell>
          <cell r="AJ972">
            <v>148.55000000000001</v>
          </cell>
          <cell r="AP972">
            <v>40.9</v>
          </cell>
          <cell r="AQ972">
            <v>775.45999999999992</v>
          </cell>
          <cell r="AR972">
            <v>1696.78</v>
          </cell>
          <cell r="AS972">
            <v>166.54285714285714</v>
          </cell>
          <cell r="AY972">
            <v>40.9</v>
          </cell>
          <cell r="AZ972">
            <v>775.46</v>
          </cell>
          <cell r="BA972">
            <v>1696.78</v>
          </cell>
        </row>
        <row r="973">
          <cell r="A973">
            <v>61</v>
          </cell>
          <cell r="B973" t="str">
            <v>IPRM</v>
          </cell>
          <cell r="C973" t="str">
            <v>FM</v>
          </cell>
          <cell r="D973" t="str">
            <v>B/P SMUSTARD&gt;C20</v>
          </cell>
          <cell r="E973" t="str">
            <v>B/P SMUSTARD&gt;C20</v>
          </cell>
          <cell r="G973">
            <v>14.905799999999999</v>
          </cell>
          <cell r="H973">
            <v>498.73</v>
          </cell>
          <cell r="Q973">
            <v>498.73</v>
          </cell>
          <cell r="Z973">
            <v>498.73</v>
          </cell>
          <cell r="AI973">
            <v>498.73</v>
          </cell>
          <cell r="AR973">
            <v>498.73</v>
          </cell>
          <cell r="BA973">
            <v>498.73</v>
          </cell>
          <cell r="CC973">
            <v>205.53749999999999</v>
          </cell>
        </row>
        <row r="974">
          <cell r="A974">
            <v>62</v>
          </cell>
          <cell r="B974" t="str">
            <v>IPRM</v>
          </cell>
          <cell r="C974" t="str">
            <v>SM</v>
          </cell>
          <cell r="D974" t="str">
            <v>DFA C18+22(20@50%)</v>
          </cell>
          <cell r="E974" t="str">
            <v>DFA C18+22(20@50%)</v>
          </cell>
          <cell r="G974">
            <v>51.043542400000007</v>
          </cell>
          <cell r="AA974">
            <v>12</v>
          </cell>
        </row>
        <row r="975">
          <cell r="A975">
            <v>260</v>
          </cell>
          <cell r="B975" t="str">
            <v>IPRM</v>
          </cell>
          <cell r="C975" t="str">
            <v>SM</v>
          </cell>
          <cell r="D975" t="str">
            <v>DFA C16C18 FROM MFA</v>
          </cell>
          <cell r="E975" t="str">
            <v>DFA C16C18 FROM MFA</v>
          </cell>
          <cell r="G975">
            <v>120</v>
          </cell>
          <cell r="H975">
            <v>40.11</v>
          </cell>
          <cell r="P975">
            <v>120</v>
          </cell>
          <cell r="Y975">
            <v>120</v>
          </cell>
          <cell r="AH975">
            <v>120</v>
          </cell>
          <cell r="AQ975">
            <v>120</v>
          </cell>
          <cell r="AZ975">
            <v>120</v>
          </cell>
          <cell r="CC975">
            <v>73.099999999999994</v>
          </cell>
        </row>
        <row r="976">
          <cell r="A976">
            <v>63</v>
          </cell>
          <cell r="B976" t="str">
            <v>IPRM</v>
          </cell>
          <cell r="C976" t="str">
            <v>NM</v>
          </cell>
          <cell r="D976" t="str">
            <v>MUSTARD RESIDUE</v>
          </cell>
          <cell r="E976" t="str">
            <v>MUSTARD RESIDUE</v>
          </cell>
          <cell r="F976">
            <v>40.9</v>
          </cell>
          <cell r="G976">
            <v>299.71620000000001</v>
          </cell>
          <cell r="H976">
            <v>1976.26</v>
          </cell>
          <cell r="O976">
            <v>40.9</v>
          </cell>
          <cell r="P976">
            <v>299.71600000000001</v>
          </cell>
          <cell r="Q976">
            <v>1976.26</v>
          </cell>
          <cell r="R976">
            <v>304.82400000000001</v>
          </cell>
          <cell r="X976">
            <v>40.9</v>
          </cell>
          <cell r="Y976">
            <v>295.59312</v>
          </cell>
          <cell r="Z976">
            <v>1976.26</v>
          </cell>
          <cell r="AA976">
            <v>42.468428571428582</v>
          </cell>
          <cell r="AG976">
            <v>40.9</v>
          </cell>
          <cell r="AH976">
            <v>299.71620000000001</v>
          </cell>
          <cell r="AI976">
            <v>1976.26</v>
          </cell>
          <cell r="AJ976">
            <v>148.55000000000001</v>
          </cell>
          <cell r="AP976">
            <v>40.9</v>
          </cell>
          <cell r="AQ976">
            <v>775.45999999999992</v>
          </cell>
          <cell r="AR976">
            <v>1696.78</v>
          </cell>
          <cell r="AS976">
            <v>166.54285714285714</v>
          </cell>
          <cell r="AY976">
            <v>40.9</v>
          </cell>
          <cell r="AZ976">
            <v>775.46</v>
          </cell>
          <cell r="BA976">
            <v>1696.78</v>
          </cell>
          <cell r="BB976">
            <v>289.44900000000001</v>
          </cell>
          <cell r="BH976">
            <v>40.902000000000001</v>
          </cell>
          <cell r="BI976">
            <v>775.45600000000002</v>
          </cell>
          <cell r="BJ976">
            <v>1696.78</v>
          </cell>
          <cell r="BQ976">
            <v>40.902000000000001</v>
          </cell>
          <cell r="BR976">
            <v>775.45600000000002</v>
          </cell>
          <cell r="BS976">
            <v>1696.78</v>
          </cell>
          <cell r="BZ976">
            <v>40.902000000000001</v>
          </cell>
          <cell r="CA976">
            <v>1003.811</v>
          </cell>
          <cell r="CB976">
            <v>1696.78</v>
          </cell>
          <cell r="CI976">
            <v>40.902000000000001</v>
          </cell>
          <cell r="CJ976">
            <v>411.51510000000002</v>
          </cell>
          <cell r="CK976">
            <v>2284.15</v>
          </cell>
          <cell r="CL976">
            <v>51.62828571428571</v>
          </cell>
          <cell r="CR976">
            <v>40.902000000000001</v>
          </cell>
          <cell r="CS976">
            <v>556.61580000000004</v>
          </cell>
          <cell r="CT976">
            <v>2284.15</v>
          </cell>
          <cell r="CU976">
            <v>32.059500000000014</v>
          </cell>
          <cell r="DA976">
            <v>40.902000000000001</v>
          </cell>
          <cell r="DB976">
            <v>304.47360000000003</v>
          </cell>
          <cell r="DC976">
            <v>2593.6799999999998</v>
          </cell>
          <cell r="DD976">
            <v>9.1598571428571542</v>
          </cell>
          <cell r="DJ976">
            <v>41.012</v>
          </cell>
          <cell r="DK976">
            <v>344.11860000000001</v>
          </cell>
          <cell r="DL976">
            <v>2593.6799999999998</v>
          </cell>
          <cell r="DM976">
            <v>54.126428571428569</v>
          </cell>
        </row>
        <row r="977">
          <cell r="A977">
            <v>64</v>
          </cell>
          <cell r="B977" t="str">
            <v>IPRM</v>
          </cell>
          <cell r="C977" t="str">
            <v>NM</v>
          </cell>
          <cell r="D977" t="str">
            <v>SMUSTARD RESIDUE</v>
          </cell>
          <cell r="E977" t="str">
            <v>SMUSTARD RESIDUE</v>
          </cell>
          <cell r="G977">
            <v>14.905799999999999</v>
          </cell>
          <cell r="H977">
            <v>498.73</v>
          </cell>
          <cell r="Q977">
            <v>498.73</v>
          </cell>
          <cell r="Z977">
            <v>498.73</v>
          </cell>
          <cell r="AI977">
            <v>498.73</v>
          </cell>
          <cell r="AP977">
            <v>318.50918000000001</v>
          </cell>
          <cell r="AR977">
            <v>498.73</v>
          </cell>
          <cell r="AY977">
            <v>318.50918000000001</v>
          </cell>
          <cell r="BA977">
            <v>498.73</v>
          </cell>
          <cell r="BJ977">
            <v>498.73</v>
          </cell>
          <cell r="BS977">
            <v>498.73</v>
          </cell>
          <cell r="CB977">
            <v>498.73</v>
          </cell>
          <cell r="CK977">
            <v>498.73</v>
          </cell>
          <cell r="CT977">
            <v>498.73</v>
          </cell>
          <cell r="DC977">
            <v>498.73</v>
          </cell>
          <cell r="DL977">
            <v>498.73</v>
          </cell>
        </row>
        <row r="978">
          <cell r="A978">
            <v>65</v>
          </cell>
          <cell r="B978" t="str">
            <v>IPRM</v>
          </cell>
          <cell r="C978" t="str">
            <v>NM</v>
          </cell>
          <cell r="D978" t="str">
            <v>DMUSTARD RESIDUE</v>
          </cell>
          <cell r="E978" t="str">
            <v>DMUSTARD RESIDUE</v>
          </cell>
          <cell r="G978">
            <v>51.043542400000007</v>
          </cell>
          <cell r="AA978">
            <v>12</v>
          </cell>
        </row>
        <row r="979">
          <cell r="A979">
            <v>66</v>
          </cell>
          <cell r="B979" t="str">
            <v>IPRM</v>
          </cell>
          <cell r="C979" t="str">
            <v>NM</v>
          </cell>
          <cell r="D979" t="str">
            <v>CONTAMINATED MUST</v>
          </cell>
          <cell r="E979" t="str">
            <v>CONTAMINATED MUST</v>
          </cell>
          <cell r="G979">
            <v>120</v>
          </cell>
          <cell r="H979">
            <v>40.11</v>
          </cell>
          <cell r="P979">
            <v>120</v>
          </cell>
          <cell r="Y979">
            <v>120</v>
          </cell>
          <cell r="AH979">
            <v>120</v>
          </cell>
          <cell r="AQ979">
            <v>120</v>
          </cell>
          <cell r="AZ979">
            <v>120</v>
          </cell>
          <cell r="BI979">
            <v>120</v>
          </cell>
          <cell r="BR979">
            <v>120</v>
          </cell>
          <cell r="CA979">
            <v>120</v>
          </cell>
          <cell r="CJ979">
            <v>120</v>
          </cell>
          <cell r="CS979">
            <v>120</v>
          </cell>
          <cell r="DB979">
            <v>120</v>
          </cell>
          <cell r="DC979">
            <v>40.11</v>
          </cell>
          <cell r="DK979">
            <v>120</v>
          </cell>
          <cell r="DL979">
            <v>40.11</v>
          </cell>
        </row>
        <row r="980">
          <cell r="A980">
            <v>67</v>
          </cell>
          <cell r="B980" t="str">
            <v>IPRM</v>
          </cell>
          <cell r="C980" t="str">
            <v>NM</v>
          </cell>
          <cell r="D980" t="str">
            <v>HYD SPFAD</v>
          </cell>
          <cell r="E980" t="str">
            <v>HYD SPFAD</v>
          </cell>
          <cell r="O980">
            <v>204.44</v>
          </cell>
          <cell r="R980">
            <v>304.82400000000001</v>
          </cell>
          <cell r="AA980">
            <v>93.176999999999992</v>
          </cell>
          <cell r="AE980">
            <v>71.739999999999995</v>
          </cell>
          <cell r="AJ980">
            <v>17.835000000000001</v>
          </cell>
          <cell r="AP980">
            <v>21</v>
          </cell>
          <cell r="AS980">
            <v>165.56100000000001</v>
          </cell>
          <cell r="BB980">
            <v>289.44900000000001</v>
          </cell>
          <cell r="BK980">
            <v>37.409999999999997</v>
          </cell>
          <cell r="BT980">
            <v>21.141000000000002</v>
          </cell>
          <cell r="CC980">
            <v>4.4000000000000004</v>
          </cell>
          <cell r="CL980">
            <v>100.31099999999999</v>
          </cell>
          <cell r="CR980">
            <v>34.225000000000001</v>
          </cell>
          <cell r="CU980">
            <v>169.911</v>
          </cell>
          <cell r="DA980">
            <v>143.55000000000001</v>
          </cell>
          <cell r="DD980">
            <v>211.41</v>
          </cell>
          <cell r="DM980">
            <v>201.75399999999999</v>
          </cell>
        </row>
        <row r="981">
          <cell r="A981">
            <v>68</v>
          </cell>
          <cell r="B981" t="str">
            <v>IPRM</v>
          </cell>
          <cell r="C981" t="str">
            <v>NM</v>
          </cell>
          <cell r="D981" t="str">
            <v>C16 RICH (FOR SB)</v>
          </cell>
          <cell r="E981" t="str">
            <v>C16 RICH (FOR SB)</v>
          </cell>
          <cell r="F981">
            <v>156.41999999999999</v>
          </cell>
          <cell r="O981">
            <v>254.79</v>
          </cell>
          <cell r="AG981">
            <v>130.12477999999999</v>
          </cell>
          <cell r="AP981">
            <v>318.50918000000001</v>
          </cell>
          <cell r="AY981">
            <v>318.50918000000001</v>
          </cell>
          <cell r="BH981">
            <v>318.50918000000001</v>
          </cell>
          <cell r="BK981">
            <v>400.2</v>
          </cell>
          <cell r="BQ981">
            <v>447.58738</v>
          </cell>
          <cell r="CI981">
            <v>337.76400000000001</v>
          </cell>
          <cell r="CR981">
            <v>130.12477999999999</v>
          </cell>
          <cell r="CU981">
            <v>364.48649999999998</v>
          </cell>
          <cell r="CY981">
            <v>15.11</v>
          </cell>
          <cell r="DA981">
            <v>255.45500000000001</v>
          </cell>
          <cell r="DD981">
            <v>268.56900000000002</v>
          </cell>
          <cell r="DM981">
            <v>115.10099999999998</v>
          </cell>
        </row>
        <row r="982">
          <cell r="A982">
            <v>69</v>
          </cell>
          <cell r="B982" t="str">
            <v>IPRM</v>
          </cell>
          <cell r="C982" t="str">
            <v>NM</v>
          </cell>
          <cell r="D982" t="str">
            <v>B/P PFAD (FOR C16/C18)</v>
          </cell>
          <cell r="E982" t="str">
            <v>B/P PFAD (FOR C16/C18)</v>
          </cell>
          <cell r="G982">
            <v>272.68</v>
          </cell>
          <cell r="O982">
            <v>255.6</v>
          </cell>
          <cell r="P982">
            <v>3.23</v>
          </cell>
          <cell r="X982">
            <v>255.6</v>
          </cell>
          <cell r="AG982">
            <v>136.4</v>
          </cell>
          <cell r="AJ982">
            <v>80.387999999999977</v>
          </cell>
          <cell r="AN982">
            <v>18.739999999999998</v>
          </cell>
          <cell r="DD982">
            <v>166.25700000000001</v>
          </cell>
          <cell r="DM982">
            <v>602.91</v>
          </cell>
        </row>
        <row r="983">
          <cell r="A983">
            <v>70</v>
          </cell>
          <cell r="B983" t="str">
            <v>IPRM</v>
          </cell>
          <cell r="C983" t="str">
            <v>NM</v>
          </cell>
          <cell r="D983" t="str">
            <v>DFA C8&gt;90%</v>
          </cell>
          <cell r="E983" t="str">
            <v>DFA C8&gt;90%</v>
          </cell>
          <cell r="AG983">
            <v>7</v>
          </cell>
        </row>
        <row r="984">
          <cell r="A984">
            <v>71</v>
          </cell>
          <cell r="B984" t="str">
            <v>IPRM</v>
          </cell>
          <cell r="C984" t="str">
            <v>NM</v>
          </cell>
          <cell r="D984" t="str">
            <v>FEED FOR DTP-CT</v>
          </cell>
          <cell r="E984" t="str">
            <v>FEED FOR DTP-CT</v>
          </cell>
          <cell r="O984">
            <v>204.44</v>
          </cell>
          <cell r="AA984">
            <v>148.90049999999997</v>
          </cell>
          <cell r="AE984">
            <v>71.739999999999995</v>
          </cell>
        </row>
        <row r="985">
          <cell r="A985">
            <v>72</v>
          </cell>
          <cell r="B985" t="str">
            <v>IPRM</v>
          </cell>
          <cell r="C985" t="str">
            <v>NM</v>
          </cell>
          <cell r="D985" t="str">
            <v>C16 RICH FROM PFAD</v>
          </cell>
          <cell r="E985" t="str">
            <v>C16 RICH FROM PFAD</v>
          </cell>
          <cell r="F985">
            <v>156.41999999999999</v>
          </cell>
          <cell r="O985">
            <v>254.79</v>
          </cell>
          <cell r="AG985">
            <v>130.12477999999999</v>
          </cell>
          <cell r="BZ985">
            <v>447.58738</v>
          </cell>
        </row>
        <row r="986">
          <cell r="A986">
            <v>73</v>
          </cell>
          <cell r="B986" t="str">
            <v>IPRM</v>
          </cell>
          <cell r="C986" t="str">
            <v>NM</v>
          </cell>
          <cell r="D986" t="str">
            <v>FEED FOR P-12</v>
          </cell>
          <cell r="E986" t="str">
            <v>FEED FOR P-12</v>
          </cell>
          <cell r="F986">
            <v>21</v>
          </cell>
          <cell r="G986">
            <v>272.68</v>
          </cell>
          <cell r="O986">
            <v>255.6</v>
          </cell>
          <cell r="P986">
            <v>3.23</v>
          </cell>
          <cell r="X986">
            <v>255.6</v>
          </cell>
          <cell r="AG986">
            <v>136.4</v>
          </cell>
          <cell r="AJ986">
            <v>80.387999999999977</v>
          </cell>
          <cell r="AN986">
            <v>18.739999999999998</v>
          </cell>
          <cell r="AP986">
            <v>4.375</v>
          </cell>
          <cell r="AY986">
            <v>22.75</v>
          </cell>
          <cell r="BZ986">
            <v>101.97</v>
          </cell>
          <cell r="CC986">
            <v>34.949142857142832</v>
          </cell>
          <cell r="CG986">
            <v>48.35</v>
          </cell>
          <cell r="CI986">
            <v>49.005000000000003</v>
          </cell>
          <cell r="CL986">
            <v>273.15514285714289</v>
          </cell>
          <cell r="CP986">
            <v>15.27</v>
          </cell>
          <cell r="CU986">
            <v>29.430857142857167</v>
          </cell>
          <cell r="DD986">
            <v>29.430857142857167</v>
          </cell>
          <cell r="DJ986">
            <v>129.76</v>
          </cell>
          <cell r="DQ986">
            <v>20.94</v>
          </cell>
        </row>
        <row r="987">
          <cell r="A987">
            <v>74</v>
          </cell>
          <cell r="B987" t="str">
            <v>IPRM</v>
          </cell>
          <cell r="C987" t="str">
            <v>NM</v>
          </cell>
          <cell r="D987" t="str">
            <v>HYD P-12</v>
          </cell>
          <cell r="E987" t="str">
            <v>HYD P-12</v>
          </cell>
          <cell r="F987">
            <v>188.1</v>
          </cell>
          <cell r="O987">
            <v>14</v>
          </cell>
          <cell r="AG987">
            <v>7</v>
          </cell>
          <cell r="AS987">
            <v>286.23</v>
          </cell>
          <cell r="DJ987">
            <v>7</v>
          </cell>
        </row>
        <row r="988">
          <cell r="A988">
            <v>75</v>
          </cell>
          <cell r="B988" t="str">
            <v>IPRM</v>
          </cell>
          <cell r="C988" t="str">
            <v>NM</v>
          </cell>
          <cell r="D988" t="str">
            <v>D HYD P-12</v>
          </cell>
          <cell r="E988" t="str">
            <v>D HYD P-12</v>
          </cell>
          <cell r="BC988">
            <v>24.492000000000001</v>
          </cell>
        </row>
        <row r="989">
          <cell r="A989">
            <v>76</v>
          </cell>
          <cell r="B989" t="str">
            <v>IPRM</v>
          </cell>
          <cell r="C989" t="str">
            <v>NM</v>
          </cell>
          <cell r="D989" t="str">
            <v>DFA C16/18  FOR TRANSLUCENT</v>
          </cell>
          <cell r="E989" t="str">
            <v>DFA C16/18  FOR TRANSLUCENT</v>
          </cell>
        </row>
        <row r="990">
          <cell r="A990">
            <v>77</v>
          </cell>
          <cell r="B990" t="str">
            <v>IPRM</v>
          </cell>
          <cell r="C990" t="str">
            <v>NM</v>
          </cell>
          <cell r="D990" t="str">
            <v>GLY RES</v>
          </cell>
          <cell r="E990" t="str">
            <v>GLY RES</v>
          </cell>
          <cell r="F990">
            <v>21</v>
          </cell>
          <cell r="G990">
            <v>118.578</v>
          </cell>
          <cell r="O990">
            <v>2.35</v>
          </cell>
          <cell r="P990">
            <v>118.578</v>
          </cell>
          <cell r="X990">
            <v>35</v>
          </cell>
          <cell r="Y990">
            <v>118.578</v>
          </cell>
          <cell r="AG990">
            <v>12.6</v>
          </cell>
          <cell r="AH990">
            <v>118.578</v>
          </cell>
          <cell r="AP990">
            <v>4.375</v>
          </cell>
          <cell r="AQ990">
            <v>97.578000000000003</v>
          </cell>
          <cell r="AY990">
            <v>22.75</v>
          </cell>
          <cell r="AZ990">
            <v>97.578000000000003</v>
          </cell>
          <cell r="BH990">
            <v>22.75</v>
          </cell>
          <cell r="BQ990">
            <v>23.625</v>
          </cell>
          <cell r="BZ990">
            <v>36.75</v>
          </cell>
          <cell r="CI990">
            <v>11.375</v>
          </cell>
          <cell r="CR990">
            <v>27.125</v>
          </cell>
          <cell r="DA990">
            <v>27.125</v>
          </cell>
          <cell r="DJ990">
            <v>1.75</v>
          </cell>
        </row>
        <row r="991">
          <cell r="A991">
            <v>78</v>
          </cell>
          <cell r="B991" t="str">
            <v>IPRM</v>
          </cell>
          <cell r="C991" t="str">
            <v>NM</v>
          </cell>
          <cell r="D991" t="str">
            <v>D B/P PKO</v>
          </cell>
          <cell r="E991" t="str">
            <v>D B/P PKO</v>
          </cell>
          <cell r="F991">
            <v>188.1</v>
          </cell>
          <cell r="O991">
            <v>14</v>
          </cell>
          <cell r="AS991">
            <v>286.23</v>
          </cell>
          <cell r="BT991">
            <v>211.88</v>
          </cell>
        </row>
        <row r="992">
          <cell r="A992">
            <v>79</v>
          </cell>
          <cell r="B992" t="str">
            <v>IPRM</v>
          </cell>
          <cell r="C992" t="str">
            <v>NM</v>
          </cell>
          <cell r="D992" t="str">
            <v>FOR NEEM SOAP</v>
          </cell>
          <cell r="E992" t="str">
            <v>FOR NEEM SOAP</v>
          </cell>
          <cell r="F992">
            <v>951.33699999999999</v>
          </cell>
          <cell r="G992">
            <v>6281.4063049000015</v>
          </cell>
          <cell r="H992">
            <v>3019.3</v>
          </cell>
          <cell r="I992">
            <v>820.01014285714291</v>
          </cell>
          <cell r="J992">
            <v>28.010999999999999</v>
          </cell>
          <cell r="K992">
            <v>0</v>
          </cell>
          <cell r="L992">
            <v>0</v>
          </cell>
          <cell r="M992">
            <v>35.75</v>
          </cell>
          <cell r="N992">
            <v>0</v>
          </cell>
          <cell r="O992">
            <v>1272.9155679999997</v>
          </cell>
          <cell r="P992">
            <v>6341.6307600000009</v>
          </cell>
          <cell r="Q992">
            <v>2979.19</v>
          </cell>
          <cell r="R992">
            <v>677.89242857142858</v>
          </cell>
          <cell r="S992">
            <v>38.780999999999999</v>
          </cell>
          <cell r="T992">
            <v>0</v>
          </cell>
          <cell r="U992">
            <v>0</v>
          </cell>
          <cell r="V992">
            <v>176.85</v>
          </cell>
          <cell r="W992">
            <v>0</v>
          </cell>
          <cell r="X992">
            <v>874.46900000000005</v>
          </cell>
          <cell r="Y992">
            <v>6860.6462800000018</v>
          </cell>
          <cell r="Z992">
            <v>2979.19</v>
          </cell>
          <cell r="AA992">
            <v>682.42050000000006</v>
          </cell>
          <cell r="AB992">
            <v>24.138999999999999</v>
          </cell>
          <cell r="AC992">
            <v>0</v>
          </cell>
          <cell r="AD992">
            <v>0</v>
          </cell>
          <cell r="AE992">
            <v>71.739999999999995</v>
          </cell>
          <cell r="AF992">
            <v>0</v>
          </cell>
          <cell r="AG992">
            <v>1010.8632799999999</v>
          </cell>
          <cell r="AH992">
            <v>6887.823260000001</v>
          </cell>
          <cell r="AI992">
            <v>2979.19</v>
          </cell>
          <cell r="AJ992">
            <v>1104.691</v>
          </cell>
          <cell r="AK992">
            <v>28.978999999999999</v>
          </cell>
          <cell r="AL992">
            <v>0</v>
          </cell>
          <cell r="AM992">
            <v>0</v>
          </cell>
          <cell r="AN992">
            <v>43.349999999999994</v>
          </cell>
          <cell r="AO992">
            <v>0</v>
          </cell>
          <cell r="AP992">
            <v>1221.4266799999998</v>
          </cell>
          <cell r="AQ992">
            <v>7124.1817600000013</v>
          </cell>
          <cell r="AR992">
            <v>2236.48</v>
          </cell>
          <cell r="AS992">
            <v>1357.8885714285714</v>
          </cell>
          <cell r="AT992">
            <v>0</v>
          </cell>
          <cell r="AU992">
            <v>0</v>
          </cell>
          <cell r="AV992">
            <v>0</v>
          </cell>
          <cell r="AW992">
            <v>71.03</v>
          </cell>
          <cell r="AX992">
            <v>0</v>
          </cell>
          <cell r="AY992">
            <v>1456.61068</v>
          </cell>
          <cell r="AZ992">
            <v>7174.2027600000001</v>
          </cell>
          <cell r="BA992">
            <v>2236.48</v>
          </cell>
          <cell r="BB992">
            <v>1345.1225714285715</v>
          </cell>
          <cell r="BC992">
            <v>24.492000000000001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</row>
        <row r="993">
          <cell r="A993">
            <v>239</v>
          </cell>
          <cell r="B993" t="str">
            <v>IPRM</v>
          </cell>
          <cell r="C993" t="str">
            <v>NM</v>
          </cell>
          <cell r="D993" t="str">
            <v>FEED FOR ITC</v>
          </cell>
          <cell r="E993" t="str">
            <v>FEED FOR ITC</v>
          </cell>
        </row>
        <row r="994">
          <cell r="A994">
            <v>240</v>
          </cell>
          <cell r="B994" t="str">
            <v>IPRM</v>
          </cell>
          <cell r="C994" t="str">
            <v>NM</v>
          </cell>
          <cell r="D994" t="str">
            <v>MUSTARD-MCT</v>
          </cell>
          <cell r="E994" t="str">
            <v>MUSTARD-MCT</v>
          </cell>
          <cell r="F994">
            <v>29.8935</v>
          </cell>
          <cell r="G994">
            <v>118.578</v>
          </cell>
          <cell r="I994">
            <v>89.516785714285717</v>
          </cell>
          <cell r="O994">
            <v>29.8935</v>
          </cell>
          <cell r="P994">
            <v>118.578</v>
          </cell>
          <cell r="R994">
            <v>2.4981428571428337</v>
          </cell>
          <cell r="X994">
            <v>29.8935</v>
          </cell>
          <cell r="Y994">
            <v>118.578</v>
          </cell>
          <cell r="AG994">
            <v>29.3825</v>
          </cell>
          <cell r="AH994">
            <v>118.578</v>
          </cell>
          <cell r="AP994">
            <v>29.3825</v>
          </cell>
          <cell r="AQ994">
            <v>97.578000000000003</v>
          </cell>
          <cell r="AY994">
            <v>29.3825</v>
          </cell>
          <cell r="AZ994">
            <v>97.578000000000003</v>
          </cell>
          <cell r="BH994">
            <v>29.3825</v>
          </cell>
          <cell r="BI994">
            <v>97.578000000000003</v>
          </cell>
          <cell r="BQ994">
            <v>29.3825</v>
          </cell>
          <cell r="BR994">
            <v>97.578000000000003</v>
          </cell>
          <cell r="BZ994">
            <v>29.3825</v>
          </cell>
          <cell r="CA994">
            <v>97.578000000000003</v>
          </cell>
          <cell r="CI994">
            <v>29.3825</v>
          </cell>
          <cell r="CJ994">
            <v>97.578000000000003</v>
          </cell>
          <cell r="CR994">
            <v>29.3825</v>
          </cell>
          <cell r="CS994">
            <v>97.578000000000003</v>
          </cell>
          <cell r="DA994">
            <v>29.3825</v>
          </cell>
          <cell r="DB994">
            <v>97.578000000000003</v>
          </cell>
          <cell r="DJ994">
            <v>29.3825</v>
          </cell>
          <cell r="DK994">
            <v>97.578000000000003</v>
          </cell>
          <cell r="DM994">
            <v>25.8</v>
          </cell>
        </row>
        <row r="995">
          <cell r="A995">
            <v>242</v>
          </cell>
          <cell r="B995" t="str">
            <v>IPRM</v>
          </cell>
          <cell r="C995" t="str">
            <v>NM</v>
          </cell>
          <cell r="D995" t="str">
            <v>HYD STEARIC-90</v>
          </cell>
          <cell r="E995" t="str">
            <v>HYD STEARIC-90</v>
          </cell>
          <cell r="R995">
            <v>108.70650000000001</v>
          </cell>
          <cell r="AA995">
            <v>285.03200000000004</v>
          </cell>
        </row>
        <row r="996">
          <cell r="A996">
            <v>82</v>
          </cell>
          <cell r="B996" t="str">
            <v>FG</v>
          </cell>
          <cell r="C996" t="str">
            <v>FM</v>
          </cell>
          <cell r="D996" t="str">
            <v>IPRM TOTAL</v>
          </cell>
          <cell r="E996" t="str">
            <v>TRANSLUCENT</v>
          </cell>
          <cell r="F996">
            <v>951.33699999999999</v>
          </cell>
          <cell r="G996">
            <v>6281.4063049000015</v>
          </cell>
          <cell r="H996">
            <v>3019.3</v>
          </cell>
          <cell r="I996">
            <v>820.01014285714291</v>
          </cell>
          <cell r="J996">
            <v>28.010999999999999</v>
          </cell>
          <cell r="K996">
            <v>0</v>
          </cell>
          <cell r="L996">
            <v>0</v>
          </cell>
          <cell r="M996">
            <v>35.75</v>
          </cell>
          <cell r="N996">
            <v>0</v>
          </cell>
          <cell r="O996">
            <v>1272.9155679999997</v>
          </cell>
          <cell r="P996">
            <v>6341.6307600000009</v>
          </cell>
          <cell r="Q996">
            <v>2979.19</v>
          </cell>
          <cell r="R996">
            <v>677.89242857142858</v>
          </cell>
          <cell r="S996">
            <v>38.780999999999999</v>
          </cell>
          <cell r="T996">
            <v>0</v>
          </cell>
          <cell r="U996">
            <v>0</v>
          </cell>
          <cell r="V996">
            <v>176.85</v>
          </cell>
          <cell r="W996">
            <v>0</v>
          </cell>
          <cell r="X996">
            <v>874.46900000000005</v>
          </cell>
          <cell r="Y996">
            <v>6860.6462800000018</v>
          </cell>
          <cell r="Z996">
            <v>2979.19</v>
          </cell>
          <cell r="AA996">
            <v>682.42050000000006</v>
          </cell>
          <cell r="AB996">
            <v>24.138999999999999</v>
          </cell>
          <cell r="AC996">
            <v>0</v>
          </cell>
          <cell r="AD996">
            <v>0</v>
          </cell>
          <cell r="AE996">
            <v>71.739999999999995</v>
          </cell>
          <cell r="AF996">
            <v>0</v>
          </cell>
          <cell r="AG996">
            <v>1010.8632799999999</v>
          </cell>
          <cell r="AH996">
            <v>6887.823260000001</v>
          </cell>
          <cell r="AI996">
            <v>2979.19</v>
          </cell>
          <cell r="AJ996">
            <v>1104.691</v>
          </cell>
          <cell r="AK996">
            <v>28.978999999999999</v>
          </cell>
          <cell r="AL996">
            <v>0</v>
          </cell>
          <cell r="AM996">
            <v>0</v>
          </cell>
          <cell r="AN996">
            <v>43.349999999999994</v>
          </cell>
          <cell r="AO996">
            <v>0</v>
          </cell>
          <cell r="AP996">
            <v>1221.4266799999998</v>
          </cell>
          <cell r="AQ996">
            <v>7124.1817600000013</v>
          </cell>
          <cell r="AR996">
            <v>2236.48</v>
          </cell>
          <cell r="AS996">
            <v>1357.8885714285714</v>
          </cell>
          <cell r="AT996">
            <v>0</v>
          </cell>
          <cell r="AU996">
            <v>0</v>
          </cell>
          <cell r="AV996">
            <v>0</v>
          </cell>
          <cell r="AW996">
            <v>71.03</v>
          </cell>
          <cell r="AX996">
            <v>0</v>
          </cell>
          <cell r="AY996">
            <v>1456.61068</v>
          </cell>
          <cell r="AZ996">
            <v>7174.2027600000001</v>
          </cell>
          <cell r="BA996">
            <v>2236.48</v>
          </cell>
          <cell r="BB996">
            <v>1345.1225714285715</v>
          </cell>
          <cell r="BC996">
            <v>51.536000000000001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1303.5776800000001</v>
          </cell>
          <cell r="BI996">
            <v>7653.5784000000003</v>
          </cell>
          <cell r="BJ996">
            <v>2236.48</v>
          </cell>
          <cell r="BK996">
            <v>1397.7917142857143</v>
          </cell>
          <cell r="BL996">
            <v>2.359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1022.8318800000001</v>
          </cell>
          <cell r="BR996">
            <v>8631.0825999999997</v>
          </cell>
          <cell r="BS996">
            <v>2236.48</v>
          </cell>
          <cell r="BT996">
            <v>965.10271428571423</v>
          </cell>
          <cell r="BU996">
            <v>14.337999999999999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1136.86888</v>
          </cell>
          <cell r="CA996">
            <v>9091.9045999999998</v>
          </cell>
          <cell r="CB996">
            <v>2236.48</v>
          </cell>
          <cell r="CC996">
            <v>1275.1754999999998</v>
          </cell>
          <cell r="CD996">
            <v>17.786999999999999</v>
          </cell>
          <cell r="CE996">
            <v>0</v>
          </cell>
          <cell r="CF996">
            <v>0</v>
          </cell>
          <cell r="CG996">
            <v>48.35</v>
          </cell>
          <cell r="CH996">
            <v>0</v>
          </cell>
          <cell r="CI996">
            <v>924.13961800000004</v>
          </cell>
          <cell r="CJ996">
            <v>9559.5010999999995</v>
          </cell>
          <cell r="CK996">
            <v>2823.85</v>
          </cell>
          <cell r="CL996">
            <v>855.50828571428576</v>
          </cell>
          <cell r="CM996">
            <v>0</v>
          </cell>
          <cell r="CN996">
            <v>0</v>
          </cell>
          <cell r="CO996">
            <v>0</v>
          </cell>
          <cell r="CP996">
            <v>15.27</v>
          </cell>
          <cell r="CQ996">
            <v>0</v>
          </cell>
          <cell r="CR996">
            <v>712.92728000000011</v>
          </cell>
          <cell r="CS996">
            <v>9975.259799999998</v>
          </cell>
          <cell r="CT996">
            <v>2823.85</v>
          </cell>
          <cell r="CU996">
            <v>1109.3307857142859</v>
          </cell>
          <cell r="CV996">
            <v>18.573</v>
          </cell>
          <cell r="CW996">
            <v>0</v>
          </cell>
          <cell r="CX996">
            <v>0</v>
          </cell>
          <cell r="CY996">
            <v>15.11</v>
          </cell>
          <cell r="CZ996">
            <v>0</v>
          </cell>
          <cell r="DA996">
            <v>1036.1085</v>
          </cell>
          <cell r="DB996">
            <v>9847.4755999999979</v>
          </cell>
          <cell r="DC996">
            <v>3173.49</v>
          </cell>
          <cell r="DD996">
            <v>869.2170000000001</v>
          </cell>
          <cell r="DE996">
            <v>13.004</v>
          </cell>
          <cell r="DF996">
            <v>0</v>
          </cell>
          <cell r="DG996">
            <v>0</v>
          </cell>
          <cell r="DH996">
            <v>24.34</v>
          </cell>
          <cell r="DI996">
            <v>0</v>
          </cell>
          <cell r="DJ996">
            <v>767.79750000000001</v>
          </cell>
          <cell r="DK996">
            <v>10058.549800000001</v>
          </cell>
          <cell r="DL996">
            <v>3158.9</v>
          </cell>
          <cell r="DM996">
            <v>1238.5064285714286</v>
          </cell>
          <cell r="DN996">
            <v>26.105</v>
          </cell>
          <cell r="DO996">
            <v>0</v>
          </cell>
          <cell r="DP996">
            <v>0</v>
          </cell>
          <cell r="DQ996">
            <v>20.94</v>
          </cell>
          <cell r="DR996">
            <v>0</v>
          </cell>
        </row>
        <row r="997">
          <cell r="A997" t="str">
            <v>FATTY ACID FINISHED PRODUCTS</v>
          </cell>
          <cell r="B997" t="str">
            <v>FG</v>
          </cell>
          <cell r="C997" t="str">
            <v>FM</v>
          </cell>
          <cell r="D997" t="str">
            <v>D.S.B</v>
          </cell>
          <cell r="E997" t="str">
            <v>DPFAD 70% + SDD PKO RES 30%</v>
          </cell>
          <cell r="P997">
            <v>45.988199999999999</v>
          </cell>
          <cell r="R997">
            <v>396.459</v>
          </cell>
          <cell r="AA997">
            <v>191.83500000000001</v>
          </cell>
        </row>
        <row r="998">
          <cell r="A998">
            <v>80</v>
          </cell>
          <cell r="B998" t="str">
            <v>FG</v>
          </cell>
          <cell r="C998" t="str">
            <v>FM</v>
          </cell>
          <cell r="D998" t="str">
            <v>CPKO/MUSTO/MIX II RESIDUE</v>
          </cell>
          <cell r="E998" t="str">
            <v>PITCH</v>
          </cell>
          <cell r="F998">
            <v>175.3605</v>
          </cell>
          <cell r="I998">
            <v>89.516785714285717</v>
          </cell>
          <cell r="O998">
            <v>59.332500000000003</v>
          </cell>
          <cell r="R998">
            <v>2.4981428571428337</v>
          </cell>
        </row>
        <row r="999">
          <cell r="A999">
            <v>81</v>
          </cell>
          <cell r="B999" t="str">
            <v>FG</v>
          </cell>
          <cell r="C999" t="str">
            <v>FM</v>
          </cell>
          <cell r="D999" t="str">
            <v>JBS(80:20)</v>
          </cell>
          <cell r="E999" t="str">
            <v>JBS(80:20)</v>
          </cell>
          <cell r="R999">
            <v>108.70650000000001</v>
          </cell>
          <cell r="AA999">
            <v>285.03200000000004</v>
          </cell>
          <cell r="BZ999">
            <v>112.4</v>
          </cell>
          <cell r="CD999">
            <v>52.46</v>
          </cell>
        </row>
        <row r="1000">
          <cell r="A1000">
            <v>82</v>
          </cell>
          <cell r="B1000" t="str">
            <v>FG</v>
          </cell>
          <cell r="C1000" t="str">
            <v>FM</v>
          </cell>
          <cell r="D1000" t="str">
            <v>TRANSLUCENT</v>
          </cell>
          <cell r="E1000" t="str">
            <v>TRANSLUCENT</v>
          </cell>
          <cell r="BK1000">
            <v>211.01850000000002</v>
          </cell>
        </row>
        <row r="1001">
          <cell r="A1001">
            <v>83</v>
          </cell>
          <cell r="B1001" t="str">
            <v>FG</v>
          </cell>
          <cell r="C1001" t="str">
            <v>FM</v>
          </cell>
          <cell r="D1001" t="str">
            <v>D.S.B</v>
          </cell>
          <cell r="E1001" t="str">
            <v>DPFAD 70% + SDD PKO RES 30%</v>
          </cell>
          <cell r="P1001">
            <v>45.988199999999999</v>
          </cell>
          <cell r="R1001">
            <v>396.459</v>
          </cell>
          <cell r="AA1001">
            <v>191.83500000000001</v>
          </cell>
          <cell r="CC1001">
            <v>230.20199999999997</v>
          </cell>
          <cell r="CD1001">
            <v>152.678</v>
          </cell>
          <cell r="CL1001">
            <v>262.17449999999997</v>
          </cell>
          <cell r="CM1001">
            <v>204.71899999999999</v>
          </cell>
          <cell r="CU1001">
            <v>12.789000000000001</v>
          </cell>
          <cell r="CV1001">
            <v>300.05</v>
          </cell>
          <cell r="DM1001">
            <v>454.0095</v>
          </cell>
          <cell r="DN1001">
            <v>256.89600000000002</v>
          </cell>
        </row>
        <row r="1002">
          <cell r="A1002">
            <v>84</v>
          </cell>
          <cell r="B1002" t="str">
            <v>FG</v>
          </cell>
          <cell r="C1002" t="str">
            <v>FM</v>
          </cell>
          <cell r="D1002" t="str">
            <v>JO BLEND</v>
          </cell>
          <cell r="E1002" t="str">
            <v>JO BLEND</v>
          </cell>
          <cell r="I1002">
            <v>66.242500000000007</v>
          </cell>
          <cell r="R1002">
            <v>340.2</v>
          </cell>
          <cell r="AA1002">
            <v>247.49100000000001</v>
          </cell>
          <cell r="AJ1002">
            <v>183.5</v>
          </cell>
          <cell r="AS1002">
            <v>519.9</v>
          </cell>
          <cell r="BB1002">
            <v>634.29999999999995</v>
          </cell>
          <cell r="BT1002">
            <v>473.19299999999998</v>
          </cell>
          <cell r="BU1002">
            <v>1.2</v>
          </cell>
          <cell r="DD1002">
            <v>351.69749999999999</v>
          </cell>
          <cell r="DE1002">
            <v>282.25400000000002</v>
          </cell>
        </row>
        <row r="1003">
          <cell r="A1003">
            <v>85</v>
          </cell>
          <cell r="B1003" t="str">
            <v>FG</v>
          </cell>
          <cell r="C1003" t="str">
            <v>FM</v>
          </cell>
          <cell r="D1003" t="str">
            <v>ITC</v>
          </cell>
          <cell r="E1003" t="str">
            <v>DPFAD 70% + DCPS 30%</v>
          </cell>
          <cell r="I1003">
            <v>328.03784999999999</v>
          </cell>
          <cell r="J1003">
            <v>260.53500000000003</v>
          </cell>
          <cell r="R1003">
            <v>131.54399999999998</v>
          </cell>
          <cell r="S1003">
            <v>204.23099999999999</v>
          </cell>
          <cell r="AB1003">
            <v>216.19200000000001</v>
          </cell>
          <cell r="AJ1003">
            <v>369.05399999999997</v>
          </cell>
          <cell r="AK1003">
            <v>289.09399999999999</v>
          </cell>
          <cell r="AW1003">
            <v>25.83</v>
          </cell>
          <cell r="BB1003">
            <v>222.89399999999998</v>
          </cell>
          <cell r="BC1003">
            <v>131.81399999999999</v>
          </cell>
          <cell r="BF1003">
            <v>59.18</v>
          </cell>
        </row>
        <row r="1004">
          <cell r="A1004">
            <v>86</v>
          </cell>
          <cell r="B1004" t="str">
            <v>FG</v>
          </cell>
          <cell r="C1004" t="str">
            <v>FM</v>
          </cell>
          <cell r="D1004" t="str">
            <v>DDPKORESIDUEFA</v>
          </cell>
          <cell r="E1004" t="str">
            <v>S DD PKO RES</v>
          </cell>
        </row>
        <row r="1005">
          <cell r="A1005">
            <v>87</v>
          </cell>
          <cell r="B1005" t="str">
            <v>FG</v>
          </cell>
          <cell r="C1005" t="str">
            <v>FM</v>
          </cell>
          <cell r="D1005" t="str">
            <v>DRBDPS FOR P-12</v>
          </cell>
          <cell r="E1005" t="str">
            <v>DRBDPS/CPS 65%+B/P PKO 35%</v>
          </cell>
          <cell r="F1005">
            <v>21.901999999999997</v>
          </cell>
          <cell r="O1005">
            <v>22.546999999999997</v>
          </cell>
          <cell r="X1005">
            <v>39.962000000000003</v>
          </cell>
          <cell r="AG1005">
            <v>39.962000000000003</v>
          </cell>
          <cell r="AP1005">
            <v>39.962000000000003</v>
          </cell>
          <cell r="AY1005">
            <v>50.282000000000004</v>
          </cell>
          <cell r="BQ1005">
            <v>296.10000000000002</v>
          </cell>
        </row>
        <row r="1006">
          <cell r="A1006">
            <v>258</v>
          </cell>
          <cell r="B1006" t="str">
            <v>FG</v>
          </cell>
          <cell r="C1006" t="str">
            <v>FM</v>
          </cell>
          <cell r="D1006" t="str">
            <v>DRBDPS</v>
          </cell>
          <cell r="E1006" t="str">
            <v>DRBDPS</v>
          </cell>
          <cell r="F1006">
            <v>64.844999999999999</v>
          </cell>
          <cell r="I1006">
            <v>66.242500000000007</v>
          </cell>
          <cell r="O1006">
            <v>49.994999999999997</v>
          </cell>
          <cell r="R1006">
            <v>340.2</v>
          </cell>
          <cell r="X1006">
            <v>128.20500000000001</v>
          </cell>
          <cell r="AA1006">
            <v>247.49100000000001</v>
          </cell>
          <cell r="AG1006">
            <v>114.345</v>
          </cell>
          <cell r="AJ1006">
            <v>183.5</v>
          </cell>
          <cell r="AP1006">
            <v>61.875</v>
          </cell>
          <cell r="AS1006">
            <v>519.9</v>
          </cell>
          <cell r="AY1006">
            <v>117.81</v>
          </cell>
          <cell r="BB1006">
            <v>634.29999999999995</v>
          </cell>
          <cell r="BK1006">
            <v>515.4</v>
          </cell>
          <cell r="BT1006">
            <v>545.5</v>
          </cell>
          <cell r="CC1006">
            <v>522.4</v>
          </cell>
          <cell r="CL1006">
            <v>317.2</v>
          </cell>
          <cell r="CM1006">
            <v>121.22</v>
          </cell>
          <cell r="CU1006">
            <v>299.89999999999998</v>
          </cell>
          <cell r="CV1006">
            <v>150.84</v>
          </cell>
          <cell r="DD1006">
            <v>359.4</v>
          </cell>
          <cell r="DE1006">
            <v>150.84</v>
          </cell>
          <cell r="DM1006">
            <v>825.5</v>
          </cell>
          <cell r="DN1006">
            <v>150.84</v>
          </cell>
        </row>
        <row r="1007">
          <cell r="A1007">
            <v>88</v>
          </cell>
          <cell r="B1007" t="str">
            <v>FG</v>
          </cell>
          <cell r="C1007" t="str">
            <v>FM</v>
          </cell>
          <cell r="D1007" t="str">
            <v>DPKO</v>
          </cell>
          <cell r="E1007" t="str">
            <v>D C12-C18</v>
          </cell>
          <cell r="F1007">
            <v>93.06</v>
          </cell>
          <cell r="I1007">
            <v>328.03784999999999</v>
          </cell>
          <cell r="J1007">
            <v>260.53500000000003</v>
          </cell>
          <cell r="O1007">
            <v>93.06</v>
          </cell>
          <cell r="R1007">
            <v>131.54399999999998</v>
          </cell>
          <cell r="S1007">
            <v>204.23099999999999</v>
          </cell>
          <cell r="X1007">
            <v>160.38</v>
          </cell>
          <cell r="AB1007">
            <v>216.19200000000001</v>
          </cell>
          <cell r="AG1007">
            <v>60.39</v>
          </cell>
          <cell r="AJ1007">
            <v>369.05399999999997</v>
          </cell>
          <cell r="AK1007">
            <v>289.09399999999999</v>
          </cell>
          <cell r="AP1007">
            <v>83.655000000000001</v>
          </cell>
          <cell r="AW1007">
            <v>25.83</v>
          </cell>
          <cell r="AY1007">
            <v>83.655000000000001</v>
          </cell>
          <cell r="BB1007">
            <v>222.89399999999998</v>
          </cell>
          <cell r="BC1007">
            <v>131.81399999999999</v>
          </cell>
          <cell r="BF1007">
            <v>59.18</v>
          </cell>
          <cell r="BK1007">
            <v>118.755</v>
          </cell>
          <cell r="BL1007">
            <v>122.83799999999999</v>
          </cell>
          <cell r="BO1007">
            <v>92.1</v>
          </cell>
          <cell r="BU1007">
            <v>131.43</v>
          </cell>
          <cell r="CI1007">
            <v>20.7</v>
          </cell>
          <cell r="CL1007">
            <v>95.917500000000004</v>
          </cell>
          <cell r="CU1007">
            <v>46.632000000000012</v>
          </cell>
          <cell r="DD1007">
            <v>18.319714285714308</v>
          </cell>
          <cell r="DM1007">
            <v>214.08214285714286</v>
          </cell>
          <cell r="DN1007">
            <v>45.125999999999998</v>
          </cell>
        </row>
        <row r="1008">
          <cell r="A1008">
            <v>89</v>
          </cell>
          <cell r="B1008" t="str">
            <v>FG</v>
          </cell>
          <cell r="C1008" t="str">
            <v>FM</v>
          </cell>
          <cell r="D1008" t="str">
            <v>DPFAD</v>
          </cell>
          <cell r="E1008" t="str">
            <v>DPFAD</v>
          </cell>
          <cell r="F1008">
            <v>126.35814999999999</v>
          </cell>
          <cell r="G1008">
            <v>52.53</v>
          </cell>
          <cell r="O1008">
            <v>74.952399999999997</v>
          </cell>
          <cell r="P1008">
            <v>52.53</v>
          </cell>
          <cell r="X1008">
            <v>125.36320000000001</v>
          </cell>
          <cell r="Y1008">
            <v>52.53</v>
          </cell>
          <cell r="AG1008">
            <v>107.4541</v>
          </cell>
          <cell r="AH1008">
            <v>52.53</v>
          </cell>
          <cell r="AP1008">
            <v>104.13759999999999</v>
          </cell>
          <cell r="AQ1008">
            <v>41.48</v>
          </cell>
          <cell r="AY1008">
            <v>163.15299999999999</v>
          </cell>
        </row>
        <row r="1009">
          <cell r="A1009">
            <v>90</v>
          </cell>
          <cell r="B1009" t="str">
            <v>FG</v>
          </cell>
          <cell r="C1009" t="str">
            <v>NM</v>
          </cell>
          <cell r="D1009" t="str">
            <v>C6&gt;98%</v>
          </cell>
          <cell r="E1009" t="str">
            <v>C6&gt;98%</v>
          </cell>
          <cell r="F1009">
            <v>21.901999999999997</v>
          </cell>
          <cell r="I1009">
            <v>228.62357142857147</v>
          </cell>
          <cell r="O1009">
            <v>22.546999999999997</v>
          </cell>
          <cell r="R1009">
            <v>209.23500000000001</v>
          </cell>
          <cell r="X1009">
            <v>39.962000000000003</v>
          </cell>
          <cell r="AA1009">
            <v>156.32035714285715</v>
          </cell>
          <cell r="AG1009">
            <v>39.962000000000003</v>
          </cell>
          <cell r="AJ1009">
            <v>129.25714285714287</v>
          </cell>
          <cell r="AP1009">
            <v>39.962000000000003</v>
          </cell>
          <cell r="AS1009">
            <v>129.25714285714287</v>
          </cell>
          <cell r="AY1009">
            <v>50.282000000000004</v>
          </cell>
          <cell r="BB1009">
            <v>129.25714285714287</v>
          </cell>
          <cell r="BH1009">
            <v>5.7770000000000001</v>
          </cell>
          <cell r="BQ1009">
            <v>6.4220000000000006</v>
          </cell>
          <cell r="BZ1009">
            <v>6.4220000000000006</v>
          </cell>
          <cell r="CI1009">
            <v>6.4220000000000006</v>
          </cell>
          <cell r="CR1009">
            <v>6.4220000000000006</v>
          </cell>
          <cell r="DA1009">
            <v>6.4220000000000006</v>
          </cell>
          <cell r="DJ1009">
            <v>10.937000000000001</v>
          </cell>
        </row>
        <row r="1010">
          <cell r="A1010">
            <v>91</v>
          </cell>
          <cell r="B1010" t="str">
            <v>FG</v>
          </cell>
          <cell r="C1010" t="str">
            <v>FM</v>
          </cell>
          <cell r="D1010" t="str">
            <v>C8&gt;98%</v>
          </cell>
          <cell r="E1010" t="str">
            <v>C8&gt;98%</v>
          </cell>
          <cell r="F1010">
            <v>64.844999999999999</v>
          </cell>
          <cell r="O1010">
            <v>49.994999999999997</v>
          </cell>
          <cell r="X1010">
            <v>128.20500000000001</v>
          </cell>
          <cell r="AG1010">
            <v>114.345</v>
          </cell>
          <cell r="AP1010">
            <v>61.875</v>
          </cell>
          <cell r="AY1010">
            <v>117.81</v>
          </cell>
          <cell r="BH1010">
            <v>108.9</v>
          </cell>
          <cell r="BQ1010">
            <v>76.724999999999994</v>
          </cell>
          <cell r="BZ1010">
            <v>142.065</v>
          </cell>
          <cell r="CI1010">
            <v>110.38500000000001</v>
          </cell>
          <cell r="CR1010">
            <v>110.38500000000001</v>
          </cell>
          <cell r="DA1010">
            <v>110.38500000000001</v>
          </cell>
          <cell r="DJ1010">
            <v>81.180000000000007</v>
          </cell>
        </row>
        <row r="1011">
          <cell r="A1011">
            <v>92</v>
          </cell>
          <cell r="B1011" t="str">
            <v>FG</v>
          </cell>
          <cell r="C1011" t="str">
            <v>FM</v>
          </cell>
          <cell r="D1011" t="str">
            <v>C10&gt;98%</v>
          </cell>
          <cell r="E1011" t="str">
            <v>C10&gt;98%</v>
          </cell>
          <cell r="F1011">
            <v>93.06</v>
          </cell>
          <cell r="I1011">
            <v>1261.3</v>
          </cell>
          <cell r="O1011">
            <v>93.06</v>
          </cell>
          <cell r="R1011">
            <v>1095.4000000000001</v>
          </cell>
          <cell r="X1011">
            <v>160.38</v>
          </cell>
          <cell r="AA1011">
            <v>38.628000000000021</v>
          </cell>
          <cell r="AG1011">
            <v>60.39</v>
          </cell>
          <cell r="AJ1011">
            <v>36.78857142857143</v>
          </cell>
          <cell r="AP1011">
            <v>83.655000000000001</v>
          </cell>
          <cell r="AS1011">
            <v>1453.2</v>
          </cell>
          <cell r="AY1011">
            <v>83.655000000000001</v>
          </cell>
          <cell r="BB1011">
            <v>1900.8</v>
          </cell>
          <cell r="BH1011">
            <v>123.75</v>
          </cell>
          <cell r="BQ1011">
            <v>53.46</v>
          </cell>
          <cell r="BZ1011">
            <v>168.79499999999999</v>
          </cell>
          <cell r="CI1011">
            <v>153.94499999999999</v>
          </cell>
          <cell r="CR1011">
            <v>156.41999999999999</v>
          </cell>
          <cell r="DA1011">
            <v>156.41999999999999</v>
          </cell>
          <cell r="DJ1011">
            <v>107.41500000000001</v>
          </cell>
        </row>
        <row r="1012">
          <cell r="A1012">
            <v>93</v>
          </cell>
          <cell r="B1012" t="str">
            <v>FG</v>
          </cell>
          <cell r="C1012" t="str">
            <v>FM</v>
          </cell>
          <cell r="D1012" t="str">
            <v>C8+C10&gt;98%</v>
          </cell>
          <cell r="E1012" t="str">
            <v>C8+C10&gt;98%</v>
          </cell>
          <cell r="F1012">
            <v>126.35814999999999</v>
          </cell>
          <cell r="G1012">
            <v>52.53</v>
          </cell>
          <cell r="O1012">
            <v>74.952399999999997</v>
          </cell>
          <cell r="P1012">
            <v>52.53</v>
          </cell>
          <cell r="X1012">
            <v>125.36320000000001</v>
          </cell>
          <cell r="Y1012">
            <v>52.53</v>
          </cell>
          <cell r="AG1012">
            <v>107.4541</v>
          </cell>
          <cell r="AH1012">
            <v>52.53</v>
          </cell>
          <cell r="AP1012">
            <v>104.13759999999999</v>
          </cell>
          <cell r="AQ1012">
            <v>41.48</v>
          </cell>
          <cell r="AY1012">
            <v>163.15299999999999</v>
          </cell>
          <cell r="BH1012">
            <v>202.95400000000001</v>
          </cell>
          <cell r="BQ1012">
            <v>127.337</v>
          </cell>
          <cell r="BZ1012">
            <v>181.065</v>
          </cell>
          <cell r="CI1012">
            <v>84.885999999999996</v>
          </cell>
          <cell r="CR1012">
            <v>91.850999999999999</v>
          </cell>
          <cell r="DA1012">
            <v>73.61</v>
          </cell>
          <cell r="DJ1012">
            <v>73.61</v>
          </cell>
        </row>
        <row r="1013">
          <cell r="A1013">
            <v>94</v>
          </cell>
          <cell r="B1013" t="str">
            <v>FG</v>
          </cell>
          <cell r="C1013" t="str">
            <v>FM</v>
          </cell>
          <cell r="D1013" t="str">
            <v>C12&gt;99%</v>
          </cell>
          <cell r="E1013" t="str">
            <v>C12&gt;99%</v>
          </cell>
          <cell r="I1013">
            <v>228.62357142857147</v>
          </cell>
          <cell r="R1013">
            <v>209.23500000000001</v>
          </cell>
          <cell r="AA1013">
            <v>156.32035714285715</v>
          </cell>
          <cell r="AJ1013">
            <v>129.25714285714287</v>
          </cell>
          <cell r="AS1013">
            <v>129.25714285714287</v>
          </cell>
          <cell r="BB1013">
            <v>129.25714285714287</v>
          </cell>
          <cell r="BK1013">
            <v>129.25714285714287</v>
          </cell>
          <cell r="BT1013">
            <v>84.825000000000003</v>
          </cell>
          <cell r="BX1013">
            <v>180.56</v>
          </cell>
          <cell r="CC1013">
            <v>65.436428571428593</v>
          </cell>
          <cell r="CG1013">
            <v>98.4</v>
          </cell>
          <cell r="CL1013">
            <v>65.436428571428593</v>
          </cell>
          <cell r="CU1013">
            <v>40.392857142857146</v>
          </cell>
          <cell r="DD1013">
            <v>16.965</v>
          </cell>
          <cell r="DN1013">
            <v>25.56</v>
          </cell>
          <cell r="DQ1013">
            <v>98.2</v>
          </cell>
        </row>
        <row r="1014">
          <cell r="A1014">
            <v>95</v>
          </cell>
          <cell r="B1014" t="str">
            <v>FG</v>
          </cell>
          <cell r="C1014" t="str">
            <v>FM</v>
          </cell>
          <cell r="D1014" t="str">
            <v>C14&gt;99%</v>
          </cell>
          <cell r="E1014" t="str">
            <v>C14&gt;99%</v>
          </cell>
        </row>
        <row r="1015">
          <cell r="A1015">
            <v>96</v>
          </cell>
          <cell r="B1015" t="str">
            <v>FG</v>
          </cell>
          <cell r="C1015" t="str">
            <v>FM</v>
          </cell>
          <cell r="D1015" t="str">
            <v>C12+14&gt;99</v>
          </cell>
          <cell r="E1015" t="str">
            <v>C12-C14</v>
          </cell>
          <cell r="I1015">
            <v>1261.3</v>
          </cell>
          <cell r="R1015">
            <v>1095.4000000000001</v>
          </cell>
          <cell r="AA1015">
            <v>38.628000000000021</v>
          </cell>
          <cell r="AE1015">
            <v>79.84</v>
          </cell>
          <cell r="AJ1015">
            <v>36.78857142857143</v>
          </cell>
          <cell r="AS1015">
            <v>1453.2</v>
          </cell>
          <cell r="AW1015">
            <v>198.79</v>
          </cell>
          <cell r="BB1015">
            <v>1900.8</v>
          </cell>
          <cell r="BK1015">
            <v>1796.7</v>
          </cell>
          <cell r="BT1015">
            <v>599.29999999999995</v>
          </cell>
          <cell r="CC1015">
            <v>1014</v>
          </cell>
          <cell r="CL1015">
            <v>1628.8</v>
          </cell>
          <cell r="CU1015">
            <v>944.6</v>
          </cell>
          <cell r="DD1015">
            <v>660.5</v>
          </cell>
          <cell r="DM1015">
            <v>1465.3</v>
          </cell>
        </row>
        <row r="1016">
          <cell r="A1016">
            <v>248</v>
          </cell>
          <cell r="B1016" t="str">
            <v>FG</v>
          </cell>
          <cell r="C1016" t="str">
            <v>FM</v>
          </cell>
          <cell r="D1016" t="str">
            <v>C12+14&gt;99 (IMP)</v>
          </cell>
          <cell r="E1016" t="str">
            <v>C12-C14 (IMP)</v>
          </cell>
          <cell r="H1016">
            <v>22.812000000000126</v>
          </cell>
          <cell r="M1016">
            <v>120.63</v>
          </cell>
        </row>
        <row r="1017">
          <cell r="A1017">
            <v>97</v>
          </cell>
          <cell r="B1017" t="str">
            <v>FG</v>
          </cell>
          <cell r="C1017" t="str">
            <v>FM</v>
          </cell>
          <cell r="D1017" t="str">
            <v>C12+C14+C16&gt;99</v>
          </cell>
          <cell r="E1017" t="str">
            <v>C12-C16</v>
          </cell>
          <cell r="H1017">
            <v>1619.68</v>
          </cell>
          <cell r="I1017">
            <v>583.72649999999999</v>
          </cell>
          <cell r="Q1017">
            <v>1619.68</v>
          </cell>
          <cell r="R1017">
            <v>583.72649999999999</v>
          </cell>
          <cell r="Z1017">
            <v>1589.58</v>
          </cell>
          <cell r="AA1017">
            <v>489.63600000000008</v>
          </cell>
          <cell r="AE1017">
            <v>15</v>
          </cell>
          <cell r="AI1017">
            <v>1374.29</v>
          </cell>
          <cell r="AJ1017">
            <v>1.8270000000000259</v>
          </cell>
          <cell r="AN1017">
            <v>22.07</v>
          </cell>
          <cell r="AR1017">
            <v>995.8</v>
          </cell>
          <cell r="AS1017">
            <v>149.20500000000001</v>
          </cell>
          <cell r="BA1017">
            <v>235.66</v>
          </cell>
          <cell r="BB1017">
            <v>14.616</v>
          </cell>
        </row>
        <row r="1018">
          <cell r="A1018">
            <v>98</v>
          </cell>
          <cell r="B1018" t="str">
            <v>FG</v>
          </cell>
          <cell r="C1018" t="str">
            <v>FM</v>
          </cell>
          <cell r="D1018" t="str">
            <v>C16&gt;90%</v>
          </cell>
          <cell r="E1018" t="str">
            <v>C16&gt;90%</v>
          </cell>
          <cell r="F1018">
            <v>129.47</v>
          </cell>
          <cell r="O1018">
            <v>250.38</v>
          </cell>
          <cell r="X1018">
            <v>162.63999999999999</v>
          </cell>
          <cell r="AG1018">
            <v>237.54</v>
          </cell>
          <cell r="AP1018">
            <v>167.99</v>
          </cell>
          <cell r="AS1018">
            <v>126.06299999999997</v>
          </cell>
          <cell r="AY1018">
            <v>90.95</v>
          </cell>
        </row>
        <row r="1019">
          <cell r="A1019">
            <v>99</v>
          </cell>
          <cell r="B1019" t="str">
            <v>FG</v>
          </cell>
          <cell r="C1019" t="str">
            <v>FM</v>
          </cell>
          <cell r="D1019" t="str">
            <v>C16&gt;99%</v>
          </cell>
          <cell r="E1019" t="str">
            <v>C16&gt;99%</v>
          </cell>
          <cell r="I1019">
            <v>164.43</v>
          </cell>
          <cell r="R1019">
            <v>42.020999999999951</v>
          </cell>
          <cell r="AA1019">
            <v>194.57549999999998</v>
          </cell>
          <cell r="AE1019">
            <v>79.84</v>
          </cell>
          <cell r="AJ1019">
            <v>383.67</v>
          </cell>
          <cell r="AS1019">
            <v>588.29399999999998</v>
          </cell>
          <cell r="AW1019">
            <v>198.79</v>
          </cell>
          <cell r="BB1019">
            <v>607.39400000000001</v>
          </cell>
          <cell r="BF1019">
            <v>162.41999999999999</v>
          </cell>
          <cell r="BK1019">
            <v>762.59400000000005</v>
          </cell>
          <cell r="BT1019">
            <v>840.40000000000009</v>
          </cell>
          <cell r="CL1019">
            <v>19.388571428571417</v>
          </cell>
          <cell r="CU1019">
            <v>51.702857142857141</v>
          </cell>
          <cell r="DD1019">
            <v>133.29642857142858</v>
          </cell>
          <cell r="DM1019">
            <v>250.43571428571431</v>
          </cell>
        </row>
        <row r="1020">
          <cell r="A1020">
            <v>100</v>
          </cell>
          <cell r="B1020" t="str">
            <v>FG</v>
          </cell>
          <cell r="C1020" t="str">
            <v>FM</v>
          </cell>
          <cell r="D1020" t="str">
            <v>DFA C16/C18</v>
          </cell>
          <cell r="E1020" t="str">
            <v>DFA C16/C18</v>
          </cell>
          <cell r="H1020">
            <v>22.812000000000126</v>
          </cell>
          <cell r="I1020">
            <v>0.3</v>
          </cell>
          <cell r="M1020">
            <v>120.63</v>
          </cell>
          <cell r="AJ1020">
            <v>41.585999999999999</v>
          </cell>
          <cell r="AS1020">
            <v>66.989999999999995</v>
          </cell>
          <cell r="BB1020">
            <v>50.285999999999994</v>
          </cell>
          <cell r="CP1020">
            <v>98.4</v>
          </cell>
          <cell r="CY1020">
            <v>19.899999999999999</v>
          </cell>
          <cell r="DH1020">
            <v>19.7</v>
          </cell>
        </row>
        <row r="1021">
          <cell r="A1021">
            <v>101</v>
          </cell>
          <cell r="B1021" t="str">
            <v>FG</v>
          </cell>
          <cell r="C1021" t="str">
            <v>FM</v>
          </cell>
          <cell r="D1021" t="str">
            <v>C18&gt;95%</v>
          </cell>
          <cell r="E1021" t="str">
            <v>C18&gt;95%</v>
          </cell>
          <cell r="H1021">
            <v>1619.68</v>
          </cell>
          <cell r="I1021">
            <v>36.366</v>
          </cell>
          <cell r="Q1021">
            <v>1619.68</v>
          </cell>
          <cell r="R1021">
            <v>11.31</v>
          </cell>
          <cell r="Z1021">
            <v>1589.58</v>
          </cell>
          <cell r="AA1021">
            <v>282.71199999999999</v>
          </cell>
          <cell r="AE1021">
            <v>15</v>
          </cell>
          <cell r="AI1021">
            <v>1374.29</v>
          </cell>
          <cell r="AJ1021">
            <v>607.5</v>
          </cell>
          <cell r="AN1021">
            <v>22.07</v>
          </cell>
          <cell r="AR1021">
            <v>995.8</v>
          </cell>
          <cell r="AS1021">
            <v>149.20500000000001</v>
          </cell>
          <cell r="BA1021">
            <v>235.66</v>
          </cell>
          <cell r="BB1021">
            <v>14.616</v>
          </cell>
          <cell r="BJ1021">
            <v>164.45</v>
          </cell>
          <cell r="BK1021">
            <v>216.54300000000001</v>
          </cell>
          <cell r="BO1021">
            <v>47.12</v>
          </cell>
          <cell r="BS1021">
            <v>842.01</v>
          </cell>
          <cell r="CB1021">
            <v>75.39</v>
          </cell>
          <cell r="CC1021">
            <v>292.32</v>
          </cell>
          <cell r="CK1021">
            <v>75.39</v>
          </cell>
          <cell r="CL1021">
            <v>469.0542857142857</v>
          </cell>
          <cell r="CU1021">
            <v>830.77800000000002</v>
          </cell>
          <cell r="DD1021">
            <v>834.73</v>
          </cell>
        </row>
        <row r="1022">
          <cell r="A1022">
            <v>102</v>
          </cell>
          <cell r="B1022" t="str">
            <v>FG</v>
          </cell>
          <cell r="C1022" t="str">
            <v>FM</v>
          </cell>
          <cell r="D1022" t="str">
            <v>OLEIC-K</v>
          </cell>
          <cell r="E1022" t="str">
            <v>OLEIC-K</v>
          </cell>
          <cell r="F1022">
            <v>129.47</v>
          </cell>
          <cell r="O1022">
            <v>250.38</v>
          </cell>
          <cell r="X1022">
            <v>162.63999999999999</v>
          </cell>
          <cell r="AG1022">
            <v>237.54</v>
          </cell>
          <cell r="AP1022">
            <v>167.99</v>
          </cell>
          <cell r="AS1022">
            <v>126.06299999999997</v>
          </cell>
          <cell r="AY1022">
            <v>90.95</v>
          </cell>
          <cell r="BH1022">
            <v>109.14</v>
          </cell>
          <cell r="BQ1022">
            <v>96.3</v>
          </cell>
          <cell r="BX1022">
            <v>35.24</v>
          </cell>
          <cell r="BZ1022">
            <v>33.17</v>
          </cell>
          <cell r="CI1022">
            <v>73.83</v>
          </cell>
          <cell r="CR1022">
            <v>188.32</v>
          </cell>
          <cell r="DA1022">
            <v>130.54</v>
          </cell>
          <cell r="DJ1022">
            <v>110.21</v>
          </cell>
        </row>
        <row r="1023">
          <cell r="A1023">
            <v>103</v>
          </cell>
          <cell r="B1023" t="str">
            <v>FG</v>
          </cell>
          <cell r="C1023" t="str">
            <v>FM</v>
          </cell>
          <cell r="D1023" t="str">
            <v>C16+C18(30:70)TA</v>
          </cell>
          <cell r="E1023" t="str">
            <v>C16-C18</v>
          </cell>
          <cell r="I1023">
            <v>285.58619999999996</v>
          </cell>
          <cell r="R1023">
            <v>288.34000000000003</v>
          </cell>
          <cell r="AA1023">
            <v>285.58619999999996</v>
          </cell>
          <cell r="AJ1023">
            <v>285.58619999999996</v>
          </cell>
          <cell r="AS1023">
            <v>285.58619999999996</v>
          </cell>
          <cell r="BB1023">
            <v>285.58619999999996</v>
          </cell>
          <cell r="BF1023">
            <v>162.41999999999999</v>
          </cell>
          <cell r="BO1023">
            <v>162.02000000000001</v>
          </cell>
          <cell r="BT1023">
            <v>405</v>
          </cell>
          <cell r="CC1023">
            <v>571.25699999999995</v>
          </cell>
        </row>
        <row r="1024">
          <cell r="A1024">
            <v>104</v>
          </cell>
          <cell r="B1024" t="str">
            <v>FG</v>
          </cell>
          <cell r="C1024" t="str">
            <v>FM</v>
          </cell>
          <cell r="D1024" t="str">
            <v>HYD.RBDPS-G3</v>
          </cell>
          <cell r="E1024" t="str">
            <v>HYD.RBDPS</v>
          </cell>
          <cell r="I1024">
            <v>0.3</v>
          </cell>
          <cell r="R1024">
            <v>344.8</v>
          </cell>
          <cell r="AA1024">
            <v>264.2</v>
          </cell>
          <cell r="AJ1024">
            <v>41.585999999999999</v>
          </cell>
          <cell r="AS1024">
            <v>66.989999999999995</v>
          </cell>
          <cell r="BB1024">
            <v>50.285999999999994</v>
          </cell>
          <cell r="BK1024">
            <v>20.010000000000002</v>
          </cell>
          <cell r="BT1024">
            <v>181.83</v>
          </cell>
          <cell r="CC1024">
            <v>117.45</v>
          </cell>
          <cell r="CL1024">
            <v>85</v>
          </cell>
          <cell r="CU1024">
            <v>85</v>
          </cell>
          <cell r="DD1024">
            <v>69</v>
          </cell>
          <cell r="DM1024">
            <v>27.84</v>
          </cell>
        </row>
        <row r="1025">
          <cell r="A1025">
            <v>105</v>
          </cell>
          <cell r="B1025" t="str">
            <v>FG</v>
          </cell>
          <cell r="C1025" t="str">
            <v>SM</v>
          </cell>
          <cell r="D1025" t="str">
            <v>L/E MUSTARD C1820</v>
          </cell>
          <cell r="E1025" t="str">
            <v>DFA C18C20 MFA</v>
          </cell>
          <cell r="G1025">
            <v>1242.5911999999998</v>
          </cell>
          <cell r="I1025">
            <v>187.01892857142857</v>
          </cell>
          <cell r="P1025">
            <v>1242.5911999999998</v>
          </cell>
          <cell r="R1025">
            <v>176.11285714285717</v>
          </cell>
          <cell r="Y1025">
            <v>1248.0164</v>
          </cell>
          <cell r="AA1025">
            <v>282.71199999999999</v>
          </cell>
          <cell r="AH1025">
            <v>1193.7643999999998</v>
          </cell>
          <cell r="AJ1025">
            <v>607.5</v>
          </cell>
          <cell r="AQ1025">
            <v>1068.7643999999998</v>
          </cell>
          <cell r="AS1025">
            <v>735.3</v>
          </cell>
          <cell r="AZ1025">
            <v>1068.7643999999998</v>
          </cell>
          <cell r="BA1025">
            <v>635.91</v>
          </cell>
          <cell r="BB1025">
            <v>691.1</v>
          </cell>
          <cell r="BJ1025">
            <v>620.75</v>
          </cell>
          <cell r="BK1025">
            <v>706.6</v>
          </cell>
          <cell r="BT1025">
            <v>1219.45</v>
          </cell>
          <cell r="CB1025">
            <v>693.84</v>
          </cell>
          <cell r="CC1025">
            <v>624.78399999999999</v>
          </cell>
          <cell r="CK1025">
            <v>693.84</v>
          </cell>
          <cell r="CL1025">
            <v>249.4</v>
          </cell>
          <cell r="CT1025">
            <v>693.84</v>
          </cell>
          <cell r="CU1025">
            <v>249.4</v>
          </cell>
          <cell r="DC1025">
            <v>693.84</v>
          </cell>
          <cell r="DD1025">
            <v>413.11500000000001</v>
          </cell>
          <cell r="DL1025">
            <v>693.84</v>
          </cell>
          <cell r="DM1025">
            <v>148.19999999999999</v>
          </cell>
        </row>
        <row r="1026">
          <cell r="A1026">
            <v>106</v>
          </cell>
          <cell r="B1026" t="str">
            <v>FG</v>
          </cell>
          <cell r="C1026" t="str">
            <v>SM</v>
          </cell>
          <cell r="D1026" t="str">
            <v>L/E MUSTARD UPTO C18 (OLEIC 15)</v>
          </cell>
          <cell r="E1026" t="str">
            <v>DFA C18 PURE MFA (OLEIC 15)</v>
          </cell>
          <cell r="CL1026">
            <v>175.30500000000001</v>
          </cell>
          <cell r="CT1026">
            <v>75.39</v>
          </cell>
          <cell r="DC1026">
            <v>75.39</v>
          </cell>
          <cell r="DL1026">
            <v>75.39</v>
          </cell>
          <cell r="DM1026">
            <v>947</v>
          </cell>
        </row>
        <row r="1027">
          <cell r="A1027">
            <v>107</v>
          </cell>
          <cell r="B1027" t="str">
            <v>FG</v>
          </cell>
          <cell r="C1027" t="str">
            <v>SM</v>
          </cell>
          <cell r="D1027" t="str">
            <v>DC20+22&gt;98%</v>
          </cell>
          <cell r="E1027" t="str">
            <v>C20-C22</v>
          </cell>
          <cell r="I1027">
            <v>285.58619999999996</v>
          </cell>
          <cell r="R1027">
            <v>288.34000000000003</v>
          </cell>
          <cell r="AA1027">
            <v>285.58619999999996</v>
          </cell>
          <cell r="AJ1027">
            <v>285.58619999999996</v>
          </cell>
          <cell r="AS1027">
            <v>285.58619999999996</v>
          </cell>
          <cell r="BB1027">
            <v>285.58619999999996</v>
          </cell>
          <cell r="BK1027">
            <v>285.58619999999996</v>
          </cell>
          <cell r="BT1027">
            <v>285.58619999999996</v>
          </cell>
          <cell r="CC1027">
            <v>285.58619999999996</v>
          </cell>
          <cell r="CL1027">
            <v>501.08600000000001</v>
          </cell>
          <cell r="CU1027">
            <v>791.09999999999991</v>
          </cell>
          <cell r="DD1027">
            <v>834.59999999999991</v>
          </cell>
          <cell r="DM1027">
            <v>192.93600000000001</v>
          </cell>
        </row>
        <row r="1028">
          <cell r="A1028">
            <v>108</v>
          </cell>
          <cell r="B1028" t="str">
            <v>FG</v>
          </cell>
          <cell r="C1028" t="str">
            <v>FM</v>
          </cell>
          <cell r="D1028" t="str">
            <v>DC22:1&gt;90%</v>
          </cell>
          <cell r="E1028" t="str">
            <v>ERUCIC</v>
          </cell>
          <cell r="I1028">
            <v>344.8</v>
          </cell>
          <cell r="R1028">
            <v>344.8</v>
          </cell>
          <cell r="AA1028">
            <v>264.2</v>
          </cell>
          <cell r="AJ1028">
            <v>278.89999999999998</v>
          </cell>
          <cell r="AS1028">
            <v>186.09300000000002</v>
          </cell>
          <cell r="BB1028">
            <v>186.09300000000002</v>
          </cell>
          <cell r="BK1028">
            <v>206</v>
          </cell>
          <cell r="BT1028">
            <v>336.4</v>
          </cell>
          <cell r="CC1028">
            <v>304.89999999999998</v>
          </cell>
          <cell r="CL1028">
            <v>245.5</v>
          </cell>
          <cell r="CU1028">
            <v>166.60499999999999</v>
          </cell>
          <cell r="DD1028">
            <v>10.353</v>
          </cell>
          <cell r="DM1028">
            <v>10.353</v>
          </cell>
        </row>
        <row r="1029">
          <cell r="A1029">
            <v>109</v>
          </cell>
          <cell r="B1029" t="str">
            <v>FG</v>
          </cell>
          <cell r="C1029" t="str">
            <v>FM</v>
          </cell>
          <cell r="D1029" t="str">
            <v>D C18/C22 - R</v>
          </cell>
          <cell r="E1029" t="str">
            <v>D C18/C22 - R</v>
          </cell>
          <cell r="F1029">
            <v>41.085000000000001</v>
          </cell>
          <cell r="G1029">
            <v>1242.5911999999998</v>
          </cell>
          <cell r="P1029">
            <v>1242.5911999999998</v>
          </cell>
          <cell r="X1029">
            <v>97.61999999999999</v>
          </cell>
          <cell r="Y1029">
            <v>1248.0164</v>
          </cell>
          <cell r="AG1029">
            <v>57.28</v>
          </cell>
          <cell r="AH1029">
            <v>1193.7643999999998</v>
          </cell>
          <cell r="AP1029">
            <v>67.965000000000003</v>
          </cell>
          <cell r="AQ1029">
            <v>1068.7643999999998</v>
          </cell>
          <cell r="AY1029">
            <v>328.82000000000005</v>
          </cell>
          <cell r="AZ1029">
            <v>1068.7643999999998</v>
          </cell>
          <cell r="BI1029">
            <v>1068.7643999999998</v>
          </cell>
          <cell r="BR1029">
            <v>1068.7643999999998</v>
          </cell>
          <cell r="CA1029">
            <v>1068.7643999999998</v>
          </cell>
          <cell r="CJ1029">
            <v>1068.7643999999998</v>
          </cell>
          <cell r="CS1029">
            <v>1068.7643999999998</v>
          </cell>
          <cell r="DB1029">
            <v>1068.7643999999998</v>
          </cell>
          <cell r="DK1029">
            <v>1009.0871999999999</v>
          </cell>
        </row>
        <row r="1030">
          <cell r="A1030">
            <v>110</v>
          </cell>
          <cell r="B1030" t="str">
            <v>FG</v>
          </cell>
          <cell r="C1030" t="str">
            <v>FM</v>
          </cell>
          <cell r="D1030" t="str">
            <v>BEHENIC-90</v>
          </cell>
          <cell r="E1030" t="str">
            <v>BEHENIC-90</v>
          </cell>
          <cell r="AS1030">
            <v>0.87</v>
          </cell>
        </row>
        <row r="1031">
          <cell r="A1031">
            <v>111</v>
          </cell>
          <cell r="B1031" t="str">
            <v>FG</v>
          </cell>
          <cell r="C1031" t="str">
            <v>FM</v>
          </cell>
          <cell r="D1031" t="str">
            <v>BEHENIC-75</v>
          </cell>
          <cell r="E1031" t="str">
            <v>BEHENIC-75</v>
          </cell>
          <cell r="AA1031">
            <v>133.97999999999999</v>
          </cell>
          <cell r="AJ1031">
            <v>17.922000000000001</v>
          </cell>
          <cell r="AS1031">
            <v>15.66</v>
          </cell>
        </row>
        <row r="1032">
          <cell r="A1032">
            <v>112</v>
          </cell>
          <cell r="B1032" t="str">
            <v>FG</v>
          </cell>
          <cell r="C1032" t="str">
            <v>FM</v>
          </cell>
          <cell r="D1032" t="str">
            <v>BEHENIC-85</v>
          </cell>
          <cell r="E1032" t="str">
            <v>BEHENIC-85</v>
          </cell>
        </row>
        <row r="1033">
          <cell r="A1033">
            <v>113</v>
          </cell>
          <cell r="B1033" t="str">
            <v>FG</v>
          </cell>
          <cell r="C1033" t="str">
            <v>FM</v>
          </cell>
          <cell r="D1033" t="str">
            <v>UTSR</v>
          </cell>
          <cell r="E1033" t="str">
            <v>UTSR</v>
          </cell>
          <cell r="F1033">
            <v>41.085000000000001</v>
          </cell>
          <cell r="J1033">
            <v>83.37</v>
          </cell>
          <cell r="O1033">
            <v>21</v>
          </cell>
          <cell r="S1033">
            <v>76.343000000000004</v>
          </cell>
          <cell r="X1033">
            <v>97.61999999999999</v>
          </cell>
          <cell r="Z1033">
            <v>0.34</v>
          </cell>
          <cell r="AB1033">
            <v>62.512</v>
          </cell>
          <cell r="AG1033">
            <v>57.28</v>
          </cell>
          <cell r="AK1033">
            <v>98.831999999999994</v>
          </cell>
          <cell r="AP1033">
            <v>67.965000000000003</v>
          </cell>
          <cell r="AT1033">
            <v>110.744</v>
          </cell>
          <cell r="AY1033">
            <v>328.82000000000005</v>
          </cell>
          <cell r="BC1033">
            <v>110.744</v>
          </cell>
          <cell r="BH1033">
            <v>251.31300000000002</v>
          </cell>
          <cell r="BO1033">
            <v>14.71</v>
          </cell>
          <cell r="BQ1033">
            <v>145.035</v>
          </cell>
          <cell r="BX1033">
            <v>20.94</v>
          </cell>
          <cell r="BZ1033">
            <v>47.024999999999999</v>
          </cell>
          <cell r="CR1033">
            <v>78.209999999999994</v>
          </cell>
          <cell r="DA1033">
            <v>11.88</v>
          </cell>
          <cell r="DH1033">
            <v>45.32</v>
          </cell>
        </row>
        <row r="1034">
          <cell r="A1034">
            <v>114</v>
          </cell>
          <cell r="B1034" t="str">
            <v>FG</v>
          </cell>
          <cell r="C1034" t="str">
            <v>FM</v>
          </cell>
          <cell r="D1034" t="str">
            <v>P-12</v>
          </cell>
          <cell r="E1034" t="str">
            <v>P-12</v>
          </cell>
          <cell r="J1034">
            <v>28.314</v>
          </cell>
          <cell r="S1034">
            <v>66.977999999999994</v>
          </cell>
          <cell r="AB1034">
            <v>146.261</v>
          </cell>
          <cell r="AK1034">
            <v>116.297</v>
          </cell>
          <cell r="AS1034">
            <v>0.87</v>
          </cell>
          <cell r="AT1034">
            <v>96.488</v>
          </cell>
          <cell r="BC1034">
            <v>197.16900000000001</v>
          </cell>
          <cell r="CU1034">
            <v>295.452</v>
          </cell>
          <cell r="DD1034">
            <v>166.17</v>
          </cell>
          <cell r="DM1034">
            <v>87.260999999999996</v>
          </cell>
        </row>
        <row r="1035">
          <cell r="A1035">
            <v>115</v>
          </cell>
          <cell r="B1035" t="str">
            <v>FG</v>
          </cell>
          <cell r="C1035" t="str">
            <v>FM</v>
          </cell>
          <cell r="D1035" t="str">
            <v>DTP-7</v>
          </cell>
          <cell r="E1035" t="str">
            <v>DTP-7</v>
          </cell>
          <cell r="F1035">
            <v>19.25</v>
          </cell>
          <cell r="O1035">
            <v>39.97</v>
          </cell>
          <cell r="X1035">
            <v>34.066000000000003</v>
          </cell>
          <cell r="AA1035">
            <v>133.97999999999999</v>
          </cell>
          <cell r="AG1035">
            <v>58.91</v>
          </cell>
          <cell r="AJ1035">
            <v>17.922000000000001</v>
          </cell>
          <cell r="AP1035">
            <v>160.80000000000001</v>
          </cell>
          <cell r="AS1035">
            <v>15.66</v>
          </cell>
          <cell r="AY1035">
            <v>148.24</v>
          </cell>
          <cell r="BK1035">
            <v>242.12100000000001</v>
          </cell>
          <cell r="CC1035">
            <v>151.38</v>
          </cell>
          <cell r="CL1035">
            <v>90.48</v>
          </cell>
          <cell r="CU1035">
            <v>22.010999999999999</v>
          </cell>
          <cell r="DM1035">
            <v>147.9</v>
          </cell>
        </row>
        <row r="1036">
          <cell r="A1036">
            <v>116</v>
          </cell>
          <cell r="B1036" t="str">
            <v>FG</v>
          </cell>
          <cell r="C1036" t="str">
            <v>FM</v>
          </cell>
          <cell r="D1036" t="str">
            <v>DTP-CT</v>
          </cell>
          <cell r="E1036" t="str">
            <v>DTP-CT</v>
          </cell>
          <cell r="F1036">
            <v>17</v>
          </cell>
          <cell r="O1036">
            <v>6</v>
          </cell>
          <cell r="X1036">
            <v>6</v>
          </cell>
          <cell r="AG1036">
            <v>6</v>
          </cell>
          <cell r="AP1036">
            <v>6</v>
          </cell>
          <cell r="AY1036">
            <v>6</v>
          </cell>
        </row>
        <row r="1037">
          <cell r="A1037">
            <v>117</v>
          </cell>
          <cell r="B1037" t="str">
            <v>FG</v>
          </cell>
          <cell r="C1037" t="str">
            <v>FM</v>
          </cell>
          <cell r="D1037" t="str">
            <v>REFINED GLYCERINE-CP</v>
          </cell>
          <cell r="E1037" t="str">
            <v>REFINED GLYCERINE-CP</v>
          </cell>
          <cell r="F1037">
            <v>18.8</v>
          </cell>
          <cell r="J1037">
            <v>83.37</v>
          </cell>
          <cell r="O1037">
            <v>21</v>
          </cell>
          <cell r="S1037">
            <v>76.343000000000004</v>
          </cell>
          <cell r="X1037">
            <v>37</v>
          </cell>
          <cell r="Z1037">
            <v>0.34</v>
          </cell>
          <cell r="AB1037">
            <v>62.512</v>
          </cell>
          <cell r="AG1037">
            <v>12.925000000000001</v>
          </cell>
          <cell r="AK1037">
            <v>98.831999999999994</v>
          </cell>
          <cell r="AP1037">
            <v>1.88</v>
          </cell>
          <cell r="AT1037">
            <v>110.744</v>
          </cell>
          <cell r="AY1037">
            <v>11.75</v>
          </cell>
          <cell r="BC1037">
            <v>110.744</v>
          </cell>
          <cell r="BH1037">
            <v>2.35</v>
          </cell>
          <cell r="BQ1037">
            <v>34.075000000000003</v>
          </cell>
          <cell r="BU1037">
            <v>61.91</v>
          </cell>
          <cell r="BZ1037">
            <v>17.625</v>
          </cell>
          <cell r="CD1037">
            <v>117.48</v>
          </cell>
          <cell r="CI1037">
            <v>14.1</v>
          </cell>
          <cell r="CM1037">
            <v>61.959000000000003</v>
          </cell>
          <cell r="CR1037">
            <v>11.28</v>
          </cell>
          <cell r="CV1037">
            <v>60.265999999999998</v>
          </cell>
          <cell r="DA1037">
            <v>28.905000000000001</v>
          </cell>
          <cell r="DE1037">
            <v>91.349000000000004</v>
          </cell>
          <cell r="DJ1037">
            <v>13.395</v>
          </cell>
          <cell r="DN1037">
            <v>114.61199999999999</v>
          </cell>
        </row>
        <row r="1038">
          <cell r="A1038">
            <v>118</v>
          </cell>
          <cell r="B1038" t="str">
            <v>FG</v>
          </cell>
          <cell r="C1038" t="str">
            <v>FM</v>
          </cell>
          <cell r="D1038" t="str">
            <v>REFINED GLYCERINE-IP</v>
          </cell>
          <cell r="E1038" t="str">
            <v>REFINED GLYCERINE-IP</v>
          </cell>
          <cell r="F1038">
            <v>79.599999999999994</v>
          </cell>
          <cell r="J1038">
            <v>28.314</v>
          </cell>
          <cell r="S1038">
            <v>66.977999999999994</v>
          </cell>
          <cell r="AB1038">
            <v>146.261</v>
          </cell>
          <cell r="AK1038">
            <v>116.297</v>
          </cell>
          <cell r="AT1038">
            <v>96.488</v>
          </cell>
          <cell r="BC1038">
            <v>197.16900000000001</v>
          </cell>
          <cell r="BU1038">
            <v>78.668999999999997</v>
          </cell>
          <cell r="CD1038">
            <v>35.008000000000003</v>
          </cell>
          <cell r="CM1038">
            <v>87.754999999999995</v>
          </cell>
          <cell r="CV1038">
            <v>113.837</v>
          </cell>
          <cell r="DE1038">
            <v>121.55500000000001</v>
          </cell>
          <cell r="DN1038">
            <v>121.72199999999999</v>
          </cell>
        </row>
        <row r="1039">
          <cell r="A1039">
            <v>119</v>
          </cell>
          <cell r="B1039" t="str">
            <v>FG</v>
          </cell>
          <cell r="C1039" t="str">
            <v>FM</v>
          </cell>
          <cell r="D1039" t="str">
            <v>REFINED GLYCERINE-USP</v>
          </cell>
          <cell r="E1039" t="str">
            <v>REFINED GLYCERINE-USP</v>
          </cell>
          <cell r="F1039">
            <v>19.25</v>
          </cell>
          <cell r="O1039">
            <v>39.97</v>
          </cell>
          <cell r="X1039">
            <v>34.066000000000003</v>
          </cell>
          <cell r="AG1039">
            <v>58.91</v>
          </cell>
          <cell r="AP1039">
            <v>160.80000000000001</v>
          </cell>
          <cell r="AY1039">
            <v>148.24</v>
          </cell>
          <cell r="BH1039">
            <v>131.994</v>
          </cell>
          <cell r="BQ1039">
            <v>118.822</v>
          </cell>
          <cell r="BZ1039">
            <v>164.517</v>
          </cell>
          <cell r="CI1039">
            <v>226.55099999999999</v>
          </cell>
          <cell r="CR1039">
            <v>156.70099999999999</v>
          </cell>
          <cell r="DA1039">
            <v>128.56</v>
          </cell>
          <cell r="DJ1039">
            <v>216.62299999999999</v>
          </cell>
        </row>
        <row r="1040">
          <cell r="A1040">
            <v>120</v>
          </cell>
          <cell r="B1040" t="str">
            <v>FG</v>
          </cell>
          <cell r="C1040" t="str">
            <v>FM</v>
          </cell>
          <cell r="D1040" t="str">
            <v>REFINED GLYCERINE-JP</v>
          </cell>
          <cell r="E1040" t="str">
            <v>REFINED GLYCERINE-JP</v>
          </cell>
          <cell r="F1040">
            <v>17</v>
          </cell>
          <cell r="O1040">
            <v>6</v>
          </cell>
          <cell r="X1040">
            <v>6</v>
          </cell>
          <cell r="AG1040">
            <v>6</v>
          </cell>
          <cell r="AP1040">
            <v>6</v>
          </cell>
          <cell r="AY1040">
            <v>6</v>
          </cell>
          <cell r="BH1040">
            <v>6</v>
          </cell>
          <cell r="BQ1040">
            <v>33</v>
          </cell>
          <cell r="BZ1040">
            <v>13</v>
          </cell>
          <cell r="CI1040">
            <v>13</v>
          </cell>
          <cell r="CR1040">
            <v>45</v>
          </cell>
          <cell r="DA1040">
            <v>56</v>
          </cell>
          <cell r="DJ1040">
            <v>15</v>
          </cell>
        </row>
        <row r="1041">
          <cell r="A1041">
            <v>238</v>
          </cell>
          <cell r="B1041" t="str">
            <v>FG</v>
          </cell>
          <cell r="C1041" t="str">
            <v>FM</v>
          </cell>
          <cell r="D1041" t="str">
            <v>DFA C18/C22 C22:1</v>
          </cell>
          <cell r="E1041" t="str">
            <v>DFA C18/C22 C22:1</v>
          </cell>
          <cell r="F1041">
            <v>786.73064999999997</v>
          </cell>
          <cell r="G1041">
            <v>1295.1211999999998</v>
          </cell>
          <cell r="H1041">
            <v>1642.4920000000002</v>
          </cell>
          <cell r="I1041">
            <v>3575.9483357142863</v>
          </cell>
          <cell r="J1041">
            <v>372.21900000000005</v>
          </cell>
          <cell r="K1041">
            <v>0</v>
          </cell>
          <cell r="L1041">
            <v>0</v>
          </cell>
          <cell r="M1041">
            <v>120.63</v>
          </cell>
          <cell r="N1041">
            <v>0</v>
          </cell>
          <cell r="O1041">
            <v>617.23690000000011</v>
          </cell>
          <cell r="P1041">
            <v>1341.1093999999998</v>
          </cell>
          <cell r="Q1041">
            <v>1619.68</v>
          </cell>
          <cell r="R1041">
            <v>3730.3529999999996</v>
          </cell>
          <cell r="S1041">
            <v>347.55200000000002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791.23620000000005</v>
          </cell>
          <cell r="Y1041">
            <v>1300.5463999999999</v>
          </cell>
          <cell r="Z1041">
            <v>1589.9199999999998</v>
          </cell>
          <cell r="AA1041">
            <v>2569.9960571428569</v>
          </cell>
          <cell r="AB1041">
            <v>424.96500000000003</v>
          </cell>
          <cell r="AC1041">
            <v>0</v>
          </cell>
          <cell r="AD1041">
            <v>0</v>
          </cell>
          <cell r="AE1041">
            <v>94.84</v>
          </cell>
          <cell r="AF1041">
            <v>0</v>
          </cell>
          <cell r="AG1041">
            <v>694.8060999999999</v>
          </cell>
          <cell r="AH1041">
            <v>1246.2943999999998</v>
          </cell>
          <cell r="AI1041">
            <v>1374.29</v>
          </cell>
          <cell r="AJ1041">
            <v>2335.5909142857145</v>
          </cell>
          <cell r="AK1041">
            <v>504.22299999999996</v>
          </cell>
          <cell r="AL1041">
            <v>0</v>
          </cell>
          <cell r="AM1041">
            <v>0</v>
          </cell>
          <cell r="AN1041">
            <v>22.07</v>
          </cell>
          <cell r="AO1041">
            <v>0</v>
          </cell>
          <cell r="AP1041">
            <v>694.26459999999997</v>
          </cell>
          <cell r="AQ1041">
            <v>1110.2443999999998</v>
          </cell>
          <cell r="AR1041">
            <v>995.8</v>
          </cell>
          <cell r="AS1041">
            <v>4256.4183428571423</v>
          </cell>
          <cell r="AT1041">
            <v>207.232</v>
          </cell>
          <cell r="AU1041">
            <v>0</v>
          </cell>
          <cell r="AV1041">
            <v>0</v>
          </cell>
          <cell r="AW1041">
            <v>224.62</v>
          </cell>
          <cell r="AX1041">
            <v>0</v>
          </cell>
          <cell r="AY1041">
            <v>1000.6600000000001</v>
          </cell>
          <cell r="AZ1041">
            <v>1068.7643999999998</v>
          </cell>
          <cell r="BA1041">
            <v>871.56999999999994</v>
          </cell>
          <cell r="BB1041">
            <v>4722.3263428571427</v>
          </cell>
          <cell r="BC1041">
            <v>439.72699999999998</v>
          </cell>
          <cell r="BD1041">
            <v>0</v>
          </cell>
          <cell r="BE1041">
            <v>0</v>
          </cell>
          <cell r="BF1041">
            <v>221.6</v>
          </cell>
          <cell r="BG1041">
            <v>0</v>
          </cell>
        </row>
        <row r="1042">
          <cell r="A1042">
            <v>243</v>
          </cell>
          <cell r="B1042" t="str">
            <v>FG</v>
          </cell>
          <cell r="C1042" t="str">
            <v>FM</v>
          </cell>
          <cell r="D1042" t="str">
            <v>STEARIC-90</v>
          </cell>
          <cell r="E1042" t="str">
            <v>STEARIC-90</v>
          </cell>
          <cell r="F1042">
            <v>79.599999999999994</v>
          </cell>
        </row>
        <row r="1043">
          <cell r="A1043">
            <v>245</v>
          </cell>
          <cell r="B1043" t="str">
            <v>FG</v>
          </cell>
          <cell r="C1043" t="str">
            <v>FM</v>
          </cell>
          <cell r="D1043" t="str">
            <v>HPS</v>
          </cell>
          <cell r="E1043" t="str">
            <v>HPS</v>
          </cell>
          <cell r="F1043">
            <v>1.25</v>
          </cell>
          <cell r="H1043">
            <v>0.34</v>
          </cell>
          <cell r="J1043">
            <v>41</v>
          </cell>
          <cell r="O1043">
            <v>1.25</v>
          </cell>
          <cell r="Q1043">
            <v>0.34</v>
          </cell>
          <cell r="S1043">
            <v>66.5</v>
          </cell>
          <cell r="X1043">
            <v>1.25</v>
          </cell>
          <cell r="AB1043">
            <v>71</v>
          </cell>
          <cell r="AG1043">
            <v>1</v>
          </cell>
          <cell r="AI1043">
            <v>0.34</v>
          </cell>
          <cell r="AK1043">
            <v>45.5</v>
          </cell>
          <cell r="AP1043">
            <v>4</v>
          </cell>
          <cell r="AR1043">
            <v>0.34</v>
          </cell>
          <cell r="AT1043">
            <v>36</v>
          </cell>
          <cell r="AY1043">
            <v>13</v>
          </cell>
          <cell r="BA1043">
            <v>0.34</v>
          </cell>
          <cell r="BC1043">
            <v>38.25</v>
          </cell>
        </row>
        <row r="1044">
          <cell r="A1044">
            <v>249</v>
          </cell>
          <cell r="B1044" t="str">
            <v>FG</v>
          </cell>
          <cell r="C1044" t="str">
            <v>FM</v>
          </cell>
          <cell r="D1044" t="str">
            <v>OLEIC - IG</v>
          </cell>
          <cell r="E1044" t="str">
            <v>OLEIC - IG</v>
          </cell>
          <cell r="F1044">
            <v>1</v>
          </cell>
          <cell r="J1044">
            <v>8.75</v>
          </cell>
          <cell r="S1044">
            <v>33.5</v>
          </cell>
          <cell r="X1044">
            <v>6</v>
          </cell>
          <cell r="AB1044">
            <v>50</v>
          </cell>
          <cell r="AG1044">
            <v>3</v>
          </cell>
          <cell r="AK1044">
            <v>55.25</v>
          </cell>
          <cell r="AP1044">
            <v>2</v>
          </cell>
          <cell r="AT1044">
            <v>120.75</v>
          </cell>
          <cell r="AY1044">
            <v>11</v>
          </cell>
          <cell r="BC1044">
            <v>115.75</v>
          </cell>
        </row>
        <row r="1045">
          <cell r="A1045">
            <v>123</v>
          </cell>
          <cell r="B1045" t="str">
            <v>FG</v>
          </cell>
          <cell r="C1045" t="str">
            <v>FM</v>
          </cell>
          <cell r="D1045" t="str">
            <v>REFINED GLYCERINE-USP</v>
          </cell>
          <cell r="F1045">
            <v>786.73064999999997</v>
          </cell>
          <cell r="G1045">
            <v>1295.1211999999998</v>
          </cell>
          <cell r="H1045">
            <v>1642.4920000000002</v>
          </cell>
          <cell r="I1045">
            <v>3575.9483357142863</v>
          </cell>
          <cell r="J1045">
            <v>372.21900000000005</v>
          </cell>
          <cell r="K1045">
            <v>0</v>
          </cell>
          <cell r="L1045">
            <v>0</v>
          </cell>
          <cell r="M1045">
            <v>120.63</v>
          </cell>
          <cell r="N1045">
            <v>0</v>
          </cell>
          <cell r="O1045">
            <v>617.23690000000011</v>
          </cell>
          <cell r="P1045">
            <v>1341.1093999999998</v>
          </cell>
          <cell r="Q1045">
            <v>1619.68</v>
          </cell>
          <cell r="R1045">
            <v>3730.3529999999996</v>
          </cell>
          <cell r="S1045">
            <v>347.55200000000002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791.23620000000005</v>
          </cell>
          <cell r="Y1045">
            <v>1300.5463999999999</v>
          </cell>
          <cell r="Z1045">
            <v>1589.9199999999998</v>
          </cell>
          <cell r="AA1045">
            <v>2569.9960571428569</v>
          </cell>
          <cell r="AB1045">
            <v>424.96500000000003</v>
          </cell>
          <cell r="AC1045">
            <v>0</v>
          </cell>
          <cell r="AD1045">
            <v>0</v>
          </cell>
          <cell r="AE1045">
            <v>94.84</v>
          </cell>
          <cell r="AF1045">
            <v>0</v>
          </cell>
          <cell r="AG1045">
            <v>694.8060999999999</v>
          </cell>
          <cell r="AH1045">
            <v>1246.2943999999998</v>
          </cell>
          <cell r="AI1045">
            <v>1374.29</v>
          </cell>
          <cell r="AJ1045">
            <v>2335.5909142857145</v>
          </cell>
          <cell r="AK1045">
            <v>504.22299999999996</v>
          </cell>
          <cell r="AL1045">
            <v>0</v>
          </cell>
          <cell r="AM1045">
            <v>0</v>
          </cell>
          <cell r="AN1045">
            <v>22.07</v>
          </cell>
          <cell r="AO1045">
            <v>0</v>
          </cell>
          <cell r="AP1045">
            <v>694.26459999999997</v>
          </cell>
          <cell r="AQ1045">
            <v>1110.2443999999998</v>
          </cell>
          <cell r="AR1045">
            <v>995.8</v>
          </cell>
          <cell r="AS1045">
            <v>4256.4183428571423</v>
          </cell>
          <cell r="AT1045">
            <v>207.232</v>
          </cell>
          <cell r="AU1045">
            <v>0</v>
          </cell>
          <cell r="AV1045">
            <v>0</v>
          </cell>
          <cell r="AW1045">
            <v>224.62</v>
          </cell>
          <cell r="AX1045">
            <v>0</v>
          </cell>
          <cell r="AY1045">
            <v>1000.6600000000001</v>
          </cell>
          <cell r="AZ1045">
            <v>1068.7643999999998</v>
          </cell>
          <cell r="BA1045">
            <v>871.56999999999994</v>
          </cell>
          <cell r="BB1045">
            <v>4722.3263428571427</v>
          </cell>
          <cell r="BC1045">
            <v>439.72699999999998</v>
          </cell>
          <cell r="BD1045">
            <v>0</v>
          </cell>
          <cell r="BE1045">
            <v>0</v>
          </cell>
          <cell r="BF1045">
            <v>221.6</v>
          </cell>
          <cell r="BG1045">
            <v>0</v>
          </cell>
          <cell r="BH1045">
            <v>942.17800000000011</v>
          </cell>
          <cell r="BI1045">
            <v>1068.7643999999998</v>
          </cell>
          <cell r="BJ1045">
            <v>785.2</v>
          </cell>
          <cell r="BK1045">
            <v>5210.5848428571435</v>
          </cell>
          <cell r="BL1045">
            <v>122.83799999999999</v>
          </cell>
          <cell r="BM1045">
            <v>0</v>
          </cell>
          <cell r="BN1045">
            <v>0</v>
          </cell>
          <cell r="BO1045">
            <v>315.95</v>
          </cell>
          <cell r="BP1045">
            <v>0</v>
          </cell>
          <cell r="BQ1045">
            <v>987.27600000000007</v>
          </cell>
          <cell r="BR1045">
            <v>1068.7643999999998</v>
          </cell>
          <cell r="BS1045">
            <v>842.01</v>
          </cell>
          <cell r="BT1045">
            <v>4971.484199999999</v>
          </cell>
          <cell r="BU1045">
            <v>273.209</v>
          </cell>
          <cell r="BV1045">
            <v>0</v>
          </cell>
          <cell r="BW1045">
            <v>0</v>
          </cell>
          <cell r="BX1045">
            <v>236.74</v>
          </cell>
          <cell r="BY1045">
            <v>0</v>
          </cell>
          <cell r="BZ1045">
            <v>886.08400000000006</v>
          </cell>
          <cell r="CA1045">
            <v>1068.7643999999998</v>
          </cell>
          <cell r="CB1045">
            <v>769.23</v>
          </cell>
          <cell r="CC1045">
            <v>4179.7156285714282</v>
          </cell>
          <cell r="CD1045">
            <v>357.62599999999998</v>
          </cell>
          <cell r="CE1045">
            <v>0</v>
          </cell>
          <cell r="CF1045">
            <v>0</v>
          </cell>
          <cell r="CG1045">
            <v>98.4</v>
          </cell>
          <cell r="CH1045">
            <v>0</v>
          </cell>
          <cell r="CI1045">
            <v>703.81899999999996</v>
          </cell>
          <cell r="CJ1045">
            <v>1068.7643999999998</v>
          </cell>
          <cell r="CK1045">
            <v>769.23</v>
          </cell>
          <cell r="CL1045">
            <v>4204.7422857142856</v>
          </cell>
          <cell r="CM1045">
            <v>475.65299999999996</v>
          </cell>
          <cell r="CN1045">
            <v>0</v>
          </cell>
          <cell r="CO1045">
            <v>0</v>
          </cell>
          <cell r="CP1045">
            <v>98.4</v>
          </cell>
          <cell r="CQ1045">
            <v>0</v>
          </cell>
          <cell r="CR1045">
            <v>844.58899999999994</v>
          </cell>
          <cell r="CS1045">
            <v>1068.7643999999998</v>
          </cell>
          <cell r="CT1045">
            <v>769.23</v>
          </cell>
          <cell r="CU1045">
            <v>3836.3627142857144</v>
          </cell>
          <cell r="CV1045">
            <v>624.99300000000005</v>
          </cell>
          <cell r="CW1045">
            <v>0</v>
          </cell>
          <cell r="CX1045">
            <v>0</v>
          </cell>
          <cell r="CY1045">
            <v>19.899999999999999</v>
          </cell>
          <cell r="CZ1045">
            <v>0</v>
          </cell>
          <cell r="DA1045">
            <v>702.72199999999998</v>
          </cell>
          <cell r="DB1045">
            <v>1068.7643999999998</v>
          </cell>
          <cell r="DC1045">
            <v>769.23</v>
          </cell>
          <cell r="DD1045">
            <v>3868.1466428571425</v>
          </cell>
          <cell r="DE1045">
            <v>645.99800000000005</v>
          </cell>
          <cell r="DF1045">
            <v>0</v>
          </cell>
          <cell r="DG1045">
            <v>0</v>
          </cell>
          <cell r="DH1045">
            <v>65.02</v>
          </cell>
          <cell r="DI1045">
            <v>0</v>
          </cell>
          <cell r="DJ1045">
            <v>628.36999999999989</v>
          </cell>
          <cell r="DK1045">
            <v>1009.0871999999999</v>
          </cell>
          <cell r="DL1045">
            <v>769.23</v>
          </cell>
          <cell r="DM1045">
            <v>4770.817357142857</v>
          </cell>
          <cell r="DN1045">
            <v>714.75599999999997</v>
          </cell>
          <cell r="DO1045">
            <v>0</v>
          </cell>
          <cell r="DP1045">
            <v>0</v>
          </cell>
          <cell r="DQ1045">
            <v>98.2</v>
          </cell>
          <cell r="DR1045">
            <v>0</v>
          </cell>
        </row>
        <row r="1046">
          <cell r="A1046" t="str">
            <v>DRUMS</v>
          </cell>
          <cell r="B1046" t="str">
            <v>FG</v>
          </cell>
          <cell r="C1046" t="str">
            <v>FM</v>
          </cell>
          <cell r="D1046" t="str">
            <v>REFINED GLYCERINE-JP</v>
          </cell>
          <cell r="F1046">
            <v>40</v>
          </cell>
        </row>
        <row r="1047">
          <cell r="A1047">
            <v>121</v>
          </cell>
          <cell r="B1047" t="str">
            <v>FG</v>
          </cell>
          <cell r="C1047" t="str">
            <v>FM</v>
          </cell>
          <cell r="D1047" t="str">
            <v>REFINED GLYCERINE-CP</v>
          </cell>
          <cell r="F1047">
            <v>1.25</v>
          </cell>
          <cell r="H1047">
            <v>0.34</v>
          </cell>
          <cell r="I1047">
            <v>20.16</v>
          </cell>
          <cell r="J1047">
            <v>41</v>
          </cell>
          <cell r="O1047">
            <v>1.25</v>
          </cell>
          <cell r="Q1047">
            <v>0.34</v>
          </cell>
          <cell r="S1047">
            <v>66.5</v>
          </cell>
          <cell r="X1047">
            <v>1.25</v>
          </cell>
          <cell r="AB1047">
            <v>71</v>
          </cell>
          <cell r="AG1047">
            <v>1</v>
          </cell>
          <cell r="AI1047">
            <v>0.34</v>
          </cell>
          <cell r="AJ1047">
            <v>5.58</v>
          </cell>
          <cell r="AK1047">
            <v>45.5</v>
          </cell>
          <cell r="AP1047">
            <v>4</v>
          </cell>
          <cell r="AR1047">
            <v>0.34</v>
          </cell>
          <cell r="AS1047">
            <v>9.09</v>
          </cell>
          <cell r="AT1047">
            <v>36</v>
          </cell>
          <cell r="AY1047">
            <v>13</v>
          </cell>
          <cell r="BA1047">
            <v>0.34</v>
          </cell>
          <cell r="BB1047">
            <v>9.5399999999999991</v>
          </cell>
          <cell r="BC1047">
            <v>38.25</v>
          </cell>
          <cell r="BH1047">
            <v>13</v>
          </cell>
          <cell r="BJ1047">
            <v>0.23</v>
          </cell>
          <cell r="BQ1047">
            <v>7</v>
          </cell>
          <cell r="BS1047">
            <v>0.23</v>
          </cell>
          <cell r="BU1047">
            <v>39.5</v>
          </cell>
          <cell r="BZ1047">
            <v>18</v>
          </cell>
          <cell r="CB1047">
            <v>0.23</v>
          </cell>
          <cell r="CD1047">
            <v>35.5</v>
          </cell>
          <cell r="CI1047">
            <v>1</v>
          </cell>
          <cell r="CK1047">
            <v>0.23</v>
          </cell>
          <cell r="CM1047">
            <v>19</v>
          </cell>
          <cell r="CR1047">
            <v>1</v>
          </cell>
          <cell r="CT1047">
            <v>0.23</v>
          </cell>
          <cell r="CV1047">
            <v>19</v>
          </cell>
          <cell r="DA1047">
            <v>1</v>
          </cell>
          <cell r="DC1047">
            <v>0.23</v>
          </cell>
          <cell r="DE1047">
            <v>30.75</v>
          </cell>
          <cell r="DJ1047">
            <v>11</v>
          </cell>
          <cell r="DL1047">
            <v>0.23</v>
          </cell>
          <cell r="DN1047">
            <v>47.25</v>
          </cell>
        </row>
        <row r="1048">
          <cell r="A1048">
            <v>122</v>
          </cell>
          <cell r="B1048" t="str">
            <v>FG</v>
          </cell>
          <cell r="C1048" t="str">
            <v>FM</v>
          </cell>
          <cell r="D1048" t="str">
            <v>REFINED GLYCERINE-IP</v>
          </cell>
          <cell r="F1048">
            <v>1</v>
          </cell>
          <cell r="H1048">
            <v>0.9</v>
          </cell>
          <cell r="J1048">
            <v>8.75</v>
          </cell>
          <cell r="Q1048">
            <v>0.9</v>
          </cell>
          <cell r="S1048">
            <v>33.5</v>
          </cell>
          <cell r="X1048">
            <v>6</v>
          </cell>
          <cell r="Z1048">
            <v>0.9</v>
          </cell>
          <cell r="AB1048">
            <v>50</v>
          </cell>
          <cell r="AG1048">
            <v>3</v>
          </cell>
          <cell r="AI1048">
            <v>0.9</v>
          </cell>
          <cell r="AK1048">
            <v>55.25</v>
          </cell>
          <cell r="AP1048">
            <v>2</v>
          </cell>
          <cell r="AR1048">
            <v>0.9</v>
          </cell>
          <cell r="AT1048">
            <v>120.75</v>
          </cell>
          <cell r="AY1048">
            <v>11</v>
          </cell>
          <cell r="BA1048">
            <v>0.9</v>
          </cell>
          <cell r="BC1048">
            <v>115.75</v>
          </cell>
          <cell r="BH1048">
            <v>11</v>
          </cell>
          <cell r="BQ1048">
            <v>10</v>
          </cell>
          <cell r="BU1048">
            <v>119.75</v>
          </cell>
          <cell r="BZ1048">
            <v>10</v>
          </cell>
          <cell r="CD1048">
            <v>50.5</v>
          </cell>
          <cell r="CI1048">
            <v>5</v>
          </cell>
          <cell r="CM1048">
            <v>15</v>
          </cell>
          <cell r="CV1048">
            <v>14</v>
          </cell>
          <cell r="DE1048">
            <v>32.5</v>
          </cell>
          <cell r="DJ1048">
            <v>10</v>
          </cell>
          <cell r="DN1048">
            <v>141</v>
          </cell>
        </row>
        <row r="1049">
          <cell r="A1049">
            <v>123</v>
          </cell>
          <cell r="B1049" t="str">
            <v>FG</v>
          </cell>
          <cell r="C1049" t="str">
            <v>FM</v>
          </cell>
          <cell r="D1049" t="str">
            <v>REFINED GLYCERINE-USP</v>
          </cell>
          <cell r="F1049">
            <v>12.24</v>
          </cell>
          <cell r="H1049">
            <v>7.02</v>
          </cell>
          <cell r="O1049">
            <v>9.9</v>
          </cell>
          <cell r="Q1049">
            <v>7.02</v>
          </cell>
          <cell r="X1049">
            <v>18</v>
          </cell>
          <cell r="Z1049">
            <v>7.02</v>
          </cell>
          <cell r="AG1049">
            <v>14.25</v>
          </cell>
          <cell r="AI1049">
            <v>7.02</v>
          </cell>
          <cell r="AP1049">
            <v>18</v>
          </cell>
          <cell r="AR1049">
            <v>7.02</v>
          </cell>
          <cell r="AY1049">
            <v>36</v>
          </cell>
          <cell r="BA1049">
            <v>7.02</v>
          </cell>
          <cell r="BH1049">
            <v>18</v>
          </cell>
          <cell r="BQ1049">
            <v>24</v>
          </cell>
          <cell r="BZ1049">
            <v>38</v>
          </cell>
          <cell r="CD1049">
            <v>1</v>
          </cell>
          <cell r="CI1049">
            <v>18</v>
          </cell>
          <cell r="CR1049">
            <v>38</v>
          </cell>
          <cell r="DA1049">
            <v>38</v>
          </cell>
          <cell r="DJ1049">
            <v>20</v>
          </cell>
        </row>
        <row r="1050">
          <cell r="A1050">
            <v>124</v>
          </cell>
          <cell r="B1050" t="str">
            <v>FG</v>
          </cell>
          <cell r="C1050" t="str">
            <v>FM</v>
          </cell>
          <cell r="D1050" t="str">
            <v>REFINED GLYCERINE-JP</v>
          </cell>
          <cell r="F1050">
            <v>40</v>
          </cell>
          <cell r="H1050">
            <v>0.18</v>
          </cell>
          <cell r="O1050">
            <v>6.84</v>
          </cell>
          <cell r="Q1050">
            <v>0.18</v>
          </cell>
          <cell r="X1050">
            <v>6.66</v>
          </cell>
          <cell r="Z1050">
            <v>0.18</v>
          </cell>
          <cell r="AG1050">
            <v>6.66</v>
          </cell>
          <cell r="AI1050">
            <v>0.18</v>
          </cell>
          <cell r="AP1050">
            <v>6.66</v>
          </cell>
          <cell r="AR1050">
            <v>0.18</v>
          </cell>
          <cell r="AY1050">
            <v>6.66</v>
          </cell>
          <cell r="BA1050">
            <v>0.18</v>
          </cell>
        </row>
        <row r="1051">
          <cell r="A1051">
            <v>125</v>
          </cell>
          <cell r="B1051" t="str">
            <v>FG</v>
          </cell>
          <cell r="C1051" t="str">
            <v>FM</v>
          </cell>
          <cell r="D1051" t="str">
            <v>DPKO</v>
          </cell>
          <cell r="F1051">
            <v>0.54</v>
          </cell>
          <cell r="H1051">
            <v>3.7749999999999999</v>
          </cell>
          <cell r="I1051">
            <v>20.16</v>
          </cell>
          <cell r="O1051">
            <v>0.54</v>
          </cell>
          <cell r="Q1051">
            <v>3.7749999999999999</v>
          </cell>
          <cell r="X1051">
            <v>0.54</v>
          </cell>
          <cell r="Z1051">
            <v>3.7749999999999999</v>
          </cell>
          <cell r="AG1051">
            <v>0.54</v>
          </cell>
          <cell r="AI1051">
            <v>3.7749999999999999</v>
          </cell>
          <cell r="AJ1051">
            <v>5.58</v>
          </cell>
          <cell r="AR1051">
            <v>3.7749999999999999</v>
          </cell>
          <cell r="AS1051">
            <v>9.09</v>
          </cell>
          <cell r="BA1051">
            <v>3.7749999999999999</v>
          </cell>
          <cell r="BB1051">
            <v>9.5399999999999991</v>
          </cell>
          <cell r="BK1051">
            <v>8.01</v>
          </cell>
          <cell r="BT1051">
            <v>17.82</v>
          </cell>
          <cell r="CL1051">
            <v>1.35</v>
          </cell>
          <cell r="DM1051">
            <v>29.43</v>
          </cell>
        </row>
        <row r="1052">
          <cell r="A1052">
            <v>126</v>
          </cell>
          <cell r="B1052" t="str">
            <v>FG</v>
          </cell>
          <cell r="C1052" t="str">
            <v>FM</v>
          </cell>
          <cell r="D1052" t="str">
            <v>C6&gt;98%</v>
          </cell>
          <cell r="F1052">
            <v>0.18</v>
          </cell>
          <cell r="H1052">
            <v>0.9</v>
          </cell>
          <cell r="I1052">
            <v>89.28</v>
          </cell>
          <cell r="Q1052">
            <v>0.9</v>
          </cell>
          <cell r="R1052">
            <v>89.73</v>
          </cell>
          <cell r="Z1052">
            <v>0.9</v>
          </cell>
          <cell r="AA1052">
            <v>111.78</v>
          </cell>
          <cell r="AG1052">
            <v>0.18</v>
          </cell>
          <cell r="AI1052">
            <v>0.9</v>
          </cell>
          <cell r="AJ1052">
            <v>120.96</v>
          </cell>
          <cell r="AP1052">
            <v>0.18</v>
          </cell>
          <cell r="AR1052">
            <v>0.9</v>
          </cell>
          <cell r="AS1052">
            <v>121.86</v>
          </cell>
          <cell r="BA1052">
            <v>0.9</v>
          </cell>
          <cell r="BB1052">
            <v>121.86</v>
          </cell>
          <cell r="BH1052">
            <v>43.38</v>
          </cell>
          <cell r="BJ1052">
            <v>0.89500000000000002</v>
          </cell>
          <cell r="BQ1052">
            <v>43.38</v>
          </cell>
          <cell r="BS1052">
            <v>0.89500000000000002</v>
          </cell>
          <cell r="BZ1052">
            <v>57.78</v>
          </cell>
          <cell r="CB1052">
            <v>0.89500000000000002</v>
          </cell>
          <cell r="CI1052">
            <v>57.78</v>
          </cell>
          <cell r="CK1052">
            <v>0.89500000000000002</v>
          </cell>
          <cell r="CR1052">
            <v>0.18</v>
          </cell>
          <cell r="CT1052">
            <v>0.89500000000000002</v>
          </cell>
          <cell r="DA1052">
            <v>0.18</v>
          </cell>
          <cell r="DC1052">
            <v>0.89500000000000002</v>
          </cell>
          <cell r="DJ1052">
            <v>0.18</v>
          </cell>
          <cell r="DL1052">
            <v>0.89500000000000002</v>
          </cell>
        </row>
        <row r="1053">
          <cell r="A1053">
            <v>127</v>
          </cell>
          <cell r="B1053" t="str">
            <v>FG</v>
          </cell>
          <cell r="C1053" t="str">
            <v>FM</v>
          </cell>
          <cell r="D1053" t="str">
            <v>C8&gt;98%</v>
          </cell>
          <cell r="F1053">
            <v>12.24</v>
          </cell>
          <cell r="H1053">
            <v>7.02</v>
          </cell>
          <cell r="O1053">
            <v>9.9</v>
          </cell>
          <cell r="Q1053">
            <v>7.02</v>
          </cell>
          <cell r="X1053">
            <v>9.7199999999999989</v>
          </cell>
          <cell r="Z1053">
            <v>7.02</v>
          </cell>
          <cell r="AG1053">
            <v>9.5399999999999991</v>
          </cell>
          <cell r="AI1053">
            <v>7.02</v>
          </cell>
          <cell r="AP1053">
            <v>8.64</v>
          </cell>
          <cell r="AR1053">
            <v>7.02</v>
          </cell>
          <cell r="AY1053">
            <v>10.44</v>
          </cell>
          <cell r="BA1053">
            <v>7.02</v>
          </cell>
          <cell r="BH1053">
            <v>8.2799999999999994</v>
          </cell>
          <cell r="BJ1053">
            <v>7.02</v>
          </cell>
          <cell r="BQ1053">
            <v>8.1</v>
          </cell>
          <cell r="BS1053">
            <v>7.02</v>
          </cell>
          <cell r="BZ1053">
            <v>7.56</v>
          </cell>
          <cell r="CB1053">
            <v>7.02</v>
          </cell>
          <cell r="CI1053">
            <v>20.88</v>
          </cell>
          <cell r="CK1053">
            <v>7.02</v>
          </cell>
          <cell r="CR1053">
            <v>20.88</v>
          </cell>
          <cell r="CT1053">
            <v>7.02</v>
          </cell>
          <cell r="DA1053">
            <v>6.48</v>
          </cell>
          <cell r="DC1053">
            <v>7.02</v>
          </cell>
          <cell r="DJ1053">
            <v>6.48</v>
          </cell>
          <cell r="DL1053">
            <v>7.02</v>
          </cell>
        </row>
        <row r="1054">
          <cell r="A1054">
            <v>128</v>
          </cell>
          <cell r="B1054" t="str">
            <v>FG</v>
          </cell>
          <cell r="C1054" t="str">
            <v>FM</v>
          </cell>
          <cell r="D1054" t="str">
            <v>C10&gt;98%</v>
          </cell>
          <cell r="F1054">
            <v>6.84</v>
          </cell>
          <cell r="H1054">
            <v>0.18</v>
          </cell>
          <cell r="O1054">
            <v>6.84</v>
          </cell>
          <cell r="Q1054">
            <v>0.18</v>
          </cell>
          <cell r="X1054">
            <v>6.66</v>
          </cell>
          <cell r="Z1054">
            <v>0.18</v>
          </cell>
          <cell r="AG1054">
            <v>6.66</v>
          </cell>
          <cell r="AI1054">
            <v>0.18</v>
          </cell>
          <cell r="AP1054">
            <v>6.66</v>
          </cell>
          <cell r="AR1054">
            <v>0.18</v>
          </cell>
          <cell r="AY1054">
            <v>6.66</v>
          </cell>
          <cell r="BA1054">
            <v>0.18</v>
          </cell>
          <cell r="BH1054">
            <v>6.66</v>
          </cell>
          <cell r="BJ1054">
            <v>0.18</v>
          </cell>
          <cell r="BQ1054">
            <v>6.3</v>
          </cell>
          <cell r="BS1054">
            <v>0.18</v>
          </cell>
          <cell r="BZ1054">
            <v>6.3</v>
          </cell>
          <cell r="CB1054">
            <v>0.18</v>
          </cell>
          <cell r="CI1054">
            <v>6.3</v>
          </cell>
          <cell r="CK1054">
            <v>0.18</v>
          </cell>
          <cell r="CR1054">
            <v>6.3</v>
          </cell>
          <cell r="CT1054">
            <v>0.18</v>
          </cell>
          <cell r="DA1054">
            <v>6.3</v>
          </cell>
          <cell r="DC1054">
            <v>0.18</v>
          </cell>
          <cell r="DJ1054">
            <v>6.3</v>
          </cell>
          <cell r="DL1054">
            <v>0.18</v>
          </cell>
        </row>
        <row r="1055">
          <cell r="A1055">
            <v>129</v>
          </cell>
          <cell r="B1055" t="str">
            <v>FG</v>
          </cell>
          <cell r="C1055" t="str">
            <v>FM</v>
          </cell>
          <cell r="D1055" t="str">
            <v>C8+C10&gt;98%</v>
          </cell>
          <cell r="F1055">
            <v>0.54</v>
          </cell>
          <cell r="H1055">
            <v>3.7749999999999999</v>
          </cell>
          <cell r="O1055">
            <v>0.54</v>
          </cell>
          <cell r="Q1055">
            <v>3.7749999999999999</v>
          </cell>
          <cell r="X1055">
            <v>0.54</v>
          </cell>
          <cell r="Z1055">
            <v>3.7749999999999999</v>
          </cell>
          <cell r="AG1055">
            <v>0.54</v>
          </cell>
          <cell r="AI1055">
            <v>3.7749999999999999</v>
          </cell>
          <cell r="AR1055">
            <v>3.7749999999999999</v>
          </cell>
          <cell r="BA1055">
            <v>3.7749999999999999</v>
          </cell>
          <cell r="BJ1055">
            <v>3.774</v>
          </cell>
          <cell r="BQ1055">
            <v>7.02</v>
          </cell>
          <cell r="BS1055">
            <v>3.774</v>
          </cell>
          <cell r="BZ1055">
            <v>7.02</v>
          </cell>
          <cell r="CB1055">
            <v>3.774</v>
          </cell>
          <cell r="CI1055">
            <v>7.02</v>
          </cell>
          <cell r="CK1055">
            <v>3.774</v>
          </cell>
          <cell r="CR1055">
            <v>7.02</v>
          </cell>
          <cell r="CT1055">
            <v>3.774</v>
          </cell>
          <cell r="DA1055">
            <v>7.02</v>
          </cell>
          <cell r="DC1055">
            <v>3.774</v>
          </cell>
          <cell r="DJ1055">
            <v>6.66</v>
          </cell>
          <cell r="DL1055">
            <v>3.774</v>
          </cell>
        </row>
        <row r="1056">
          <cell r="A1056">
            <v>130</v>
          </cell>
          <cell r="B1056" t="str">
            <v>FG</v>
          </cell>
          <cell r="C1056" t="str">
            <v>FM</v>
          </cell>
          <cell r="D1056" t="str">
            <v>OLEIC-15</v>
          </cell>
          <cell r="H1056">
            <v>0.185</v>
          </cell>
          <cell r="I1056">
            <v>89.28</v>
          </cell>
          <cell r="Q1056">
            <v>0.185</v>
          </cell>
          <cell r="R1056">
            <v>89.73</v>
          </cell>
          <cell r="X1056">
            <v>6.84</v>
          </cell>
          <cell r="Z1056">
            <v>0.185</v>
          </cell>
          <cell r="AA1056">
            <v>111.78</v>
          </cell>
          <cell r="AG1056">
            <v>6.84</v>
          </cell>
          <cell r="AI1056">
            <v>0.185</v>
          </cell>
          <cell r="AJ1056">
            <v>120.96</v>
          </cell>
          <cell r="AP1056">
            <v>4.68</v>
          </cell>
          <cell r="AR1056">
            <v>0.185</v>
          </cell>
          <cell r="AS1056">
            <v>121.86</v>
          </cell>
          <cell r="AY1056">
            <v>4.68</v>
          </cell>
          <cell r="BA1056">
            <v>0.185</v>
          </cell>
          <cell r="BB1056">
            <v>121.86</v>
          </cell>
          <cell r="BJ1056">
            <v>0.185</v>
          </cell>
          <cell r="BK1056">
            <v>25.92</v>
          </cell>
          <cell r="BS1056">
            <v>0.185</v>
          </cell>
          <cell r="BT1056">
            <v>37.71</v>
          </cell>
          <cell r="CB1056">
            <v>0.185</v>
          </cell>
          <cell r="CC1056">
            <v>24.93</v>
          </cell>
          <cell r="CK1056">
            <v>0.185</v>
          </cell>
          <cell r="CL1056">
            <v>16.38</v>
          </cell>
          <cell r="CT1056">
            <v>0.185</v>
          </cell>
          <cell r="CU1056">
            <v>16.38</v>
          </cell>
          <cell r="DC1056">
            <v>0.185</v>
          </cell>
          <cell r="DD1056">
            <v>16.38</v>
          </cell>
          <cell r="DL1056">
            <v>0.185</v>
          </cell>
          <cell r="DM1056">
            <v>1.26</v>
          </cell>
        </row>
        <row r="1057">
          <cell r="A1057">
            <v>131</v>
          </cell>
          <cell r="B1057" t="str">
            <v>FG</v>
          </cell>
          <cell r="C1057" t="str">
            <v>NM</v>
          </cell>
          <cell r="D1057" t="str">
            <v>OLEIC-20</v>
          </cell>
          <cell r="H1057">
            <v>0.09</v>
          </cell>
          <cell r="Q1057">
            <v>0.09</v>
          </cell>
          <cell r="Z1057">
            <v>0.09</v>
          </cell>
          <cell r="AI1057">
            <v>0.09</v>
          </cell>
          <cell r="AR1057">
            <v>0.09</v>
          </cell>
          <cell r="BA1057">
            <v>0.09</v>
          </cell>
          <cell r="BJ1057">
            <v>0.09</v>
          </cell>
          <cell r="BS1057">
            <v>0.09</v>
          </cell>
          <cell r="CB1057">
            <v>0.09</v>
          </cell>
          <cell r="CK1057">
            <v>0.09</v>
          </cell>
          <cell r="CT1057">
            <v>0.09</v>
          </cell>
          <cell r="DC1057">
            <v>0.09</v>
          </cell>
          <cell r="DL1057">
            <v>0.09</v>
          </cell>
        </row>
        <row r="1058">
          <cell r="A1058">
            <v>132</v>
          </cell>
          <cell r="B1058" t="str">
            <v>FG</v>
          </cell>
          <cell r="C1058" t="str">
            <v>NM</v>
          </cell>
          <cell r="D1058" t="str">
            <v>OLEIC-26</v>
          </cell>
          <cell r="F1058">
            <v>0.18</v>
          </cell>
          <cell r="H1058">
            <v>0.63</v>
          </cell>
          <cell r="I1058">
            <v>1.44</v>
          </cell>
          <cell r="O1058">
            <v>0.18</v>
          </cell>
          <cell r="Q1058">
            <v>0.63</v>
          </cell>
          <cell r="R1058">
            <v>1.44</v>
          </cell>
          <cell r="X1058">
            <v>0.18</v>
          </cell>
          <cell r="Z1058">
            <v>0.63</v>
          </cell>
          <cell r="AA1058">
            <v>1.44</v>
          </cell>
          <cell r="AG1058">
            <v>0.18</v>
          </cell>
          <cell r="AI1058">
            <v>0.63</v>
          </cell>
          <cell r="AJ1058">
            <v>1.44</v>
          </cell>
          <cell r="AP1058">
            <v>0.18</v>
          </cell>
          <cell r="AR1058">
            <v>0.63</v>
          </cell>
          <cell r="AS1058">
            <v>1.44</v>
          </cell>
          <cell r="AY1058">
            <v>0.18</v>
          </cell>
          <cell r="BA1058">
            <v>0.63</v>
          </cell>
          <cell r="BB1058">
            <v>1.44</v>
          </cell>
          <cell r="BJ1058">
            <v>0.60799999999999998</v>
          </cell>
          <cell r="BS1058">
            <v>0.60799999999999998</v>
          </cell>
          <cell r="CB1058">
            <v>0.60799999999999998</v>
          </cell>
          <cell r="CK1058">
            <v>0.60799999999999998</v>
          </cell>
          <cell r="CT1058">
            <v>0.60799999999999998</v>
          </cell>
          <cell r="DC1058">
            <v>0.60799999999999998</v>
          </cell>
          <cell r="DL1058">
            <v>0.60799999999999998</v>
          </cell>
        </row>
        <row r="1059">
          <cell r="A1059">
            <v>133</v>
          </cell>
          <cell r="B1059" t="str">
            <v>FG</v>
          </cell>
          <cell r="C1059" t="str">
            <v>NM</v>
          </cell>
          <cell r="D1059" t="str">
            <v>OLEIC-29</v>
          </cell>
          <cell r="H1059">
            <v>0.18</v>
          </cell>
          <cell r="Q1059">
            <v>0.18</v>
          </cell>
          <cell r="Z1059">
            <v>0.18</v>
          </cell>
          <cell r="AI1059">
            <v>0.18</v>
          </cell>
          <cell r="AR1059">
            <v>0.18</v>
          </cell>
          <cell r="BA1059">
            <v>0.18</v>
          </cell>
          <cell r="BJ1059">
            <v>0.16400000000000001</v>
          </cell>
          <cell r="BS1059">
            <v>0.16400000000000001</v>
          </cell>
          <cell r="CB1059">
            <v>0.16400000000000001</v>
          </cell>
          <cell r="CK1059">
            <v>0.16400000000000001</v>
          </cell>
          <cell r="CT1059">
            <v>0.16400000000000001</v>
          </cell>
          <cell r="DC1059">
            <v>0.16400000000000001</v>
          </cell>
          <cell r="DL1059">
            <v>0.16400000000000001</v>
          </cell>
        </row>
        <row r="1060">
          <cell r="A1060">
            <v>134</v>
          </cell>
          <cell r="B1060" t="str">
            <v>FG</v>
          </cell>
          <cell r="C1060" t="str">
            <v>FM</v>
          </cell>
          <cell r="D1060" t="str">
            <v>OLEIC-K</v>
          </cell>
          <cell r="H1060">
            <v>4.0650000000000004</v>
          </cell>
          <cell r="I1060">
            <v>2.52</v>
          </cell>
          <cell r="Q1060">
            <v>4.0650000000000004</v>
          </cell>
          <cell r="R1060">
            <v>1.62</v>
          </cell>
          <cell r="X1060">
            <v>6.84</v>
          </cell>
          <cell r="Z1060">
            <v>4.0650000000000004</v>
          </cell>
          <cell r="AA1060">
            <v>1.62</v>
          </cell>
          <cell r="AG1060">
            <v>6.84</v>
          </cell>
          <cell r="AI1060">
            <v>4.0650000000000004</v>
          </cell>
          <cell r="AJ1060">
            <v>1.62</v>
          </cell>
          <cell r="AP1060">
            <v>4.68</v>
          </cell>
          <cell r="AR1060">
            <v>4.0650000000000004</v>
          </cell>
          <cell r="AS1060">
            <v>1.62</v>
          </cell>
          <cell r="AY1060">
            <v>4.68</v>
          </cell>
          <cell r="BA1060">
            <v>4.0650000000000004</v>
          </cell>
          <cell r="BB1060">
            <v>1.62</v>
          </cell>
          <cell r="BH1060">
            <v>3.96</v>
          </cell>
          <cell r="BJ1060">
            <v>5.1180000000000003</v>
          </cell>
          <cell r="BK1060">
            <v>0.72</v>
          </cell>
          <cell r="BQ1060">
            <v>3.96</v>
          </cell>
          <cell r="BS1060">
            <v>4.4880000000000004</v>
          </cell>
          <cell r="BT1060">
            <v>8.01</v>
          </cell>
          <cell r="CB1060">
            <v>4.4880000000000004</v>
          </cell>
          <cell r="CC1060">
            <v>11.43</v>
          </cell>
          <cell r="CK1060">
            <v>4.4880000000000004</v>
          </cell>
          <cell r="CL1060">
            <v>3.42</v>
          </cell>
          <cell r="CT1060">
            <v>4.4880000000000004</v>
          </cell>
          <cell r="CU1060">
            <v>3.42</v>
          </cell>
          <cell r="DC1060">
            <v>4.4880000000000004</v>
          </cell>
          <cell r="DD1060">
            <v>3.42</v>
          </cell>
          <cell r="DL1060">
            <v>4.4880000000000004</v>
          </cell>
          <cell r="DM1060">
            <v>3.42</v>
          </cell>
        </row>
        <row r="1061">
          <cell r="A1061">
            <v>135</v>
          </cell>
          <cell r="B1061" t="str">
            <v>FG</v>
          </cell>
          <cell r="C1061" t="str">
            <v>NM</v>
          </cell>
          <cell r="D1061" t="str">
            <v>OLEIC-70</v>
          </cell>
          <cell r="H1061">
            <v>0.185</v>
          </cell>
          <cell r="I1061">
            <v>8.3699999999999992</v>
          </cell>
          <cell r="Q1061">
            <v>0.185</v>
          </cell>
          <cell r="R1061">
            <v>8.3699999999999992</v>
          </cell>
          <cell r="Z1061">
            <v>0.185</v>
          </cell>
          <cell r="AA1061">
            <v>8.3699999999999992</v>
          </cell>
          <cell r="AI1061">
            <v>0.185</v>
          </cell>
          <cell r="AJ1061">
            <v>8.3699999999999992</v>
          </cell>
          <cell r="AR1061">
            <v>0.185</v>
          </cell>
          <cell r="AS1061">
            <v>8.3699999999999992</v>
          </cell>
          <cell r="BA1061">
            <v>0.185</v>
          </cell>
          <cell r="BB1061">
            <v>8.3699999999999992</v>
          </cell>
          <cell r="BJ1061">
            <v>0.16</v>
          </cell>
          <cell r="BS1061">
            <v>0.16</v>
          </cell>
          <cell r="CB1061">
            <v>0.16</v>
          </cell>
          <cell r="CK1061">
            <v>0.16</v>
          </cell>
          <cell r="CT1061">
            <v>0.16</v>
          </cell>
          <cell r="DC1061">
            <v>0.16</v>
          </cell>
          <cell r="DL1061">
            <v>0.16</v>
          </cell>
        </row>
        <row r="1062">
          <cell r="A1062">
            <v>136</v>
          </cell>
          <cell r="B1062" t="str">
            <v>FG</v>
          </cell>
          <cell r="C1062" t="str">
            <v>FM</v>
          </cell>
          <cell r="D1062" t="str">
            <v>C22:1&gt;90</v>
          </cell>
          <cell r="F1062">
            <v>0.18</v>
          </cell>
          <cell r="I1062">
            <v>1.44</v>
          </cell>
          <cell r="O1062">
            <v>0.18</v>
          </cell>
          <cell r="R1062">
            <v>1.44</v>
          </cell>
          <cell r="X1062">
            <v>0.18</v>
          </cell>
          <cell r="AA1062">
            <v>1.44</v>
          </cell>
          <cell r="AG1062">
            <v>0.18</v>
          </cell>
          <cell r="AJ1062">
            <v>1.44</v>
          </cell>
          <cell r="AP1062">
            <v>0.18</v>
          </cell>
          <cell r="AS1062">
            <v>1.44</v>
          </cell>
          <cell r="AY1062">
            <v>0.18</v>
          </cell>
          <cell r="BB1062">
            <v>1.44</v>
          </cell>
          <cell r="BH1062">
            <v>0.18</v>
          </cell>
          <cell r="BK1062">
            <v>1.44</v>
          </cell>
          <cell r="BQ1062">
            <v>0.18</v>
          </cell>
          <cell r="BT1062">
            <v>17.100000000000001</v>
          </cell>
          <cell r="BZ1062">
            <v>0.18</v>
          </cell>
          <cell r="CC1062">
            <v>17.100000000000001</v>
          </cell>
          <cell r="CI1062">
            <v>0.18</v>
          </cell>
          <cell r="CL1062">
            <v>17.100000000000001</v>
          </cell>
          <cell r="CU1062">
            <v>17.100000000000001</v>
          </cell>
          <cell r="DA1062">
            <v>0.18</v>
          </cell>
          <cell r="DD1062">
            <v>17.100000000000001</v>
          </cell>
          <cell r="DJ1062">
            <v>0.18</v>
          </cell>
          <cell r="DM1062">
            <v>17.100000000000001</v>
          </cell>
        </row>
        <row r="1063">
          <cell r="A1063">
            <v>137</v>
          </cell>
          <cell r="B1063" t="str">
            <v>FG</v>
          </cell>
          <cell r="C1063" t="str">
            <v>NM</v>
          </cell>
          <cell r="D1063" t="str">
            <v>DCPS</v>
          </cell>
          <cell r="I1063">
            <v>14.28</v>
          </cell>
          <cell r="R1063">
            <v>14.28</v>
          </cell>
          <cell r="AA1063">
            <v>14.28</v>
          </cell>
          <cell r="AJ1063">
            <v>14.28</v>
          </cell>
        </row>
        <row r="1064">
          <cell r="A1064">
            <v>138</v>
          </cell>
          <cell r="B1064" t="str">
            <v>FG</v>
          </cell>
          <cell r="C1064" t="str">
            <v>NM</v>
          </cell>
          <cell r="D1064" t="str">
            <v>Vegarol 1216</v>
          </cell>
          <cell r="F1064">
            <v>62.230000000000004</v>
          </cell>
          <cell r="G1064">
            <v>0</v>
          </cell>
          <cell r="H1064">
            <v>17.55</v>
          </cell>
          <cell r="I1064">
            <v>0.68</v>
          </cell>
          <cell r="J1064">
            <v>49.75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18.71</v>
          </cell>
          <cell r="P1064">
            <v>0</v>
          </cell>
          <cell r="Q1064">
            <v>17.55</v>
          </cell>
          <cell r="R1064">
            <v>0.68</v>
          </cell>
          <cell r="S1064">
            <v>100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49.189999999999991</v>
          </cell>
          <cell r="Y1064">
            <v>0</v>
          </cell>
          <cell r="Z1064">
            <v>17.21</v>
          </cell>
          <cell r="AA1064">
            <v>0.68</v>
          </cell>
          <cell r="AB1064">
            <v>121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42.189999999999991</v>
          </cell>
          <cell r="AH1064">
            <v>0</v>
          </cell>
          <cell r="AI1064">
            <v>17.55</v>
          </cell>
          <cell r="AJ1064">
            <v>0.68</v>
          </cell>
          <cell r="AK1064">
            <v>100.75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44.34</v>
          </cell>
          <cell r="AQ1064">
            <v>0</v>
          </cell>
          <cell r="AR1064">
            <v>17.55</v>
          </cell>
          <cell r="AS1064">
            <v>0.68</v>
          </cell>
          <cell r="AT1064">
            <v>156.75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81.960000000000008</v>
          </cell>
          <cell r="AZ1064">
            <v>0</v>
          </cell>
          <cell r="BA1064">
            <v>17.55</v>
          </cell>
          <cell r="BB1064">
            <v>0.68</v>
          </cell>
          <cell r="BC1064">
            <v>154</v>
          </cell>
          <cell r="BD1064">
            <v>0</v>
          </cell>
          <cell r="BE1064">
            <v>0</v>
          </cell>
          <cell r="BF1064">
            <v>0</v>
          </cell>
          <cell r="BG1064">
            <v>0</v>
          </cell>
          <cell r="BK1064">
            <v>0.68</v>
          </cell>
          <cell r="BT1064">
            <v>0.68</v>
          </cell>
          <cell r="CC1064">
            <v>0.68</v>
          </cell>
          <cell r="CL1064">
            <v>0.68</v>
          </cell>
          <cell r="CU1064">
            <v>0.68</v>
          </cell>
          <cell r="DD1064">
            <v>0.68</v>
          </cell>
          <cell r="DM1064">
            <v>0.68</v>
          </cell>
        </row>
        <row r="1065">
          <cell r="A1065">
            <v>261</v>
          </cell>
          <cell r="B1065" t="str">
            <v>FG</v>
          </cell>
          <cell r="C1065" t="str">
            <v>NM</v>
          </cell>
          <cell r="D1065" t="str">
            <v>Vegarol 1218</v>
          </cell>
          <cell r="CU1065">
            <v>13.6</v>
          </cell>
          <cell r="DD1065">
            <v>13.6</v>
          </cell>
        </row>
        <row r="1066">
          <cell r="A1066">
            <v>139</v>
          </cell>
          <cell r="B1066" t="str">
            <v>FG</v>
          </cell>
          <cell r="C1066" t="str">
            <v>NM</v>
          </cell>
          <cell r="D1066" t="str">
            <v>OLEIC-IG</v>
          </cell>
          <cell r="I1066">
            <v>8.3699999999999992</v>
          </cell>
          <cell r="R1066">
            <v>8.3699999999999992</v>
          </cell>
          <cell r="AA1066">
            <v>8.3699999999999992</v>
          </cell>
          <cell r="AJ1066">
            <v>8.3699999999999992</v>
          </cell>
          <cell r="AS1066">
            <v>8.3699999999999992</v>
          </cell>
          <cell r="BB1066">
            <v>8.3699999999999992</v>
          </cell>
        </row>
        <row r="1067">
          <cell r="A1067">
            <v>140</v>
          </cell>
          <cell r="B1067" t="str">
            <v>FG</v>
          </cell>
          <cell r="C1067" t="str">
            <v>NM</v>
          </cell>
          <cell r="D1067" t="str">
            <v>Vegarol 1214</v>
          </cell>
          <cell r="I1067">
            <v>9.18</v>
          </cell>
          <cell r="R1067">
            <v>9.18</v>
          </cell>
          <cell r="AA1067">
            <v>0.17</v>
          </cell>
          <cell r="AJ1067">
            <v>17.170000000000002</v>
          </cell>
          <cell r="AS1067">
            <v>7.48</v>
          </cell>
          <cell r="BB1067">
            <v>21.08</v>
          </cell>
          <cell r="BK1067">
            <v>7.48</v>
          </cell>
          <cell r="BT1067">
            <v>19.38</v>
          </cell>
          <cell r="CC1067">
            <v>16.32</v>
          </cell>
          <cell r="CL1067">
            <v>16.32</v>
          </cell>
          <cell r="CU1067">
            <v>15.81</v>
          </cell>
          <cell r="DD1067">
            <v>15.81</v>
          </cell>
          <cell r="DM1067">
            <v>15.81</v>
          </cell>
        </row>
        <row r="1068">
          <cell r="A1068">
            <v>257</v>
          </cell>
          <cell r="B1068" t="str">
            <v>FG</v>
          </cell>
          <cell r="C1068" t="str">
            <v>NM</v>
          </cell>
          <cell r="D1068" t="str">
            <v>Vegarol 10</v>
          </cell>
          <cell r="F1068">
            <v>199.5</v>
          </cell>
          <cell r="H1068">
            <v>41.35</v>
          </cell>
          <cell r="I1068">
            <v>14.28</v>
          </cell>
          <cell r="O1068">
            <v>122.5</v>
          </cell>
          <cell r="Q1068">
            <v>0.35</v>
          </cell>
          <cell r="R1068">
            <v>14.28</v>
          </cell>
          <cell r="X1068">
            <v>129.44999999999999</v>
          </cell>
          <cell r="Z1068">
            <v>0.35</v>
          </cell>
          <cell r="AA1068">
            <v>14.28</v>
          </cell>
          <cell r="AG1068">
            <v>38.15</v>
          </cell>
          <cell r="AI1068">
            <v>0.35</v>
          </cell>
          <cell r="AJ1068">
            <v>14.28</v>
          </cell>
          <cell r="AP1068">
            <v>137.30000000000001</v>
          </cell>
          <cell r="AR1068">
            <v>0.35</v>
          </cell>
          <cell r="AS1068">
            <v>132.11000000000001</v>
          </cell>
          <cell r="AY1068">
            <v>152.30000000000001</v>
          </cell>
          <cell r="BA1068">
            <v>0.35</v>
          </cell>
          <cell r="BB1068">
            <v>139.81</v>
          </cell>
        </row>
        <row r="1069">
          <cell r="A1069">
            <v>144</v>
          </cell>
          <cell r="B1069" t="str">
            <v>FG</v>
          </cell>
          <cell r="C1069" t="str">
            <v>FM</v>
          </cell>
          <cell r="D1069" t="str">
            <v>UTSR SPECIAL</v>
          </cell>
          <cell r="F1069">
            <v>62.230000000000004</v>
          </cell>
          <cell r="G1069">
            <v>0</v>
          </cell>
          <cell r="H1069">
            <v>17.55</v>
          </cell>
          <cell r="I1069">
            <v>145.91</v>
          </cell>
          <cell r="J1069">
            <v>49.75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18.71</v>
          </cell>
          <cell r="P1069">
            <v>0</v>
          </cell>
          <cell r="Q1069">
            <v>17.55</v>
          </cell>
          <cell r="R1069">
            <v>125.30000000000001</v>
          </cell>
          <cell r="S1069">
            <v>100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49.189999999999991</v>
          </cell>
          <cell r="Y1069">
            <v>0</v>
          </cell>
          <cell r="Z1069">
            <v>17.21</v>
          </cell>
          <cell r="AA1069">
            <v>138.34</v>
          </cell>
          <cell r="AB1069">
            <v>121</v>
          </cell>
          <cell r="AC1069">
            <v>0</v>
          </cell>
          <cell r="AD1069">
            <v>0</v>
          </cell>
          <cell r="AE1069">
            <v>0</v>
          </cell>
          <cell r="AF1069">
            <v>0</v>
          </cell>
          <cell r="AG1069">
            <v>42.189999999999991</v>
          </cell>
          <cell r="AH1069">
            <v>0</v>
          </cell>
          <cell r="AI1069">
            <v>17.55</v>
          </cell>
          <cell r="AJ1069">
            <v>170.1</v>
          </cell>
          <cell r="AK1069">
            <v>100.75</v>
          </cell>
          <cell r="AL1069">
            <v>0</v>
          </cell>
          <cell r="AM1069">
            <v>0</v>
          </cell>
          <cell r="AN1069">
            <v>0</v>
          </cell>
          <cell r="AO1069">
            <v>0</v>
          </cell>
          <cell r="AP1069">
            <v>44.34</v>
          </cell>
          <cell r="AQ1069">
            <v>0</v>
          </cell>
          <cell r="AR1069">
            <v>17.55</v>
          </cell>
          <cell r="AS1069">
            <v>150.54</v>
          </cell>
          <cell r="AT1069">
            <v>156.75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81.960000000000008</v>
          </cell>
          <cell r="AZ1069">
            <v>0</v>
          </cell>
          <cell r="BA1069">
            <v>17.55</v>
          </cell>
          <cell r="BB1069">
            <v>164.59000000000003</v>
          </cell>
          <cell r="BC1069">
            <v>154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104.46</v>
          </cell>
          <cell r="BI1069">
            <v>0</v>
          </cell>
          <cell r="BJ1069">
            <v>18.424000000000003</v>
          </cell>
          <cell r="BK1069">
            <v>44.25</v>
          </cell>
          <cell r="BL1069">
            <v>0</v>
          </cell>
          <cell r="BM1069">
            <v>0</v>
          </cell>
          <cell r="BN1069">
            <v>0</v>
          </cell>
          <cell r="BO1069">
            <v>0</v>
          </cell>
          <cell r="BP1069">
            <v>0</v>
          </cell>
          <cell r="BQ1069">
            <v>109.93999999999998</v>
          </cell>
          <cell r="BR1069">
            <v>0</v>
          </cell>
          <cell r="BS1069">
            <v>17.794</v>
          </cell>
          <cell r="BT1069">
            <v>100.7</v>
          </cell>
          <cell r="BU1069">
            <v>159.25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144.84000000000003</v>
          </cell>
          <cell r="CA1069">
            <v>0</v>
          </cell>
          <cell r="CB1069">
            <v>17.794</v>
          </cell>
          <cell r="CC1069">
            <v>70.460000000000008</v>
          </cell>
          <cell r="CD1069">
            <v>87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116.16</v>
          </cell>
          <cell r="CJ1069">
            <v>0</v>
          </cell>
          <cell r="CK1069">
            <v>17.794</v>
          </cell>
          <cell r="CL1069">
            <v>55.25</v>
          </cell>
          <cell r="CM1069">
            <v>34</v>
          </cell>
          <cell r="CN1069">
            <v>0</v>
          </cell>
          <cell r="CO1069">
            <v>0</v>
          </cell>
          <cell r="CP1069">
            <v>0</v>
          </cell>
          <cell r="CQ1069">
            <v>0</v>
          </cell>
          <cell r="CR1069">
            <v>73.38</v>
          </cell>
          <cell r="CS1069">
            <v>0</v>
          </cell>
          <cell r="CT1069">
            <v>17.794</v>
          </cell>
          <cell r="CU1069">
            <v>66.989999999999995</v>
          </cell>
          <cell r="CV1069">
            <v>33</v>
          </cell>
          <cell r="CW1069">
            <v>0</v>
          </cell>
          <cell r="CX1069">
            <v>0</v>
          </cell>
          <cell r="CY1069">
            <v>0</v>
          </cell>
          <cell r="CZ1069">
            <v>0</v>
          </cell>
          <cell r="DA1069">
            <v>59.159999999999989</v>
          </cell>
          <cell r="DB1069">
            <v>0</v>
          </cell>
          <cell r="DC1069">
            <v>17.794</v>
          </cell>
          <cell r="DD1069">
            <v>66.989999999999995</v>
          </cell>
          <cell r="DE1069">
            <v>63.25</v>
          </cell>
          <cell r="DF1069">
            <v>0</v>
          </cell>
          <cell r="DG1069">
            <v>0</v>
          </cell>
          <cell r="DH1069">
            <v>0</v>
          </cell>
          <cell r="DI1069">
            <v>0</v>
          </cell>
          <cell r="DJ1069">
            <v>60.79999999999999</v>
          </cell>
          <cell r="DK1069">
            <v>0</v>
          </cell>
          <cell r="DL1069">
            <v>17.794</v>
          </cell>
          <cell r="DM1069">
            <v>67.7</v>
          </cell>
          <cell r="DN1069">
            <v>188.25</v>
          </cell>
          <cell r="DO1069">
            <v>0</v>
          </cell>
          <cell r="DP1069">
            <v>0</v>
          </cell>
          <cell r="DQ1069">
            <v>0</v>
          </cell>
          <cell r="DR1069">
            <v>0</v>
          </cell>
        </row>
        <row r="1070">
          <cell r="A1070" t="str">
            <v>FATTY ACID FLAKES</v>
          </cell>
          <cell r="B1070" t="str">
            <v>FG</v>
          </cell>
          <cell r="C1070" t="str">
            <v>FM</v>
          </cell>
          <cell r="D1070" t="str">
            <v>DTP-7</v>
          </cell>
          <cell r="H1070">
            <v>0.9000000000000028</v>
          </cell>
          <cell r="I1070">
            <v>14.7</v>
          </cell>
          <cell r="Q1070">
            <v>0.9000000000000028</v>
          </cell>
          <cell r="R1070">
            <v>3.8</v>
          </cell>
          <cell r="Z1070">
            <v>0.9000000000000028</v>
          </cell>
          <cell r="AA1070">
            <v>91.25</v>
          </cell>
          <cell r="AI1070">
            <v>0.9</v>
          </cell>
          <cell r="AJ1070">
            <v>36.5</v>
          </cell>
          <cell r="AR1070">
            <v>0.9000000000000028</v>
          </cell>
          <cell r="AS1070">
            <v>82.4</v>
          </cell>
          <cell r="BA1070">
            <v>0.9000000000000028</v>
          </cell>
          <cell r="BB1070">
            <v>20.05</v>
          </cell>
        </row>
        <row r="1071">
          <cell r="A1071">
            <v>141</v>
          </cell>
          <cell r="B1071" t="str">
            <v>FG</v>
          </cell>
          <cell r="C1071" t="str">
            <v>FM</v>
          </cell>
          <cell r="D1071" t="str">
            <v>C14&gt;99%</v>
          </cell>
          <cell r="F1071">
            <v>0.15</v>
          </cell>
          <cell r="H1071">
            <v>0.35000000000000142</v>
          </cell>
          <cell r="I1071">
            <v>32.875</v>
          </cell>
          <cell r="Q1071">
            <v>0.35000000000000142</v>
          </cell>
          <cell r="R1071">
            <v>32.875</v>
          </cell>
          <cell r="Z1071">
            <v>0.25000000000000144</v>
          </cell>
          <cell r="AA1071">
            <v>32.875</v>
          </cell>
          <cell r="AI1071">
            <v>0.25</v>
          </cell>
          <cell r="AJ1071">
            <v>32.875</v>
          </cell>
          <cell r="AR1071">
            <v>0.25000000000000144</v>
          </cell>
          <cell r="AS1071">
            <v>32.875</v>
          </cell>
          <cell r="BA1071">
            <v>0.25000000000000144</v>
          </cell>
          <cell r="BB1071">
            <v>32.875</v>
          </cell>
          <cell r="BK1071">
            <v>32.875</v>
          </cell>
          <cell r="BT1071">
            <v>7.875</v>
          </cell>
          <cell r="CC1071">
            <v>62.875</v>
          </cell>
          <cell r="CL1071">
            <v>58.875</v>
          </cell>
          <cell r="CU1071">
            <v>7.875</v>
          </cell>
          <cell r="DD1071">
            <v>7.875</v>
          </cell>
          <cell r="DM1071">
            <v>119.075</v>
          </cell>
        </row>
        <row r="1072">
          <cell r="A1072">
            <v>142</v>
          </cell>
          <cell r="B1072" t="str">
            <v>FG</v>
          </cell>
          <cell r="C1072" t="str">
            <v>FM</v>
          </cell>
          <cell r="D1072" t="str">
            <v>C16 85%</v>
          </cell>
          <cell r="H1072">
            <v>1.2</v>
          </cell>
          <cell r="I1072">
            <v>85.2</v>
          </cell>
          <cell r="Q1072">
            <v>0.5</v>
          </cell>
          <cell r="R1072">
            <v>52.2</v>
          </cell>
          <cell r="Z1072">
            <v>0.5</v>
          </cell>
          <cell r="AA1072">
            <v>24.2</v>
          </cell>
          <cell r="AI1072">
            <v>0.5</v>
          </cell>
          <cell r="AR1072">
            <v>0.5</v>
          </cell>
          <cell r="AS1072">
            <v>140</v>
          </cell>
          <cell r="BA1072">
            <v>0.5</v>
          </cell>
          <cell r="BB1072">
            <v>140</v>
          </cell>
          <cell r="CC1072">
            <v>168</v>
          </cell>
          <cell r="CL1072">
            <v>264</v>
          </cell>
          <cell r="DM1072">
            <v>330.5</v>
          </cell>
        </row>
        <row r="1073">
          <cell r="A1073">
            <v>143</v>
          </cell>
          <cell r="B1073" t="str">
            <v>FG</v>
          </cell>
          <cell r="C1073" t="str">
            <v>FM</v>
          </cell>
          <cell r="D1073" t="str">
            <v>UTSR</v>
          </cell>
          <cell r="F1073">
            <v>199.5</v>
          </cell>
          <cell r="H1073">
            <v>41.35</v>
          </cell>
          <cell r="I1073">
            <v>114.06</v>
          </cell>
          <cell r="O1073">
            <v>122.5</v>
          </cell>
          <cell r="Q1073">
            <v>0.35</v>
          </cell>
          <cell r="R1073">
            <v>288.95999999999998</v>
          </cell>
          <cell r="X1073">
            <v>129.44999999999999</v>
          </cell>
          <cell r="Z1073">
            <v>0.35</v>
          </cell>
          <cell r="AA1073">
            <v>200.21</v>
          </cell>
          <cell r="AG1073">
            <v>38.15</v>
          </cell>
          <cell r="AI1073">
            <v>0.35</v>
          </cell>
          <cell r="AJ1073">
            <v>202.66</v>
          </cell>
          <cell r="AP1073">
            <v>137.30000000000001</v>
          </cell>
          <cell r="AR1073">
            <v>0.35</v>
          </cell>
          <cell r="AS1073">
            <v>132.11000000000001</v>
          </cell>
          <cell r="AY1073">
            <v>152.30000000000001</v>
          </cell>
          <cell r="BA1073">
            <v>0.35</v>
          </cell>
          <cell r="BB1073">
            <v>139.81</v>
          </cell>
          <cell r="BH1073">
            <v>126.3</v>
          </cell>
          <cell r="BJ1073">
            <v>0.35</v>
          </cell>
          <cell r="BK1073">
            <v>128.99</v>
          </cell>
          <cell r="BQ1073">
            <v>240.9</v>
          </cell>
          <cell r="BS1073">
            <v>0.35</v>
          </cell>
          <cell r="BT1073">
            <v>217.72499999999999</v>
          </cell>
          <cell r="BZ1073">
            <v>202.55</v>
          </cell>
          <cell r="CB1073">
            <v>0.35</v>
          </cell>
          <cell r="CC1073">
            <v>184.625</v>
          </cell>
          <cell r="CI1073">
            <v>124.65</v>
          </cell>
          <cell r="CK1073">
            <v>0.35</v>
          </cell>
          <cell r="CL1073">
            <v>90.275000000000006</v>
          </cell>
          <cell r="CR1073">
            <v>124.65</v>
          </cell>
          <cell r="CT1073">
            <v>0.35</v>
          </cell>
          <cell r="CU1073">
            <v>58.725000000000001</v>
          </cell>
          <cell r="DA1073">
            <v>90.65</v>
          </cell>
          <cell r="DC1073">
            <v>0.35</v>
          </cell>
          <cell r="DL1073">
            <v>0.35</v>
          </cell>
          <cell r="DM1073">
            <v>249.3</v>
          </cell>
        </row>
        <row r="1074">
          <cell r="A1074">
            <v>144</v>
          </cell>
          <cell r="B1074" t="str">
            <v>FG</v>
          </cell>
          <cell r="C1074" t="str">
            <v>FM</v>
          </cell>
          <cell r="D1074" t="str">
            <v>UTSR SPECIAL</v>
          </cell>
          <cell r="DD1074">
            <v>69.599999999999994</v>
          </cell>
        </row>
        <row r="1075">
          <cell r="A1075">
            <v>145</v>
          </cell>
          <cell r="B1075" t="str">
            <v>FG</v>
          </cell>
          <cell r="C1075" t="str">
            <v>FM</v>
          </cell>
          <cell r="D1075" t="str">
            <v>DTP-7</v>
          </cell>
          <cell r="H1075">
            <v>0.9000000000000028</v>
          </cell>
          <cell r="I1075">
            <v>14.7</v>
          </cell>
          <cell r="Q1075">
            <v>0.9000000000000028</v>
          </cell>
          <cell r="R1075">
            <v>3.8</v>
          </cell>
          <cell r="Z1075">
            <v>0.9000000000000028</v>
          </cell>
          <cell r="AA1075">
            <v>91.25</v>
          </cell>
          <cell r="AI1075">
            <v>0.9</v>
          </cell>
          <cell r="AJ1075">
            <v>36.5</v>
          </cell>
          <cell r="AR1075">
            <v>0.9000000000000028</v>
          </cell>
          <cell r="AS1075">
            <v>82.4</v>
          </cell>
          <cell r="BA1075">
            <v>0.9000000000000028</v>
          </cell>
          <cell r="BB1075">
            <v>20.05</v>
          </cell>
          <cell r="BJ1075">
            <v>0.9000000000000028</v>
          </cell>
          <cell r="BK1075">
            <v>30.65</v>
          </cell>
          <cell r="BT1075">
            <v>4.05</v>
          </cell>
          <cell r="CC1075">
            <v>55.8</v>
          </cell>
          <cell r="CL1075">
            <v>77.5</v>
          </cell>
          <cell r="CU1075">
            <v>197.5</v>
          </cell>
          <cell r="DD1075">
            <v>37.5</v>
          </cell>
          <cell r="DM1075">
            <v>64.099999999999994</v>
          </cell>
        </row>
        <row r="1076">
          <cell r="A1076">
            <v>146</v>
          </cell>
          <cell r="B1076" t="str">
            <v>FG</v>
          </cell>
          <cell r="C1076" t="str">
            <v>FM</v>
          </cell>
          <cell r="D1076" t="str">
            <v>DTP-CT</v>
          </cell>
          <cell r="F1076">
            <v>0.15</v>
          </cell>
          <cell r="H1076">
            <v>0.35000000000000142</v>
          </cell>
          <cell r="I1076">
            <v>147.5</v>
          </cell>
          <cell r="Q1076">
            <v>0.35000000000000142</v>
          </cell>
          <cell r="R1076">
            <v>127.5</v>
          </cell>
          <cell r="Z1076">
            <v>0.25000000000000144</v>
          </cell>
          <cell r="AA1076">
            <v>117</v>
          </cell>
          <cell r="AI1076">
            <v>0.25</v>
          </cell>
          <cell r="AJ1076">
            <v>146.44999999999999</v>
          </cell>
          <cell r="AR1076">
            <v>0.25000000000000144</v>
          </cell>
          <cell r="AS1076">
            <v>130.44999999999999</v>
          </cell>
          <cell r="BA1076">
            <v>0.25000000000000144</v>
          </cell>
          <cell r="BB1076">
            <v>130.6</v>
          </cell>
          <cell r="BJ1076">
            <v>0.25000000000000144</v>
          </cell>
          <cell r="BK1076">
            <v>130.6</v>
          </cell>
          <cell r="BS1076">
            <v>0.25</v>
          </cell>
          <cell r="BT1076">
            <v>126.4</v>
          </cell>
          <cell r="CB1076">
            <v>0.25</v>
          </cell>
          <cell r="CC1076">
            <v>90.2</v>
          </cell>
          <cell r="CK1076">
            <v>0.25</v>
          </cell>
          <cell r="CL1076">
            <v>90.2</v>
          </cell>
          <cell r="CT1076">
            <v>0.25</v>
          </cell>
          <cell r="CU1076">
            <v>90.2</v>
          </cell>
          <cell r="DC1076">
            <v>0.25</v>
          </cell>
          <cell r="DD1076">
            <v>90.2</v>
          </cell>
          <cell r="DL1076">
            <v>0.25</v>
          </cell>
          <cell r="DM1076">
            <v>44.2</v>
          </cell>
        </row>
        <row r="1077">
          <cell r="A1077">
            <v>147</v>
          </cell>
          <cell r="B1077" t="str">
            <v>FG</v>
          </cell>
          <cell r="C1077" t="str">
            <v>FM</v>
          </cell>
          <cell r="D1077" t="str">
            <v>P-12</v>
          </cell>
          <cell r="H1077">
            <v>1.2</v>
          </cell>
          <cell r="I1077">
            <v>85.2</v>
          </cell>
          <cell r="Q1077">
            <v>0.5</v>
          </cell>
          <cell r="R1077">
            <v>52.2</v>
          </cell>
          <cell r="Z1077">
            <v>0.5</v>
          </cell>
          <cell r="AA1077">
            <v>24.2</v>
          </cell>
          <cell r="AI1077">
            <v>0.5</v>
          </cell>
          <cell r="AJ1077">
            <v>20.45</v>
          </cell>
          <cell r="AR1077">
            <v>0.5</v>
          </cell>
          <cell r="AS1077">
            <v>103.25</v>
          </cell>
          <cell r="BA1077">
            <v>0.5</v>
          </cell>
          <cell r="BB1077">
            <v>67.25</v>
          </cell>
          <cell r="BJ1077">
            <v>0.5</v>
          </cell>
          <cell r="BK1077">
            <v>18.75</v>
          </cell>
          <cell r="BS1077">
            <v>0.5</v>
          </cell>
          <cell r="BT1077">
            <v>5.75</v>
          </cell>
          <cell r="CB1077">
            <v>0.5</v>
          </cell>
          <cell r="CC1077">
            <v>0.25</v>
          </cell>
          <cell r="CK1077">
            <v>0.5</v>
          </cell>
          <cell r="CL1077">
            <v>23.35</v>
          </cell>
          <cell r="CT1077">
            <v>0.5</v>
          </cell>
          <cell r="CU1077">
            <v>20.350000000000001</v>
          </cell>
          <cell r="DC1077">
            <v>0.5</v>
          </cell>
          <cell r="DD1077">
            <v>119.95</v>
          </cell>
          <cell r="DL1077">
            <v>0.5</v>
          </cell>
          <cell r="DM1077">
            <v>149.44999999999999</v>
          </cell>
        </row>
        <row r="1078">
          <cell r="A1078">
            <v>148</v>
          </cell>
          <cell r="B1078" t="str">
            <v>FG</v>
          </cell>
          <cell r="C1078" t="str">
            <v>FM</v>
          </cell>
          <cell r="D1078" t="str">
            <v>P-12 SPECIAL</v>
          </cell>
        </row>
        <row r="1079">
          <cell r="A1079">
            <v>149</v>
          </cell>
          <cell r="B1079" t="str">
            <v>FG</v>
          </cell>
          <cell r="C1079" t="str">
            <v>NM</v>
          </cell>
          <cell r="D1079" t="str">
            <v>BEHENIC-75</v>
          </cell>
          <cell r="I1079">
            <v>40.53</v>
          </cell>
          <cell r="R1079">
            <v>40.53</v>
          </cell>
          <cell r="AA1079">
            <v>40.53</v>
          </cell>
          <cell r="AJ1079">
            <v>40.53</v>
          </cell>
          <cell r="AS1079">
            <v>40.53</v>
          </cell>
          <cell r="BB1079">
            <v>40.53</v>
          </cell>
        </row>
        <row r="1080">
          <cell r="A1080">
            <v>150</v>
          </cell>
          <cell r="B1080" t="str">
            <v>FG</v>
          </cell>
          <cell r="C1080" t="str">
            <v>NM</v>
          </cell>
          <cell r="D1080" t="str">
            <v>BEHENIC-85</v>
          </cell>
          <cell r="I1080">
            <v>15.64</v>
          </cell>
          <cell r="R1080">
            <v>15.64</v>
          </cell>
          <cell r="AA1080">
            <v>15.64</v>
          </cell>
          <cell r="AJ1080">
            <v>15.64</v>
          </cell>
          <cell r="AS1080">
            <v>15.64</v>
          </cell>
          <cell r="BB1080">
            <v>15.64</v>
          </cell>
        </row>
        <row r="1081">
          <cell r="A1081">
            <v>151</v>
          </cell>
          <cell r="B1081" t="str">
            <v>FG</v>
          </cell>
          <cell r="C1081" t="str">
            <v>FM</v>
          </cell>
          <cell r="D1081" t="str">
            <v>BEHENIC-90</v>
          </cell>
          <cell r="I1081">
            <v>147.5</v>
          </cell>
          <cell r="R1081">
            <v>127.5</v>
          </cell>
          <cell r="AA1081">
            <v>117</v>
          </cell>
          <cell r="AJ1081">
            <v>117</v>
          </cell>
          <cell r="AS1081">
            <v>97</v>
          </cell>
          <cell r="BB1081">
            <v>97</v>
          </cell>
          <cell r="BK1081">
            <v>77</v>
          </cell>
          <cell r="BT1081">
            <v>77</v>
          </cell>
          <cell r="CC1081">
            <v>77</v>
          </cell>
          <cell r="CL1081">
            <v>77</v>
          </cell>
          <cell r="CU1081">
            <v>77</v>
          </cell>
          <cell r="DD1081">
            <v>77</v>
          </cell>
          <cell r="DM1081">
            <v>77</v>
          </cell>
        </row>
        <row r="1082">
          <cell r="A1082">
            <v>152</v>
          </cell>
          <cell r="B1082" t="str">
            <v>FG</v>
          </cell>
          <cell r="C1082" t="str">
            <v>FM</v>
          </cell>
          <cell r="D1082" t="str">
            <v>G3 STEARIC</v>
          </cell>
          <cell r="H1082">
            <v>3.9</v>
          </cell>
          <cell r="I1082">
            <v>40.450000000000003</v>
          </cell>
          <cell r="Q1082">
            <v>3.9</v>
          </cell>
          <cell r="R1082">
            <v>30.45</v>
          </cell>
          <cell r="Z1082">
            <v>3.9</v>
          </cell>
          <cell r="AA1082">
            <v>30.45</v>
          </cell>
          <cell r="AI1082">
            <v>3.9</v>
          </cell>
          <cell r="AJ1082">
            <v>20.45</v>
          </cell>
          <cell r="AR1082">
            <v>3.9</v>
          </cell>
          <cell r="AS1082">
            <v>20.45</v>
          </cell>
          <cell r="BA1082">
            <v>3.9</v>
          </cell>
          <cell r="BB1082">
            <v>10.45</v>
          </cell>
          <cell r="BJ1082">
            <v>4.0999999999999996</v>
          </cell>
          <cell r="BK1082">
            <v>5.45</v>
          </cell>
          <cell r="BS1082">
            <v>4.0999999999999996</v>
          </cell>
          <cell r="BT1082">
            <v>5.45</v>
          </cell>
          <cell r="CB1082">
            <v>4.0999999999999996</v>
          </cell>
          <cell r="CC1082">
            <v>56.45</v>
          </cell>
          <cell r="CK1082">
            <v>4.0999999999999996</v>
          </cell>
          <cell r="CL1082">
            <v>46.45</v>
          </cell>
          <cell r="CT1082">
            <v>4.0999999999999996</v>
          </cell>
          <cell r="CU1082">
            <v>31.45</v>
          </cell>
          <cell r="DC1082">
            <v>4.0999999999999996</v>
          </cell>
          <cell r="DD1082">
            <v>46.7</v>
          </cell>
          <cell r="DL1082">
            <v>4.0999999999999996</v>
          </cell>
          <cell r="DM1082">
            <v>36.700000000000003</v>
          </cell>
        </row>
        <row r="1083">
          <cell r="A1083">
            <v>153</v>
          </cell>
          <cell r="B1083" t="str">
            <v>FG</v>
          </cell>
          <cell r="C1083" t="str">
            <v>NM</v>
          </cell>
          <cell r="D1083" t="str">
            <v>HYD.CASTOR OIL</v>
          </cell>
          <cell r="F1083">
            <v>1.35</v>
          </cell>
          <cell r="H1083">
            <v>1.05</v>
          </cell>
          <cell r="O1083">
            <v>1.35</v>
          </cell>
          <cell r="Q1083">
            <v>1.05</v>
          </cell>
          <cell r="X1083">
            <v>1.35</v>
          </cell>
          <cell r="Z1083">
            <v>1.05</v>
          </cell>
          <cell r="AG1083">
            <v>1.35</v>
          </cell>
          <cell r="AI1083">
            <v>1.05</v>
          </cell>
          <cell r="AP1083">
            <v>1.35</v>
          </cell>
          <cell r="AR1083">
            <v>1.05</v>
          </cell>
          <cell r="AY1083">
            <v>1.35</v>
          </cell>
          <cell r="BA1083">
            <v>1.05</v>
          </cell>
        </row>
        <row r="1084">
          <cell r="A1084">
            <v>154</v>
          </cell>
          <cell r="B1084" t="str">
            <v>FG</v>
          </cell>
          <cell r="C1084" t="str">
            <v>FM</v>
          </cell>
          <cell r="D1084" t="str">
            <v>C16  W/E</v>
          </cell>
          <cell r="I1084">
            <v>40.53</v>
          </cell>
          <cell r="R1084">
            <v>40.53</v>
          </cell>
          <cell r="AA1084">
            <v>40.53</v>
          </cell>
          <cell r="AJ1084">
            <v>40.53</v>
          </cell>
          <cell r="AS1084">
            <v>40.53</v>
          </cell>
          <cell r="BB1084">
            <v>40.53</v>
          </cell>
          <cell r="BK1084">
            <v>40.53</v>
          </cell>
          <cell r="BT1084">
            <v>40.53</v>
          </cell>
          <cell r="CC1084">
            <v>40.53</v>
          </cell>
          <cell r="CL1084">
            <v>40.53</v>
          </cell>
          <cell r="CU1084">
            <v>40.53</v>
          </cell>
          <cell r="DD1084">
            <v>40.53</v>
          </cell>
          <cell r="DM1084">
            <v>40.53</v>
          </cell>
        </row>
        <row r="1085">
          <cell r="A1085">
            <v>155</v>
          </cell>
          <cell r="B1085" t="str">
            <v>FG</v>
          </cell>
          <cell r="C1085" t="str">
            <v>FM</v>
          </cell>
          <cell r="D1085" t="str">
            <v>C18  W/E</v>
          </cell>
          <cell r="I1085">
            <v>15.64</v>
          </cell>
          <cell r="R1085">
            <v>15.64</v>
          </cell>
          <cell r="AA1085">
            <v>15.64</v>
          </cell>
          <cell r="AJ1085">
            <v>15.64</v>
          </cell>
          <cell r="AS1085">
            <v>15.64</v>
          </cell>
          <cell r="BB1085">
            <v>15.64</v>
          </cell>
          <cell r="BK1085">
            <v>15.64</v>
          </cell>
          <cell r="BT1085">
            <v>15.64</v>
          </cell>
          <cell r="CC1085">
            <v>15.64</v>
          </cell>
          <cell r="CL1085">
            <v>15.64</v>
          </cell>
          <cell r="CU1085">
            <v>15.64</v>
          </cell>
          <cell r="DD1085">
            <v>15.64</v>
          </cell>
          <cell r="DM1085">
            <v>15.64</v>
          </cell>
        </row>
        <row r="1086">
          <cell r="A1086">
            <v>156</v>
          </cell>
          <cell r="B1086" t="str">
            <v>FG</v>
          </cell>
          <cell r="C1086" t="str">
            <v>FM</v>
          </cell>
          <cell r="D1086" t="str">
            <v>C1618  W/E</v>
          </cell>
          <cell r="I1086">
            <v>31.21</v>
          </cell>
          <cell r="R1086">
            <v>31.21</v>
          </cell>
          <cell r="AA1086">
            <v>31.21</v>
          </cell>
          <cell r="AJ1086">
            <v>31.21</v>
          </cell>
          <cell r="AS1086">
            <v>31.21</v>
          </cell>
          <cell r="BB1086">
            <v>31.21</v>
          </cell>
          <cell r="BK1086">
            <v>25.51</v>
          </cell>
          <cell r="BT1086">
            <v>25.51</v>
          </cell>
          <cell r="CC1086">
            <v>25.51</v>
          </cell>
          <cell r="CL1086">
            <v>25.51</v>
          </cell>
          <cell r="CU1086">
            <v>25.51</v>
          </cell>
          <cell r="DD1086">
            <v>25.51</v>
          </cell>
          <cell r="DM1086">
            <v>25.51</v>
          </cell>
        </row>
        <row r="1087">
          <cell r="A1087">
            <v>157</v>
          </cell>
          <cell r="B1087" t="str">
            <v>FG</v>
          </cell>
          <cell r="C1087" t="str">
            <v>NM</v>
          </cell>
          <cell r="D1087" t="str">
            <v>CONTAMINATED FATTY ACID</v>
          </cell>
          <cell r="E1087" t="str">
            <v>STEARIC-90</v>
          </cell>
          <cell r="F1087">
            <v>79.599999999999994</v>
          </cell>
          <cell r="I1087">
            <v>25</v>
          </cell>
          <cell r="O1087">
            <v>79.599999999999994</v>
          </cell>
          <cell r="R1087">
            <v>25</v>
          </cell>
          <cell r="X1087">
            <v>79.599999999999994</v>
          </cell>
          <cell r="AA1087">
            <v>25</v>
          </cell>
          <cell r="AG1087">
            <v>79.599999999999994</v>
          </cell>
          <cell r="AJ1087">
            <v>25</v>
          </cell>
          <cell r="AP1087">
            <v>79.599999999999994</v>
          </cell>
          <cell r="AS1087">
            <v>25</v>
          </cell>
          <cell r="AY1087">
            <v>79.599999999999994</v>
          </cell>
          <cell r="BB1087">
            <v>25</v>
          </cell>
          <cell r="BK1087">
            <v>25</v>
          </cell>
          <cell r="BT1087">
            <v>25</v>
          </cell>
          <cell r="CL1087">
            <v>25</v>
          </cell>
          <cell r="CU1087">
            <v>25</v>
          </cell>
          <cell r="DD1087">
            <v>25</v>
          </cell>
          <cell r="DM1087">
            <v>25</v>
          </cell>
        </row>
        <row r="1088">
          <cell r="A1088">
            <v>158</v>
          </cell>
          <cell r="B1088" t="str">
            <v>FG</v>
          </cell>
          <cell r="C1088" t="str">
            <v>NM</v>
          </cell>
          <cell r="D1088" t="str">
            <v>STEARIC ACID - SPECIAL</v>
          </cell>
          <cell r="F1088">
            <v>1.35</v>
          </cell>
          <cell r="H1088">
            <v>1.05</v>
          </cell>
          <cell r="O1088">
            <v>1.35</v>
          </cell>
          <cell r="Q1088">
            <v>1.05</v>
          </cell>
          <cell r="X1088">
            <v>1.35</v>
          </cell>
          <cell r="Z1088">
            <v>1.05</v>
          </cell>
          <cell r="AG1088">
            <v>1.35</v>
          </cell>
          <cell r="AI1088">
            <v>1.05</v>
          </cell>
          <cell r="AP1088">
            <v>1.35</v>
          </cell>
          <cell r="AR1088">
            <v>1.05</v>
          </cell>
          <cell r="AY1088">
            <v>1.35</v>
          </cell>
          <cell r="BA1088">
            <v>1.05</v>
          </cell>
          <cell r="BH1088">
            <v>1.35</v>
          </cell>
          <cell r="BJ1088">
            <v>1.05</v>
          </cell>
          <cell r="BQ1088">
            <v>1.35</v>
          </cell>
          <cell r="BS1088">
            <v>1.05</v>
          </cell>
          <cell r="BZ1088">
            <v>1.35</v>
          </cell>
          <cell r="CB1088">
            <v>1.05</v>
          </cell>
          <cell r="CI1088">
            <v>1.35</v>
          </cell>
          <cell r="CK1088">
            <v>1.05</v>
          </cell>
          <cell r="CR1088">
            <v>1.35</v>
          </cell>
          <cell r="CT1088">
            <v>1.05</v>
          </cell>
          <cell r="DA1088">
            <v>1.35</v>
          </cell>
          <cell r="DC1088">
            <v>1.05</v>
          </cell>
          <cell r="DL1088">
            <v>1.05</v>
          </cell>
        </row>
        <row r="1089">
          <cell r="A1089">
            <v>159</v>
          </cell>
          <cell r="B1089" t="str">
            <v>FG</v>
          </cell>
          <cell r="C1089" t="str">
            <v>NM</v>
          </cell>
          <cell r="D1089" t="str">
            <v>DFA-C18/22</v>
          </cell>
          <cell r="F1089">
            <v>280.60000000000002</v>
          </cell>
          <cell r="G1089">
            <v>0</v>
          </cell>
          <cell r="H1089">
            <v>48.750000000000007</v>
          </cell>
          <cell r="I1089">
            <v>547.16499999999996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203.45</v>
          </cell>
          <cell r="P1089">
            <v>0</v>
          </cell>
          <cell r="Q1089">
            <v>7.0500000000000034</v>
          </cell>
          <cell r="R1089">
            <v>648.16499999999996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210.39999999999998</v>
          </cell>
          <cell r="Y1089">
            <v>0</v>
          </cell>
          <cell r="Z1089">
            <v>6.9500000000000037</v>
          </cell>
          <cell r="AA1089">
            <v>608.36500000000001</v>
          </cell>
          <cell r="AB1089">
            <v>0</v>
          </cell>
          <cell r="AC1089">
            <v>0</v>
          </cell>
          <cell r="AD1089">
            <v>0</v>
          </cell>
          <cell r="AE1089">
            <v>0</v>
          </cell>
          <cell r="AF1089">
            <v>0</v>
          </cell>
          <cell r="AG1089">
            <v>119.1</v>
          </cell>
          <cell r="AH1089">
            <v>0</v>
          </cell>
          <cell r="AI1089">
            <v>6.95</v>
          </cell>
          <cell r="AJ1089">
            <v>668.31499999999994</v>
          </cell>
          <cell r="AK1089">
            <v>0</v>
          </cell>
          <cell r="AL1089">
            <v>0</v>
          </cell>
          <cell r="AM1089">
            <v>0</v>
          </cell>
          <cell r="AN1089">
            <v>0</v>
          </cell>
          <cell r="AO1089">
            <v>0</v>
          </cell>
          <cell r="AP1089">
            <v>218.25</v>
          </cell>
          <cell r="AQ1089">
            <v>0</v>
          </cell>
          <cell r="AR1089">
            <v>6.9500000000000037</v>
          </cell>
          <cell r="AS1089">
            <v>850.91500000000008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233.25</v>
          </cell>
          <cell r="AZ1089">
            <v>0</v>
          </cell>
          <cell r="BA1089">
            <v>6.9500000000000037</v>
          </cell>
          <cell r="BB1089">
            <v>750.41500000000008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</row>
        <row r="1090">
          <cell r="A1090">
            <v>160</v>
          </cell>
          <cell r="B1090" t="str">
            <v>FG</v>
          </cell>
          <cell r="C1090" t="str">
            <v>NM</v>
          </cell>
          <cell r="D1090" t="str">
            <v>C10 Alc (14 * 170 kgs)</v>
          </cell>
        </row>
        <row r="1091">
          <cell r="A1091">
            <v>241</v>
          </cell>
          <cell r="B1091" t="str">
            <v>FG</v>
          </cell>
          <cell r="C1091" t="str">
            <v>NM</v>
          </cell>
          <cell r="D1091" t="str">
            <v>C12</v>
          </cell>
        </row>
        <row r="1092">
          <cell r="A1092">
            <v>244</v>
          </cell>
          <cell r="B1092" t="str">
            <v>FG</v>
          </cell>
          <cell r="C1092" t="str">
            <v>NM</v>
          </cell>
          <cell r="D1092" t="str">
            <v>STEARIC-90</v>
          </cell>
          <cell r="E1092" t="str">
            <v>STEARIC-90</v>
          </cell>
          <cell r="F1092">
            <v>79.599999999999994</v>
          </cell>
          <cell r="H1092">
            <v>650.04999999999995</v>
          </cell>
          <cell r="I1092">
            <v>1110.8599999999999</v>
          </cell>
          <cell r="O1092">
            <v>79.599999999999994</v>
          </cell>
          <cell r="Q1092">
            <v>806.23</v>
          </cell>
          <cell r="R1092">
            <v>968.38</v>
          </cell>
          <cell r="V1092">
            <v>69.489999999999995</v>
          </cell>
          <cell r="X1092">
            <v>79.599999999999994</v>
          </cell>
          <cell r="Z1092">
            <v>1001.87</v>
          </cell>
          <cell r="AA1092">
            <v>2262.61</v>
          </cell>
          <cell r="AG1092">
            <v>79.599999999999994</v>
          </cell>
          <cell r="AI1092">
            <v>1001.87</v>
          </cell>
          <cell r="AJ1092">
            <v>1801.14</v>
          </cell>
          <cell r="AP1092">
            <v>79.599999999999994</v>
          </cell>
          <cell r="AS1092">
            <v>1126.8900000000001</v>
          </cell>
          <cell r="AY1092">
            <v>79.599999999999994</v>
          </cell>
          <cell r="BB1092">
            <v>862.51</v>
          </cell>
          <cell r="BH1092">
            <v>79.599999999999994</v>
          </cell>
          <cell r="BQ1092">
            <v>79.599999999999994</v>
          </cell>
          <cell r="BZ1092">
            <v>79.599999999999994</v>
          </cell>
          <cell r="CI1092">
            <v>79.599999999999994</v>
          </cell>
          <cell r="CR1092">
            <v>79.599999999999994</v>
          </cell>
          <cell r="DA1092">
            <v>79.599999999999994</v>
          </cell>
        </row>
        <row r="1093">
          <cell r="A1093">
            <v>246</v>
          </cell>
          <cell r="B1093" t="str">
            <v>FG</v>
          </cell>
          <cell r="C1093" t="str">
            <v>NM</v>
          </cell>
          <cell r="D1093" t="str">
            <v>HPS 25 KGS</v>
          </cell>
          <cell r="I1093">
            <v>832.16100000000006</v>
          </cell>
          <cell r="R1093">
            <v>1026.82</v>
          </cell>
          <cell r="V1093">
            <v>33.68</v>
          </cell>
          <cell r="Z1093">
            <v>506.39</v>
          </cell>
          <cell r="AA1093">
            <v>747.88</v>
          </cell>
          <cell r="AI1093">
            <v>506.39</v>
          </cell>
          <cell r="AJ1093">
            <v>1392</v>
          </cell>
          <cell r="AS1093">
            <v>1121.76</v>
          </cell>
          <cell r="BB1093">
            <v>776.04</v>
          </cell>
        </row>
        <row r="1094">
          <cell r="A1094">
            <v>163</v>
          </cell>
          <cell r="B1094" t="str">
            <v>FG</v>
          </cell>
          <cell r="C1094" t="str">
            <v>FM</v>
          </cell>
          <cell r="D1094" t="str">
            <v>VEGROL 1218</v>
          </cell>
          <cell r="F1094">
            <v>280.60000000000002</v>
          </cell>
          <cell r="G1094">
            <v>0</v>
          </cell>
          <cell r="H1094">
            <v>48.750000000000007</v>
          </cell>
          <cell r="I1094">
            <v>547.16499999999996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203.45</v>
          </cell>
          <cell r="P1094">
            <v>0</v>
          </cell>
          <cell r="Q1094">
            <v>7.0500000000000034</v>
          </cell>
          <cell r="R1094">
            <v>648.16499999999996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210.39999999999998</v>
          </cell>
          <cell r="Y1094">
            <v>0</v>
          </cell>
          <cell r="Z1094">
            <v>6.9500000000000037</v>
          </cell>
          <cell r="AA1094">
            <v>608.36500000000001</v>
          </cell>
          <cell r="AB1094">
            <v>0</v>
          </cell>
          <cell r="AC1094">
            <v>0</v>
          </cell>
          <cell r="AD1094">
            <v>0</v>
          </cell>
          <cell r="AE1094">
            <v>0</v>
          </cell>
          <cell r="AF1094">
            <v>0</v>
          </cell>
          <cell r="AG1094">
            <v>119.1</v>
          </cell>
          <cell r="AH1094">
            <v>0</v>
          </cell>
          <cell r="AI1094">
            <v>6.95</v>
          </cell>
          <cell r="AJ1094">
            <v>668.31499999999994</v>
          </cell>
          <cell r="AK1094">
            <v>0</v>
          </cell>
          <cell r="AL1094">
            <v>0</v>
          </cell>
          <cell r="AM1094">
            <v>0</v>
          </cell>
          <cell r="AN1094">
            <v>0</v>
          </cell>
          <cell r="AO1094">
            <v>0</v>
          </cell>
          <cell r="AP1094">
            <v>218.25</v>
          </cell>
          <cell r="AQ1094">
            <v>0</v>
          </cell>
          <cell r="AR1094">
            <v>6.9500000000000037</v>
          </cell>
          <cell r="AS1094">
            <v>850.91500000000008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233.25</v>
          </cell>
          <cell r="AZ1094">
            <v>0</v>
          </cell>
          <cell r="BA1094">
            <v>6.9500000000000037</v>
          </cell>
          <cell r="BB1094">
            <v>750.41500000000008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207.25</v>
          </cell>
          <cell r="BI1094">
            <v>0</v>
          </cell>
          <cell r="BJ1094">
            <v>7.150000000000003</v>
          </cell>
          <cell r="BK1094">
            <v>530.995</v>
          </cell>
          <cell r="BL1094">
            <v>0</v>
          </cell>
          <cell r="BM1094">
            <v>0</v>
          </cell>
          <cell r="BN1094">
            <v>0</v>
          </cell>
          <cell r="BO1094">
            <v>0</v>
          </cell>
          <cell r="BP1094">
            <v>0</v>
          </cell>
          <cell r="BQ1094">
            <v>321.85000000000002</v>
          </cell>
          <cell r="BR1094">
            <v>0</v>
          </cell>
          <cell r="BS1094">
            <v>6.2499999999999991</v>
          </cell>
          <cell r="BT1094">
            <v>550.92999999999995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283.5</v>
          </cell>
          <cell r="CA1094">
            <v>0</v>
          </cell>
          <cell r="CB1094">
            <v>6.2499999999999991</v>
          </cell>
          <cell r="CC1094">
            <v>776.88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205.6</v>
          </cell>
          <cell r="CJ1094">
            <v>0</v>
          </cell>
          <cell r="CK1094">
            <v>6.2499999999999991</v>
          </cell>
          <cell r="CL1094">
            <v>834.33</v>
          </cell>
          <cell r="CM1094">
            <v>0</v>
          </cell>
          <cell r="CN1094">
            <v>0</v>
          </cell>
          <cell r="CO1094">
            <v>0</v>
          </cell>
          <cell r="CP1094">
            <v>0</v>
          </cell>
          <cell r="CQ1094">
            <v>0</v>
          </cell>
          <cell r="CR1094">
            <v>205.6</v>
          </cell>
          <cell r="CS1094">
            <v>0</v>
          </cell>
          <cell r="CT1094">
            <v>6.2499999999999991</v>
          </cell>
          <cell r="CU1094">
            <v>589.78</v>
          </cell>
          <cell r="CV1094">
            <v>0</v>
          </cell>
          <cell r="CW1094">
            <v>0</v>
          </cell>
          <cell r="CX1094">
            <v>0</v>
          </cell>
          <cell r="CY1094">
            <v>0</v>
          </cell>
          <cell r="CZ1094">
            <v>0</v>
          </cell>
          <cell r="DA1094">
            <v>171.6</v>
          </cell>
          <cell r="DB1094">
            <v>0</v>
          </cell>
          <cell r="DC1094">
            <v>6.2499999999999991</v>
          </cell>
          <cell r="DD1094">
            <v>555.505</v>
          </cell>
          <cell r="DE1094">
            <v>0</v>
          </cell>
          <cell r="DF1094">
            <v>0</v>
          </cell>
          <cell r="DG1094">
            <v>0</v>
          </cell>
          <cell r="DH1094">
            <v>0</v>
          </cell>
          <cell r="DI1094">
            <v>0</v>
          </cell>
          <cell r="DJ1094">
            <v>0</v>
          </cell>
          <cell r="DK1094">
            <v>0</v>
          </cell>
          <cell r="DL1094">
            <v>6.2499999999999991</v>
          </cell>
          <cell r="DM1094">
            <v>1177.0050000000001</v>
          </cell>
          <cell r="DN1094">
            <v>0</v>
          </cell>
          <cell r="DO1094">
            <v>0</v>
          </cell>
          <cell r="DP1094">
            <v>0</v>
          </cell>
          <cell r="DQ1094">
            <v>0</v>
          </cell>
          <cell r="DR1094">
            <v>0</v>
          </cell>
        </row>
        <row r="1095">
          <cell r="A1095" t="str">
            <v>FATTY ALCOHOLS</v>
          </cell>
          <cell r="B1095" t="str">
            <v>FG</v>
          </cell>
          <cell r="C1095" t="str">
            <v>FM</v>
          </cell>
          <cell r="D1095" t="str">
            <v>VEGROL C1618TA</v>
          </cell>
          <cell r="I1095">
            <v>493.8</v>
          </cell>
          <cell r="R1095">
            <v>362.39</v>
          </cell>
          <cell r="Z1095">
            <v>299.77999999999997</v>
          </cell>
          <cell r="AI1095">
            <v>299.77999999999997</v>
          </cell>
          <cell r="AS1095">
            <v>572.87584000000004</v>
          </cell>
          <cell r="BB1095">
            <v>572.88</v>
          </cell>
        </row>
        <row r="1096">
          <cell r="A1096">
            <v>256</v>
          </cell>
          <cell r="B1096" t="str">
            <v>FG</v>
          </cell>
          <cell r="C1096" t="str">
            <v>FM</v>
          </cell>
          <cell r="D1096" t="str">
            <v>VEGROL10</v>
          </cell>
          <cell r="I1096">
            <v>183.31745599999999</v>
          </cell>
          <cell r="R1096">
            <v>153.28275199999999</v>
          </cell>
          <cell r="AA1096">
            <v>90</v>
          </cell>
          <cell r="AJ1096">
            <v>77</v>
          </cell>
          <cell r="AS1096">
            <v>506.73</v>
          </cell>
          <cell r="BB1096">
            <v>490.29646400000007</v>
          </cell>
        </row>
        <row r="1097">
          <cell r="A1097">
            <v>161</v>
          </cell>
          <cell r="B1097" t="str">
            <v>FG</v>
          </cell>
          <cell r="C1097" t="str">
            <v>FM</v>
          </cell>
          <cell r="D1097" t="str">
            <v>VEGROL1214</v>
          </cell>
          <cell r="H1097">
            <v>650.04999999999995</v>
          </cell>
          <cell r="I1097">
            <v>1110.8599999999999</v>
          </cell>
          <cell r="Q1097">
            <v>806.23</v>
          </cell>
          <cell r="R1097">
            <v>968.38</v>
          </cell>
          <cell r="V1097">
            <v>69.489999999999995</v>
          </cell>
          <cell r="Z1097">
            <v>1001.87</v>
          </cell>
          <cell r="AA1097">
            <v>2262.61</v>
          </cell>
          <cell r="AI1097">
            <v>1001.87</v>
          </cell>
          <cell r="AJ1097">
            <v>1801.14</v>
          </cell>
          <cell r="AS1097">
            <v>1126.8900000000001</v>
          </cell>
          <cell r="BB1097">
            <v>862.51</v>
          </cell>
          <cell r="BJ1097">
            <v>14.87</v>
          </cell>
          <cell r="BK1097">
            <v>1069</v>
          </cell>
          <cell r="BS1097">
            <v>1003.56</v>
          </cell>
          <cell r="BT1097">
            <v>1700.71</v>
          </cell>
          <cell r="CB1097">
            <v>101.29</v>
          </cell>
          <cell r="CC1097">
            <v>2116.69</v>
          </cell>
          <cell r="CK1097">
            <v>631.65</v>
          </cell>
          <cell r="CL1097">
            <v>940.58</v>
          </cell>
          <cell r="CT1097">
            <v>631.65</v>
          </cell>
          <cell r="CU1097">
            <v>2123.19</v>
          </cell>
          <cell r="DC1097">
            <v>631.65</v>
          </cell>
          <cell r="DD1097">
            <v>2490.27</v>
          </cell>
          <cell r="DL1097">
            <v>631.65</v>
          </cell>
          <cell r="DM1097">
            <v>1250.96</v>
          </cell>
        </row>
        <row r="1098">
          <cell r="A1098">
            <v>162</v>
          </cell>
          <cell r="B1098" t="str">
            <v>FG</v>
          </cell>
          <cell r="C1098" t="str">
            <v>FM</v>
          </cell>
          <cell r="D1098" t="str">
            <v>VEGROL1216</v>
          </cell>
          <cell r="I1098">
            <v>832.16100000000006</v>
          </cell>
          <cell r="R1098">
            <v>1026.82</v>
          </cell>
          <cell r="V1098">
            <v>33.68</v>
          </cell>
          <cell r="Z1098">
            <v>506.39</v>
          </cell>
          <cell r="AA1098">
            <v>747.88</v>
          </cell>
          <cell r="AI1098">
            <v>506.39</v>
          </cell>
          <cell r="AJ1098">
            <v>1392</v>
          </cell>
          <cell r="AS1098">
            <v>1121.76</v>
          </cell>
          <cell r="BB1098">
            <v>776.04</v>
          </cell>
          <cell r="BK1098">
            <v>559</v>
          </cell>
          <cell r="BT1098">
            <v>899.57</v>
          </cell>
          <cell r="CB1098">
            <v>428.57</v>
          </cell>
          <cell r="CC1098">
            <v>286.38</v>
          </cell>
          <cell r="CK1098">
            <v>873.69</v>
          </cell>
          <cell r="CL1098">
            <v>26.12</v>
          </cell>
          <cell r="CT1098">
            <v>1002.83</v>
          </cell>
          <cell r="DC1098">
            <v>1002.83</v>
          </cell>
          <cell r="DD1098">
            <v>0</v>
          </cell>
          <cell r="DL1098">
            <v>1002.83</v>
          </cell>
          <cell r="DM1098">
            <v>677.77</v>
          </cell>
        </row>
        <row r="1099">
          <cell r="A1099">
            <v>163</v>
          </cell>
          <cell r="B1099" t="str">
            <v>FG</v>
          </cell>
          <cell r="C1099" t="str">
            <v>FM</v>
          </cell>
          <cell r="D1099" t="str">
            <v>VEGROL 1218</v>
          </cell>
          <cell r="I1099">
            <v>871.62</v>
          </cell>
          <cell r="R1099">
            <v>876.08</v>
          </cell>
          <cell r="AA1099">
            <v>856.49</v>
          </cell>
          <cell r="AJ1099">
            <v>693.79</v>
          </cell>
          <cell r="AS1099">
            <v>805.19</v>
          </cell>
          <cell r="BB1099">
            <v>789.34</v>
          </cell>
          <cell r="BK1099">
            <v>644</v>
          </cell>
          <cell r="BT1099">
            <v>640.49</v>
          </cell>
          <cell r="CC1099">
            <v>655.44</v>
          </cell>
          <cell r="CL1099">
            <v>691.3</v>
          </cell>
          <cell r="CU1099">
            <v>753</v>
          </cell>
          <cell r="DD1099">
            <v>758.18</v>
          </cell>
          <cell r="DM1099">
            <v>690.76</v>
          </cell>
        </row>
        <row r="1100">
          <cell r="A1100">
            <v>164</v>
          </cell>
          <cell r="B1100" t="str">
            <v>FG</v>
          </cell>
          <cell r="C1100" t="str">
            <v>FM</v>
          </cell>
          <cell r="D1100" t="str">
            <v>VEGROL C1618TA</v>
          </cell>
          <cell r="I1100">
            <v>493.8</v>
          </cell>
          <cell r="R1100">
            <v>362.39</v>
          </cell>
          <cell r="Z1100">
            <v>299.77999999999997</v>
          </cell>
          <cell r="AI1100">
            <v>299.77999999999997</v>
          </cell>
          <cell r="AS1100">
            <v>572.87584000000004</v>
          </cell>
          <cell r="BB1100">
            <v>572.88</v>
          </cell>
          <cell r="BK1100">
            <v>401.2</v>
          </cell>
          <cell r="BT1100">
            <v>27.53</v>
          </cell>
          <cell r="CL1100">
            <v>882.08</v>
          </cell>
          <cell r="CU1100">
            <v>768.99</v>
          </cell>
          <cell r="DD1100">
            <v>646.22</v>
          </cell>
          <cell r="DM1100">
            <v>473.82</v>
          </cell>
        </row>
        <row r="1101">
          <cell r="A1101">
            <v>165</v>
          </cell>
          <cell r="B1101" t="str">
            <v>FG</v>
          </cell>
          <cell r="C1101" t="str">
            <v>FM</v>
          </cell>
          <cell r="D1101" t="str">
            <v>VEGROL C1618(50:50)</v>
          </cell>
          <cell r="I1101">
            <v>183.31745599999999</v>
          </cell>
          <cell r="R1101">
            <v>153.28275199999999</v>
          </cell>
          <cell r="AA1101">
            <v>90</v>
          </cell>
          <cell r="AJ1101">
            <v>77</v>
          </cell>
          <cell r="AS1101">
            <v>506.73</v>
          </cell>
          <cell r="BB1101">
            <v>490.29646400000007</v>
          </cell>
          <cell r="BK1101">
            <v>438</v>
          </cell>
          <cell r="BT1101">
            <v>375.37416000000002</v>
          </cell>
          <cell r="CC1101">
            <v>316.99852800000002</v>
          </cell>
          <cell r="CL1101">
            <v>277.32600000000002</v>
          </cell>
          <cell r="CU1101">
            <v>257.23129600000004</v>
          </cell>
          <cell r="DD1101">
            <v>257.20744000000002</v>
          </cell>
          <cell r="DM1101">
            <v>140.26532799999998</v>
          </cell>
        </row>
        <row r="1102">
          <cell r="A1102">
            <v>166</v>
          </cell>
          <cell r="B1102" t="str">
            <v>FG</v>
          </cell>
          <cell r="C1102" t="str">
            <v>FM</v>
          </cell>
          <cell r="D1102" t="str">
            <v>VEGROL C1618PS</v>
          </cell>
        </row>
        <row r="1103">
          <cell r="A1103">
            <v>167</v>
          </cell>
          <cell r="B1103" t="str">
            <v>FG</v>
          </cell>
          <cell r="C1103" t="str">
            <v>FM</v>
          </cell>
          <cell r="D1103" t="str">
            <v>VEGROL C1698</v>
          </cell>
          <cell r="I1103">
            <v>290.23</v>
          </cell>
          <cell r="R1103">
            <v>561.98</v>
          </cell>
          <cell r="AA1103">
            <v>504.05</v>
          </cell>
          <cell r="AJ1103">
            <v>288.8</v>
          </cell>
          <cell r="AS1103">
            <v>195.93850000000003</v>
          </cell>
          <cell r="BB1103">
            <v>125.82745</v>
          </cell>
          <cell r="BK1103">
            <v>125</v>
          </cell>
          <cell r="BT1103">
            <v>124.90525000000002</v>
          </cell>
          <cell r="CC1103">
            <v>550.17999999999995</v>
          </cell>
          <cell r="CL1103">
            <v>684.69</v>
          </cell>
          <cell r="CU1103">
            <v>676.99</v>
          </cell>
          <cell r="DD1103">
            <v>677.7</v>
          </cell>
          <cell r="DM1103">
            <v>585.71</v>
          </cell>
        </row>
        <row r="1104">
          <cell r="A1104">
            <v>168</v>
          </cell>
          <cell r="B1104" t="str">
            <v>FG</v>
          </cell>
          <cell r="C1104" t="str">
            <v>FM</v>
          </cell>
          <cell r="D1104" t="str">
            <v>VEGROL C1895</v>
          </cell>
        </row>
        <row r="1105">
          <cell r="A1105">
            <v>169</v>
          </cell>
          <cell r="B1105" t="str">
            <v>FG</v>
          </cell>
          <cell r="C1105" t="str">
            <v>FM</v>
          </cell>
          <cell r="D1105" t="str">
            <v>VEGROL C1898</v>
          </cell>
          <cell r="I1105">
            <v>144.49900000000002</v>
          </cell>
          <cell r="R1105">
            <v>154.38190000000003</v>
          </cell>
          <cell r="AA1105">
            <v>47</v>
          </cell>
          <cell r="AJ1105">
            <v>2</v>
          </cell>
          <cell r="AS1105">
            <v>1.9355999999999938</v>
          </cell>
          <cell r="BB1105">
            <v>296.87170000000003</v>
          </cell>
          <cell r="BK1105">
            <v>525</v>
          </cell>
          <cell r="BT1105">
            <v>334.9</v>
          </cell>
          <cell r="CC1105">
            <v>337.22</v>
          </cell>
          <cell r="CL1105">
            <v>216.47</v>
          </cell>
          <cell r="CU1105">
            <v>216.11</v>
          </cell>
          <cell r="DD1105">
            <v>216.06</v>
          </cell>
          <cell r="DM1105">
            <v>208.31</v>
          </cell>
        </row>
        <row r="1106">
          <cell r="A1106">
            <v>170</v>
          </cell>
          <cell r="B1106" t="str">
            <v>FG</v>
          </cell>
          <cell r="C1106" t="str">
            <v>FM</v>
          </cell>
          <cell r="D1106" t="str">
            <v>VEGROL C1822 (seed alc)</v>
          </cell>
          <cell r="F1106">
            <v>0</v>
          </cell>
          <cell r="G1106">
            <v>0</v>
          </cell>
          <cell r="H1106">
            <v>650.04999999999995</v>
          </cell>
          <cell r="I1106">
            <v>3980.0494560000006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806.23</v>
          </cell>
          <cell r="R1106">
            <v>4179.3442519999999</v>
          </cell>
          <cell r="S1106">
            <v>0</v>
          </cell>
          <cell r="T1106">
            <v>0</v>
          </cell>
          <cell r="U1106">
            <v>0</v>
          </cell>
          <cell r="V1106">
            <v>103.16999999999999</v>
          </cell>
          <cell r="W1106">
            <v>0</v>
          </cell>
          <cell r="X1106">
            <v>0</v>
          </cell>
          <cell r="Y1106">
            <v>0</v>
          </cell>
          <cell r="Z1106">
            <v>1808.04</v>
          </cell>
          <cell r="AA1106">
            <v>4508.0300000000007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1808.04</v>
          </cell>
          <cell r="AJ1106">
            <v>4254.7300000000005</v>
          </cell>
          <cell r="AK1106">
            <v>0</v>
          </cell>
          <cell r="AL1106">
            <v>0</v>
          </cell>
          <cell r="AM1106">
            <v>0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4331.3199400000003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3915.7012140000002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K1106">
            <v>30</v>
          </cell>
        </row>
        <row r="1107">
          <cell r="A1107">
            <v>171</v>
          </cell>
          <cell r="B1107" t="str">
            <v>FG</v>
          </cell>
          <cell r="C1107" t="str">
            <v>SM</v>
          </cell>
          <cell r="D1107" t="str">
            <v>VEGROL C20:2250:50</v>
          </cell>
        </row>
        <row r="1108">
          <cell r="A1108">
            <v>172</v>
          </cell>
          <cell r="B1108" t="str">
            <v>FG</v>
          </cell>
          <cell r="C1108" t="str">
            <v>SM</v>
          </cell>
          <cell r="D1108" t="str">
            <v>VEGROL C2280</v>
          </cell>
          <cell r="I1108">
            <v>53.561999999999998</v>
          </cell>
          <cell r="R1108">
            <v>76.029600000000002</v>
          </cell>
          <cell r="AA1108">
            <v>151.26300000000001</v>
          </cell>
          <cell r="AJ1108">
            <v>110.46299999999999</v>
          </cell>
          <cell r="AS1108">
            <v>116.663</v>
          </cell>
          <cell r="BB1108">
            <v>112.663</v>
          </cell>
          <cell r="DM1108">
            <v>401.84140000000002</v>
          </cell>
        </row>
        <row r="1109">
          <cell r="A1109">
            <v>173</v>
          </cell>
          <cell r="B1109" t="str">
            <v>FG</v>
          </cell>
          <cell r="C1109" t="str">
            <v>SM</v>
          </cell>
          <cell r="D1109" t="str">
            <v>VEGROL1216 CONCENTRATED</v>
          </cell>
          <cell r="I1109">
            <v>25.574999999999999</v>
          </cell>
          <cell r="R1109">
            <v>51.575000000000003</v>
          </cell>
          <cell r="AA1109">
            <v>59.975000000000001</v>
          </cell>
          <cell r="AJ1109">
            <v>42</v>
          </cell>
          <cell r="AS1109">
            <v>70.323999999999998</v>
          </cell>
          <cell r="BB1109">
            <v>88.119</v>
          </cell>
          <cell r="CC1109">
            <v>25</v>
          </cell>
        </row>
        <row r="1110">
          <cell r="A1110">
            <v>250</v>
          </cell>
          <cell r="B1110" t="str">
            <v>FG</v>
          </cell>
          <cell r="C1110" t="str">
            <v>SM</v>
          </cell>
          <cell r="D1110" t="str">
            <v>VEGROL C2270</v>
          </cell>
          <cell r="I1110">
            <v>144.49900000000002</v>
          </cell>
          <cell r="R1110">
            <v>154.38190000000003</v>
          </cell>
          <cell r="AA1110">
            <v>47</v>
          </cell>
          <cell r="AJ1110">
            <v>2</v>
          </cell>
          <cell r="AS1110">
            <v>1.9355999999999938</v>
          </cell>
          <cell r="BB1110">
            <v>1.9355999999999938</v>
          </cell>
          <cell r="DM1110">
            <v>99.066100000000006</v>
          </cell>
        </row>
        <row r="1111">
          <cell r="A1111">
            <v>177</v>
          </cell>
          <cell r="B1111" t="str">
            <v>FG</v>
          </cell>
          <cell r="C1111" t="str">
            <v>FM</v>
          </cell>
          <cell r="D1111" t="str">
            <v>VEGROL C1698</v>
          </cell>
          <cell r="F1111">
            <v>0</v>
          </cell>
          <cell r="G1111">
            <v>0</v>
          </cell>
          <cell r="H1111">
            <v>650.04999999999995</v>
          </cell>
          <cell r="I1111">
            <v>3980.0494560000006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806.23</v>
          </cell>
          <cell r="R1111">
            <v>4179.3442519999999</v>
          </cell>
          <cell r="S1111">
            <v>0</v>
          </cell>
          <cell r="T1111">
            <v>0</v>
          </cell>
          <cell r="U1111">
            <v>0</v>
          </cell>
          <cell r="V1111">
            <v>103.16999999999999</v>
          </cell>
          <cell r="W1111">
            <v>0</v>
          </cell>
          <cell r="X1111">
            <v>0</v>
          </cell>
          <cell r="Y1111">
            <v>0</v>
          </cell>
          <cell r="Z1111">
            <v>1808.04</v>
          </cell>
          <cell r="AA1111">
            <v>4508.0300000000007</v>
          </cell>
          <cell r="AB1111">
            <v>0</v>
          </cell>
          <cell r="AC1111">
            <v>0</v>
          </cell>
          <cell r="AD1111">
            <v>0</v>
          </cell>
          <cell r="AE1111">
            <v>0</v>
          </cell>
          <cell r="AF1111">
            <v>0</v>
          </cell>
          <cell r="AG1111">
            <v>0</v>
          </cell>
          <cell r="AH1111">
            <v>0</v>
          </cell>
          <cell r="AI1111">
            <v>1808.04</v>
          </cell>
          <cell r="AJ1111">
            <v>4254.7300000000005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0</v>
          </cell>
          <cell r="AS1111">
            <v>4331.3199400000003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3915.7012140000002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14.87</v>
          </cell>
          <cell r="BK1111">
            <v>3791.2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1003.56</v>
          </cell>
          <cell r="BT1111">
            <v>4103.4794099999999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0</v>
          </cell>
          <cell r="CB1111">
            <v>529.86</v>
          </cell>
          <cell r="CC1111">
            <v>4287.9085279999999</v>
          </cell>
          <cell r="CD1111">
            <v>0</v>
          </cell>
          <cell r="CE1111">
            <v>0</v>
          </cell>
          <cell r="CF1111">
            <v>0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1505.3400000000001</v>
          </cell>
          <cell r="CL1111">
            <v>3718.5659999999998</v>
          </cell>
          <cell r="CM1111">
            <v>0</v>
          </cell>
          <cell r="CN1111">
            <v>0</v>
          </cell>
          <cell r="CO1111">
            <v>0</v>
          </cell>
          <cell r="CP1111">
            <v>0</v>
          </cell>
          <cell r="CQ1111">
            <v>0</v>
          </cell>
          <cell r="CR1111">
            <v>0</v>
          </cell>
          <cell r="CS1111">
            <v>0</v>
          </cell>
          <cell r="CT1111">
            <v>1634.48</v>
          </cell>
          <cell r="CU1111">
            <v>4795.5112959999997</v>
          </cell>
          <cell r="CV1111">
            <v>0</v>
          </cell>
          <cell r="CW1111">
            <v>0</v>
          </cell>
          <cell r="CX1111">
            <v>0</v>
          </cell>
          <cell r="CY1111">
            <v>0</v>
          </cell>
          <cell r="CZ1111">
            <v>0</v>
          </cell>
          <cell r="DA1111">
            <v>0</v>
          </cell>
          <cell r="DB1111">
            <v>0</v>
          </cell>
          <cell r="DC1111">
            <v>1634.48</v>
          </cell>
          <cell r="DD1111">
            <v>5045.6374400000004</v>
          </cell>
          <cell r="DE1111">
            <v>0</v>
          </cell>
          <cell r="DF1111">
            <v>0</v>
          </cell>
          <cell r="DG1111">
            <v>0</v>
          </cell>
          <cell r="DH1111">
            <v>0</v>
          </cell>
          <cell r="DI1111">
            <v>0</v>
          </cell>
          <cell r="DJ1111">
            <v>0</v>
          </cell>
          <cell r="DK1111">
            <v>0</v>
          </cell>
          <cell r="DL1111">
            <v>1634.48</v>
          </cell>
          <cell r="DM1111">
            <v>4528.5028279999997</v>
          </cell>
          <cell r="DN1111">
            <v>0</v>
          </cell>
          <cell r="DO1111">
            <v>0</v>
          </cell>
          <cell r="DP1111">
            <v>0</v>
          </cell>
          <cell r="DQ1111">
            <v>0</v>
          </cell>
          <cell r="DR1111">
            <v>0</v>
          </cell>
        </row>
        <row r="1112">
          <cell r="A1112" t="str">
            <v>PASTILLES</v>
          </cell>
          <cell r="B1112" t="str">
            <v>FG</v>
          </cell>
          <cell r="C1112" t="str">
            <v>FM</v>
          </cell>
          <cell r="D1112" t="str">
            <v>VEGROL C1895</v>
          </cell>
        </row>
        <row r="1113">
          <cell r="A1113">
            <v>174</v>
          </cell>
          <cell r="B1113" t="str">
            <v>FG</v>
          </cell>
          <cell r="C1113" t="str">
            <v>FM</v>
          </cell>
          <cell r="D1113" t="str">
            <v>VEGROL C1618TA</v>
          </cell>
          <cell r="I1113">
            <v>104.038</v>
          </cell>
          <cell r="R1113">
            <v>230.63800000000001</v>
          </cell>
          <cell r="AA1113">
            <v>151.26300000000001</v>
          </cell>
          <cell r="AJ1113">
            <v>110.46299999999999</v>
          </cell>
          <cell r="AS1113">
            <v>116.663</v>
          </cell>
          <cell r="BB1113">
            <v>112.663</v>
          </cell>
          <cell r="BK1113">
            <v>167.988</v>
          </cell>
          <cell r="BT1113">
            <v>168.863</v>
          </cell>
          <cell r="CC1113">
            <v>138.863</v>
          </cell>
          <cell r="CL1113">
            <v>65.863</v>
          </cell>
          <cell r="CU1113">
            <v>184.91300000000001</v>
          </cell>
          <cell r="DD1113">
            <v>244.42699999999999</v>
          </cell>
          <cell r="DM1113">
            <v>132.48500000000001</v>
          </cell>
        </row>
        <row r="1114">
          <cell r="A1114">
            <v>175</v>
          </cell>
          <cell r="B1114" t="str">
            <v>FG</v>
          </cell>
          <cell r="C1114" t="str">
            <v>FM</v>
          </cell>
          <cell r="D1114" t="str">
            <v>VEGROL C1618(50:50)</v>
          </cell>
          <cell r="I1114">
            <v>25.574999999999999</v>
          </cell>
          <cell r="R1114">
            <v>51.575000000000003</v>
          </cell>
          <cell r="AA1114">
            <v>59.975000000000001</v>
          </cell>
          <cell r="AJ1114">
            <v>42</v>
          </cell>
          <cell r="AS1114">
            <v>70.323999999999998</v>
          </cell>
          <cell r="BB1114">
            <v>88.119</v>
          </cell>
          <cell r="BK1114">
            <v>106.926</v>
          </cell>
          <cell r="BT1114">
            <v>127.039</v>
          </cell>
          <cell r="CC1114">
            <v>176.239</v>
          </cell>
          <cell r="CL1114">
            <v>75.731999999999999</v>
          </cell>
          <cell r="CU1114">
            <v>85.807000000000002</v>
          </cell>
          <cell r="DD1114">
            <v>69.281999999999996</v>
          </cell>
          <cell r="DM1114">
            <v>131.63200000000001</v>
          </cell>
        </row>
        <row r="1115">
          <cell r="A1115">
            <v>176</v>
          </cell>
          <cell r="B1115" t="str">
            <v>FG</v>
          </cell>
          <cell r="C1115" t="str">
            <v>FM</v>
          </cell>
          <cell r="D1115" t="str">
            <v>VEGROL C1618PS</v>
          </cell>
          <cell r="I1115">
            <v>74.384</v>
          </cell>
          <cell r="R1115">
            <v>62.283999999999999</v>
          </cell>
          <cell r="AA1115">
            <v>105.28400000000001</v>
          </cell>
          <cell r="AJ1115">
            <v>135.553</v>
          </cell>
          <cell r="AS1115">
            <v>116.053</v>
          </cell>
          <cell r="BB1115">
            <v>114.753</v>
          </cell>
        </row>
        <row r="1116">
          <cell r="A1116">
            <v>177</v>
          </cell>
          <cell r="B1116" t="str">
            <v>FG</v>
          </cell>
          <cell r="C1116" t="str">
            <v>FM</v>
          </cell>
          <cell r="D1116" t="str">
            <v>VEGROL C1698</v>
          </cell>
          <cell r="I1116">
            <v>60.84</v>
          </cell>
          <cell r="R1116">
            <v>110.32</v>
          </cell>
          <cell r="AA1116">
            <v>126.84</v>
          </cell>
          <cell r="AJ1116">
            <v>263.7</v>
          </cell>
          <cell r="AS1116">
            <v>166.97</v>
          </cell>
          <cell r="BB1116">
            <v>234.47</v>
          </cell>
          <cell r="BK1116">
            <v>218.47</v>
          </cell>
          <cell r="BT1116">
            <v>160.27000000000001</v>
          </cell>
          <cell r="CC1116">
            <v>248.29</v>
          </cell>
          <cell r="CL1116">
            <v>168.13</v>
          </cell>
          <cell r="CU1116">
            <v>144.13</v>
          </cell>
          <cell r="DD1116">
            <v>130.13</v>
          </cell>
          <cell r="DM1116">
            <v>60.16</v>
          </cell>
        </row>
        <row r="1117">
          <cell r="A1117">
            <v>178</v>
          </cell>
          <cell r="B1117" t="str">
            <v>FG</v>
          </cell>
          <cell r="C1117" t="str">
            <v>FM</v>
          </cell>
          <cell r="D1117" t="str">
            <v>VEGROL C1895</v>
          </cell>
          <cell r="I1117">
            <v>207</v>
          </cell>
          <cell r="R1117">
            <v>207</v>
          </cell>
          <cell r="AA1117">
            <v>207</v>
          </cell>
          <cell r="AJ1117">
            <v>207</v>
          </cell>
          <cell r="AS1117">
            <v>207</v>
          </cell>
          <cell r="BB1117">
            <v>207</v>
          </cell>
        </row>
        <row r="1118">
          <cell r="A1118">
            <v>179</v>
          </cell>
          <cell r="B1118" t="str">
            <v>FG</v>
          </cell>
          <cell r="C1118" t="str">
            <v>FM</v>
          </cell>
          <cell r="D1118" t="str">
            <v>VEGROL C1898</v>
          </cell>
          <cell r="F1118">
            <v>0</v>
          </cell>
          <cell r="G1118">
            <v>0</v>
          </cell>
          <cell r="H1118">
            <v>0</v>
          </cell>
          <cell r="I1118">
            <v>29.4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7.7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4.7</v>
          </cell>
          <cell r="AB1118">
            <v>0</v>
          </cell>
          <cell r="AC1118">
            <v>0</v>
          </cell>
          <cell r="AD1118">
            <v>0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4.7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2.0499999999999998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30.13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K1118">
            <v>11.05</v>
          </cell>
          <cell r="BT1118">
            <v>116.83</v>
          </cell>
          <cell r="CC1118">
            <v>99.83</v>
          </cell>
          <cell r="CL1118">
            <v>217.81</v>
          </cell>
          <cell r="CU1118">
            <v>215.96</v>
          </cell>
          <cell r="DD1118">
            <v>188.31</v>
          </cell>
          <cell r="DM1118">
            <v>195.84</v>
          </cell>
        </row>
        <row r="1119">
          <cell r="A1119">
            <v>180</v>
          </cell>
          <cell r="B1119" t="str">
            <v>FG</v>
          </cell>
          <cell r="C1119" t="str">
            <v>FM</v>
          </cell>
          <cell r="D1119" t="str">
            <v>VEGROL C1822</v>
          </cell>
          <cell r="I1119">
            <v>7.8</v>
          </cell>
          <cell r="R1119">
            <v>7.8</v>
          </cell>
          <cell r="AA1119">
            <v>18.600000000000001</v>
          </cell>
          <cell r="AJ1119">
            <v>4.0999999999999996</v>
          </cell>
          <cell r="AS1119">
            <v>3.6</v>
          </cell>
          <cell r="BB1119">
            <v>3.6</v>
          </cell>
          <cell r="BK1119">
            <v>3.6</v>
          </cell>
          <cell r="BT1119">
            <v>5.125</v>
          </cell>
          <cell r="CC1119">
            <v>5.125</v>
          </cell>
          <cell r="CL1119">
            <v>5.125</v>
          </cell>
          <cell r="CU1119">
            <v>5.125</v>
          </cell>
          <cell r="DD1119">
            <v>0.82499999999999996</v>
          </cell>
          <cell r="DM1119">
            <v>0.82499999999999996</v>
          </cell>
        </row>
        <row r="1120">
          <cell r="A1120">
            <v>181</v>
          </cell>
          <cell r="B1120" t="str">
            <v>FG</v>
          </cell>
          <cell r="C1120" t="str">
            <v>FM</v>
          </cell>
          <cell r="D1120" t="str">
            <v>VEGROL C22</v>
          </cell>
          <cell r="I1120">
            <v>74.384</v>
          </cell>
          <cell r="R1120">
            <v>62.283999999999999</v>
          </cell>
          <cell r="AA1120">
            <v>105.28400000000001</v>
          </cell>
          <cell r="AJ1120">
            <v>135.553</v>
          </cell>
          <cell r="AS1120">
            <v>116.053</v>
          </cell>
          <cell r="BB1120">
            <v>114.753</v>
          </cell>
          <cell r="BK1120">
            <v>104.753</v>
          </cell>
          <cell r="BT1120">
            <v>81.608999999999995</v>
          </cell>
          <cell r="CC1120">
            <v>57.609000000000002</v>
          </cell>
          <cell r="CL1120">
            <v>43.109000000000002</v>
          </cell>
          <cell r="CU1120">
            <v>33.933999999999997</v>
          </cell>
          <cell r="DD1120">
            <v>28.434000000000001</v>
          </cell>
          <cell r="DM1120">
            <v>19.434000000000001</v>
          </cell>
        </row>
        <row r="1121">
          <cell r="A1121">
            <v>182</v>
          </cell>
          <cell r="B1121" t="str">
            <v>FG</v>
          </cell>
          <cell r="C1121" t="str">
            <v>FM</v>
          </cell>
          <cell r="D1121" t="str">
            <v>VEGROL C2280</v>
          </cell>
          <cell r="I1121">
            <v>17.25</v>
          </cell>
          <cell r="R1121">
            <v>17.25</v>
          </cell>
          <cell r="AA1121">
            <v>17.25</v>
          </cell>
          <cell r="AJ1121">
            <v>17.25</v>
          </cell>
          <cell r="AS1121">
            <v>17.25</v>
          </cell>
          <cell r="BB1121">
            <v>17.25</v>
          </cell>
          <cell r="BK1121">
            <v>17.25</v>
          </cell>
          <cell r="BT1121">
            <v>17.25</v>
          </cell>
          <cell r="CC1121">
            <v>17.25</v>
          </cell>
          <cell r="CL1121">
            <v>17.25</v>
          </cell>
          <cell r="CU1121">
            <v>17.25</v>
          </cell>
          <cell r="DD1121">
            <v>17.25</v>
          </cell>
          <cell r="DM1121">
            <v>17.25</v>
          </cell>
        </row>
        <row r="1122">
          <cell r="A1122">
            <v>183</v>
          </cell>
          <cell r="B1122" t="str">
            <v>FG</v>
          </cell>
          <cell r="C1122" t="str">
            <v>FM</v>
          </cell>
          <cell r="D1122" t="str">
            <v>OFF GRADE PASTILLES</v>
          </cell>
          <cell r="I1122">
            <v>207</v>
          </cell>
          <cell r="R1122">
            <v>207</v>
          </cell>
          <cell r="AA1122">
            <v>207</v>
          </cell>
          <cell r="AJ1122">
            <v>207</v>
          </cell>
          <cell r="AS1122">
            <v>207</v>
          </cell>
          <cell r="BB1122">
            <v>207</v>
          </cell>
          <cell r="BK1122">
            <v>265</v>
          </cell>
          <cell r="BT1122">
            <v>265</v>
          </cell>
          <cell r="CC1122">
            <v>265</v>
          </cell>
          <cell r="CL1122">
            <v>265</v>
          </cell>
          <cell r="CU1122">
            <v>265</v>
          </cell>
          <cell r="DD1122">
            <v>265</v>
          </cell>
          <cell r="DM1122">
            <v>270</v>
          </cell>
        </row>
        <row r="1123">
          <cell r="A1123">
            <v>262</v>
          </cell>
          <cell r="B1123" t="str">
            <v>FG</v>
          </cell>
          <cell r="C1123" t="str">
            <v>FM</v>
          </cell>
          <cell r="D1123" t="str">
            <v>STEARYL ALCOHOL</v>
          </cell>
          <cell r="I1123">
            <v>334.22256000000004</v>
          </cell>
          <cell r="R1123">
            <v>373.98256000000003</v>
          </cell>
          <cell r="AA1123">
            <v>1198.3</v>
          </cell>
          <cell r="AJ1123">
            <v>1218</v>
          </cell>
          <cell r="AS1123">
            <v>601.1</v>
          </cell>
          <cell r="BB1123">
            <v>1320.8</v>
          </cell>
          <cell r="DM1123">
            <v>192</v>
          </cell>
        </row>
        <row r="1124">
          <cell r="A1124">
            <v>188</v>
          </cell>
          <cell r="B1124" t="str">
            <v>IPRM</v>
          </cell>
          <cell r="C1124" t="str">
            <v>NM</v>
          </cell>
          <cell r="D1124" t="str">
            <v>ALCOHOL-L/E-2(C12C18)</v>
          </cell>
          <cell r="F1124">
            <v>0</v>
          </cell>
          <cell r="G1124">
            <v>0</v>
          </cell>
          <cell r="H1124">
            <v>0</v>
          </cell>
          <cell r="I1124">
            <v>526.28700000000003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694.56700000000001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690.91200000000003</v>
          </cell>
          <cell r="AB1124">
            <v>0</v>
          </cell>
          <cell r="AC1124">
            <v>0</v>
          </cell>
          <cell r="AD1124">
            <v>0</v>
          </cell>
          <cell r="AE1124">
            <v>0</v>
          </cell>
          <cell r="AF1124">
            <v>0</v>
          </cell>
          <cell r="AG1124">
            <v>0</v>
          </cell>
          <cell r="AH1124">
            <v>0</v>
          </cell>
          <cell r="AI1124">
            <v>0</v>
          </cell>
          <cell r="AJ1124">
            <v>784.76600000000008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0</v>
          </cell>
          <cell r="AS1124">
            <v>699.91000000000008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807.98500000000001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895.03700000000003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941.9860000000001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0</v>
          </cell>
          <cell r="CB1124">
            <v>0</v>
          </cell>
          <cell r="CC1124">
            <v>1008.206</v>
          </cell>
          <cell r="CD1124">
            <v>0</v>
          </cell>
          <cell r="CE1124">
            <v>0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858.01900000000012</v>
          </cell>
          <cell r="CM1124">
            <v>0</v>
          </cell>
          <cell r="CN1124">
            <v>0</v>
          </cell>
          <cell r="CO1124">
            <v>0</v>
          </cell>
          <cell r="CP1124">
            <v>0</v>
          </cell>
          <cell r="CQ1124">
            <v>0</v>
          </cell>
          <cell r="CR1124">
            <v>0</v>
          </cell>
          <cell r="CS1124">
            <v>0</v>
          </cell>
          <cell r="CT1124">
            <v>0</v>
          </cell>
          <cell r="CU1124">
            <v>952.11900000000003</v>
          </cell>
          <cell r="CV1124">
            <v>0</v>
          </cell>
          <cell r="CW1124">
            <v>0</v>
          </cell>
          <cell r="CX1124">
            <v>0</v>
          </cell>
          <cell r="CY1124">
            <v>0</v>
          </cell>
          <cell r="CZ1124">
            <v>0</v>
          </cell>
          <cell r="DA1124">
            <v>0</v>
          </cell>
          <cell r="DB1124">
            <v>0</v>
          </cell>
          <cell r="DC1124">
            <v>0</v>
          </cell>
          <cell r="DD1124">
            <v>943.65800000000002</v>
          </cell>
          <cell r="DE1124">
            <v>0</v>
          </cell>
          <cell r="DF1124">
            <v>0</v>
          </cell>
          <cell r="DG1124">
            <v>0</v>
          </cell>
          <cell r="DH1124">
            <v>0</v>
          </cell>
          <cell r="DI1124">
            <v>0</v>
          </cell>
          <cell r="DJ1124">
            <v>0</v>
          </cell>
          <cell r="DK1124">
            <v>0</v>
          </cell>
          <cell r="DL1124">
            <v>0</v>
          </cell>
          <cell r="DM1124">
            <v>1019.6260000000001</v>
          </cell>
          <cell r="DN1124">
            <v>0</v>
          </cell>
          <cell r="DO1124">
            <v>0</v>
          </cell>
          <cell r="DP1124">
            <v>0</v>
          </cell>
          <cell r="DQ1124">
            <v>0</v>
          </cell>
          <cell r="DR1124">
            <v>0</v>
          </cell>
        </row>
        <row r="1125">
          <cell r="A1125" t="str">
            <v xml:space="preserve">ALCOHOL-INTERMEDIATES </v>
          </cell>
          <cell r="B1125" t="str">
            <v>IPRM</v>
          </cell>
          <cell r="C1125" t="str">
            <v>NM</v>
          </cell>
          <cell r="D1125" t="str">
            <v>ALCOHOL-C16RICH</v>
          </cell>
        </row>
        <row r="1126">
          <cell r="A1126">
            <v>184</v>
          </cell>
          <cell r="B1126" t="str">
            <v>IPRM</v>
          </cell>
          <cell r="C1126" t="str">
            <v>NM</v>
          </cell>
          <cell r="D1126" t="str">
            <v>ALCOHOL-L/E-C-12 88%</v>
          </cell>
          <cell r="AJ1126">
            <v>35</v>
          </cell>
        </row>
        <row r="1127">
          <cell r="A1127">
            <v>185</v>
          </cell>
          <cell r="B1127" t="str">
            <v>IPRM</v>
          </cell>
          <cell r="C1127" t="str">
            <v>NM</v>
          </cell>
          <cell r="D1127" t="str">
            <v>ALCOHOL-L/E-1(1214)</v>
          </cell>
          <cell r="I1127">
            <v>245.7</v>
          </cell>
          <cell r="R1127">
            <v>235.4</v>
          </cell>
          <cell r="AA1127">
            <v>166.6</v>
          </cell>
          <cell r="AJ1127">
            <v>132.24</v>
          </cell>
          <cell r="AS1127">
            <v>148.32</v>
          </cell>
          <cell r="BB1127">
            <v>148.32</v>
          </cell>
          <cell r="BK1127">
            <v>151.44</v>
          </cell>
          <cell r="BT1127">
            <v>162.80000000000001</v>
          </cell>
          <cell r="CC1127">
            <v>145.68</v>
          </cell>
          <cell r="CL1127">
            <v>44.64</v>
          </cell>
          <cell r="CU1127">
            <v>19.36</v>
          </cell>
        </row>
        <row r="1128">
          <cell r="A1128">
            <v>186</v>
          </cell>
          <cell r="B1128" t="str">
            <v>IPRM</v>
          </cell>
          <cell r="C1128" t="str">
            <v>NM</v>
          </cell>
          <cell r="D1128" t="str">
            <v>ALCOHOL-L/E-2(C12C16)</v>
          </cell>
          <cell r="I1128">
            <v>199.2</v>
          </cell>
          <cell r="R1128">
            <v>218.95599999999999</v>
          </cell>
          <cell r="AA1128">
            <v>218.95599999999999</v>
          </cell>
          <cell r="AJ1128">
            <v>218.95599999999999</v>
          </cell>
          <cell r="AS1128">
            <v>379.99</v>
          </cell>
          <cell r="BB1128">
            <v>379.99</v>
          </cell>
        </row>
        <row r="1129">
          <cell r="A1129">
            <v>187</v>
          </cell>
          <cell r="B1129" t="str">
            <v>IPRM</v>
          </cell>
          <cell r="C1129" t="str">
            <v>NM</v>
          </cell>
          <cell r="D1129" t="str">
            <v>ALCOHOL-L/E-C1618,22</v>
          </cell>
          <cell r="I1129">
            <v>334.22256000000004</v>
          </cell>
          <cell r="R1129">
            <v>373.98256000000003</v>
          </cell>
          <cell r="AA1129">
            <v>1198.3</v>
          </cell>
          <cell r="AJ1129">
            <v>1218</v>
          </cell>
          <cell r="AS1129">
            <v>601.1</v>
          </cell>
          <cell r="BB1129">
            <v>1320.8</v>
          </cell>
          <cell r="BK1129">
            <v>1346.3</v>
          </cell>
          <cell r="BT1129">
            <v>1346.3</v>
          </cell>
          <cell r="CC1129">
            <v>1437.7</v>
          </cell>
          <cell r="CL1129">
            <v>1456.9</v>
          </cell>
          <cell r="CU1129">
            <v>1456.9</v>
          </cell>
          <cell r="DD1129">
            <v>1456.9</v>
          </cell>
          <cell r="DM1129">
            <v>1456.9</v>
          </cell>
        </row>
        <row r="1130">
          <cell r="A1130">
            <v>188</v>
          </cell>
          <cell r="B1130" t="str">
            <v>IPRM</v>
          </cell>
          <cell r="C1130" t="str">
            <v>NM</v>
          </cell>
          <cell r="D1130" t="str">
            <v>ALCOHOL-L/E-2(C12C18)</v>
          </cell>
          <cell r="I1130">
            <v>170</v>
          </cell>
          <cell r="R1130">
            <v>170</v>
          </cell>
          <cell r="AA1130">
            <v>170</v>
          </cell>
          <cell r="AJ1130">
            <v>170</v>
          </cell>
          <cell r="AS1130">
            <v>170</v>
          </cell>
        </row>
        <row r="1131">
          <cell r="A1131">
            <v>189</v>
          </cell>
          <cell r="B1131" t="str">
            <v>IPRM</v>
          </cell>
          <cell r="C1131" t="str">
            <v>NM</v>
          </cell>
          <cell r="D1131" t="str">
            <v>ALCOHOL-C16RICH</v>
          </cell>
          <cell r="I1131">
            <v>142</v>
          </cell>
          <cell r="R1131">
            <v>109.4238</v>
          </cell>
          <cell r="AA1131">
            <v>106.8639</v>
          </cell>
          <cell r="AJ1131">
            <v>107</v>
          </cell>
          <cell r="AS1131">
            <v>21</v>
          </cell>
        </row>
        <row r="1132">
          <cell r="A1132">
            <v>190</v>
          </cell>
          <cell r="B1132" t="str">
            <v>IPRM</v>
          </cell>
          <cell r="C1132" t="str">
            <v>NM</v>
          </cell>
          <cell r="D1132" t="str">
            <v>ALCOHOL-CRUDE / L/E'S</v>
          </cell>
          <cell r="I1132">
            <v>170</v>
          </cell>
          <cell r="R1132">
            <v>170</v>
          </cell>
          <cell r="AA1132">
            <v>118.96987200000001</v>
          </cell>
          <cell r="AJ1132">
            <v>35</v>
          </cell>
          <cell r="AS1132">
            <v>170</v>
          </cell>
        </row>
        <row r="1133">
          <cell r="A1133">
            <v>191</v>
          </cell>
          <cell r="B1133" t="str">
            <v>IPRM</v>
          </cell>
          <cell r="C1133" t="str">
            <v>NM</v>
          </cell>
          <cell r="D1133" t="str">
            <v>L/E of ALC . 18</v>
          </cell>
          <cell r="AA1133">
            <v>346.85033600000003</v>
          </cell>
        </row>
        <row r="1134">
          <cell r="A1134">
            <v>192</v>
          </cell>
          <cell r="B1134" t="str">
            <v>IPRM</v>
          </cell>
          <cell r="C1134" t="str">
            <v>NM</v>
          </cell>
          <cell r="D1134" t="str">
            <v>L.E.of C 1822</v>
          </cell>
          <cell r="R1134">
            <v>379.99</v>
          </cell>
          <cell r="AA1134">
            <v>379.99</v>
          </cell>
          <cell r="AJ1134">
            <v>379.99</v>
          </cell>
          <cell r="AS1134">
            <v>379.99</v>
          </cell>
          <cell r="BB1134">
            <v>379.99</v>
          </cell>
          <cell r="BK1134">
            <v>379.99</v>
          </cell>
          <cell r="BT1134">
            <v>379.99</v>
          </cell>
          <cell r="CC1134">
            <v>379.99</v>
          </cell>
          <cell r="CL1134">
            <v>379.99</v>
          </cell>
          <cell r="CU1134">
            <v>380</v>
          </cell>
          <cell r="DD1134">
            <v>379.99</v>
          </cell>
          <cell r="DM1134">
            <v>379.99</v>
          </cell>
        </row>
        <row r="1135">
          <cell r="A1135">
            <v>251</v>
          </cell>
          <cell r="B1135" t="str">
            <v>IPRM</v>
          </cell>
          <cell r="C1135" t="str">
            <v>NM</v>
          </cell>
          <cell r="D1135" t="str">
            <v>ALCOHOL-C12/C14 (seed alc)</v>
          </cell>
          <cell r="I1135">
            <v>170</v>
          </cell>
          <cell r="R1135">
            <v>170</v>
          </cell>
          <cell r="AA1135">
            <v>170</v>
          </cell>
          <cell r="AJ1135">
            <v>170</v>
          </cell>
          <cell r="AS1135">
            <v>170</v>
          </cell>
          <cell r="BK1135">
            <v>170</v>
          </cell>
          <cell r="BT1135">
            <v>170</v>
          </cell>
          <cell r="CC1135">
            <v>170</v>
          </cell>
          <cell r="CL1135">
            <v>170</v>
          </cell>
          <cell r="CU1135">
            <v>170</v>
          </cell>
          <cell r="DD1135">
            <v>170</v>
          </cell>
          <cell r="DM1135">
            <v>170</v>
          </cell>
        </row>
        <row r="1136">
          <cell r="A1136">
            <v>252</v>
          </cell>
          <cell r="B1136" t="str">
            <v>IPRM</v>
          </cell>
          <cell r="C1136" t="str">
            <v>NM</v>
          </cell>
          <cell r="D1136" t="str">
            <v>ALCOHOL-C16 98 (seed alc)</v>
          </cell>
          <cell r="I1136">
            <v>170</v>
          </cell>
          <cell r="R1136">
            <v>170</v>
          </cell>
          <cell r="AA1136">
            <v>170</v>
          </cell>
          <cell r="AJ1136">
            <v>170</v>
          </cell>
          <cell r="AS1136">
            <v>170</v>
          </cell>
          <cell r="BK1136">
            <v>170</v>
          </cell>
          <cell r="BT1136">
            <v>170</v>
          </cell>
          <cell r="CC1136">
            <v>170</v>
          </cell>
          <cell r="CL1136">
            <v>170</v>
          </cell>
          <cell r="CU1136">
            <v>170</v>
          </cell>
          <cell r="DD1136">
            <v>170</v>
          </cell>
          <cell r="DM1136">
            <v>170</v>
          </cell>
        </row>
        <row r="1137">
          <cell r="A1137">
            <v>253</v>
          </cell>
          <cell r="B1137" t="str">
            <v>IPRM</v>
          </cell>
          <cell r="C1137" t="str">
            <v>NM</v>
          </cell>
          <cell r="D1137" t="str">
            <v>ALCOHOL-C18 98 (seed alc)</v>
          </cell>
          <cell r="I1137">
            <v>142</v>
          </cell>
          <cell r="R1137">
            <v>109.4238</v>
          </cell>
          <cell r="AA1137">
            <v>106.8639</v>
          </cell>
          <cell r="AJ1137">
            <v>107</v>
          </cell>
          <cell r="AS1137">
            <v>21</v>
          </cell>
          <cell r="BB1137">
            <v>110.5368</v>
          </cell>
          <cell r="BK1137">
            <v>170</v>
          </cell>
          <cell r="BT1137">
            <v>170</v>
          </cell>
          <cell r="CC1137">
            <v>170</v>
          </cell>
          <cell r="CL1137">
            <v>170</v>
          </cell>
          <cell r="CU1137">
            <v>170</v>
          </cell>
          <cell r="DD1137">
            <v>170</v>
          </cell>
          <cell r="DM1137">
            <v>170</v>
          </cell>
        </row>
        <row r="1138">
          <cell r="A1138">
            <v>254</v>
          </cell>
          <cell r="B1138" t="str">
            <v>IPRM</v>
          </cell>
          <cell r="C1138" t="str">
            <v>NM</v>
          </cell>
          <cell r="D1138" t="str">
            <v>ALCOHOL-C16/C18 TA (seed alc)</v>
          </cell>
          <cell r="I1138">
            <v>170</v>
          </cell>
          <cell r="R1138">
            <v>170</v>
          </cell>
          <cell r="AA1138">
            <v>118.96987200000001</v>
          </cell>
          <cell r="AJ1138">
            <v>119</v>
          </cell>
          <cell r="AS1138">
            <v>170</v>
          </cell>
          <cell r="BK1138">
            <v>170</v>
          </cell>
          <cell r="BT1138">
            <v>170</v>
          </cell>
          <cell r="CC1138">
            <v>140.345</v>
          </cell>
          <cell r="CL1138">
            <v>170</v>
          </cell>
          <cell r="CU1138">
            <v>170</v>
          </cell>
          <cell r="DD1138">
            <v>170</v>
          </cell>
          <cell r="DM1138">
            <v>170</v>
          </cell>
        </row>
        <row r="1139">
          <cell r="A1139">
            <v>193</v>
          </cell>
          <cell r="B1139" t="str">
            <v>IPRM</v>
          </cell>
          <cell r="C1139" t="str">
            <v>NM</v>
          </cell>
          <cell r="D1139" t="str">
            <v>ALCOHOL-C16/C18 (seed alc)</v>
          </cell>
          <cell r="AA1139">
            <v>346.85033600000003</v>
          </cell>
          <cell r="AS1139">
            <v>22.704429999999999</v>
          </cell>
          <cell r="BB1139">
            <v>22.704429999999999</v>
          </cell>
        </row>
        <row r="1140">
          <cell r="A1140">
            <v>194</v>
          </cell>
          <cell r="B1140" t="str">
            <v>IPRM</v>
          </cell>
          <cell r="C1140" t="str">
            <v>NM</v>
          </cell>
          <cell r="D1140" t="str">
            <v>ALCOHOL-C18/C22 (seed alc)</v>
          </cell>
          <cell r="I1140">
            <v>1611.2</v>
          </cell>
          <cell r="AA1140">
            <v>241.345</v>
          </cell>
          <cell r="AS1140">
            <v>218.95599999999999</v>
          </cell>
          <cell r="BB1140">
            <v>218.95599999999999</v>
          </cell>
          <cell r="CU1140">
            <v>241.345</v>
          </cell>
        </row>
        <row r="1141">
          <cell r="A1141">
            <v>255</v>
          </cell>
          <cell r="B1141" t="str">
            <v>IPRM</v>
          </cell>
          <cell r="C1141" t="str">
            <v>NM</v>
          </cell>
          <cell r="D1141" t="str">
            <v>ALCOHOL-C22 70 (seed alc)</v>
          </cell>
          <cell r="I1141">
            <v>170</v>
          </cell>
          <cell r="R1141">
            <v>170</v>
          </cell>
          <cell r="AA1141">
            <v>170</v>
          </cell>
          <cell r="AJ1141">
            <v>170</v>
          </cell>
          <cell r="AS1141">
            <v>170</v>
          </cell>
          <cell r="BB1141">
            <v>612.36400000000003</v>
          </cell>
          <cell r="BK1141">
            <v>151</v>
          </cell>
          <cell r="BT1141">
            <v>151.9486</v>
          </cell>
          <cell r="CC1141">
            <v>151.94900000000001</v>
          </cell>
          <cell r="CL1141">
            <v>151.88999999999999</v>
          </cell>
          <cell r="CU1141">
            <v>151.8775</v>
          </cell>
          <cell r="DD1141">
            <v>128.4777</v>
          </cell>
          <cell r="DM1141">
            <v>170</v>
          </cell>
        </row>
        <row r="1142">
          <cell r="A1142">
            <v>195</v>
          </cell>
          <cell r="B1142" t="str">
            <v>IPRM</v>
          </cell>
          <cell r="C1142" t="str">
            <v>NM</v>
          </cell>
          <cell r="D1142" t="str">
            <v>Int. Alc.20-22</v>
          </cell>
          <cell r="I1142">
            <v>621.29</v>
          </cell>
          <cell r="R1142">
            <v>241.345</v>
          </cell>
          <cell r="AJ1142">
            <v>241.345</v>
          </cell>
          <cell r="AS1142">
            <v>241.345</v>
          </cell>
          <cell r="BB1142">
            <v>241.345</v>
          </cell>
        </row>
        <row r="1143">
          <cell r="A1143">
            <v>196</v>
          </cell>
          <cell r="B1143" t="str">
            <v>IPRM</v>
          </cell>
          <cell r="C1143" t="str">
            <v>NM</v>
          </cell>
          <cell r="D1143" t="str">
            <v>ALCOHOL-RESIDUE</v>
          </cell>
          <cell r="BB1143">
            <v>110.5368</v>
          </cell>
          <cell r="BK1143">
            <v>198.13</v>
          </cell>
          <cell r="BT1143">
            <v>196.04</v>
          </cell>
          <cell r="CC1143">
            <v>111.248</v>
          </cell>
          <cell r="CL1143">
            <v>102.73599999999999</v>
          </cell>
          <cell r="CU1143">
            <v>102.35</v>
          </cell>
          <cell r="DD1143">
            <v>101.68</v>
          </cell>
          <cell r="DM1143">
            <v>101.68</v>
          </cell>
        </row>
        <row r="1144">
          <cell r="A1144">
            <v>197</v>
          </cell>
          <cell r="B1144" t="str">
            <v>IPRM</v>
          </cell>
          <cell r="C1144" t="str">
            <v>NM</v>
          </cell>
          <cell r="D1144" t="str">
            <v>ALCOHOL-HYDROCARBON</v>
          </cell>
        </row>
        <row r="1145">
          <cell r="A1145">
            <v>198</v>
          </cell>
          <cell r="B1145" t="str">
            <v>IPRM</v>
          </cell>
          <cell r="C1145" t="str">
            <v>NM</v>
          </cell>
          <cell r="D1145" t="str">
            <v>Int. Alc. V1218</v>
          </cell>
          <cell r="AS1145">
            <v>22.704429999999999</v>
          </cell>
          <cell r="BB1145">
            <v>22.704429999999999</v>
          </cell>
          <cell r="DD1145">
            <v>56.8</v>
          </cell>
          <cell r="DM1145">
            <v>203.2</v>
          </cell>
        </row>
        <row r="1146">
          <cell r="A1146">
            <v>199</v>
          </cell>
          <cell r="B1146" t="str">
            <v>IPRM</v>
          </cell>
          <cell r="C1146" t="str">
            <v>NM</v>
          </cell>
          <cell r="D1146" t="str">
            <v>Int. Alc. V1216</v>
          </cell>
          <cell r="I1146">
            <v>1611.2</v>
          </cell>
          <cell r="AS1146">
            <v>218.95599999999999</v>
          </cell>
          <cell r="BB1146">
            <v>218.95599999999999</v>
          </cell>
          <cell r="BK1146">
            <v>218.95599999999999</v>
          </cell>
          <cell r="BT1146">
            <v>218.95599999999999</v>
          </cell>
          <cell r="CC1146">
            <v>232.845</v>
          </cell>
          <cell r="CL1146">
            <v>206.21079999999998</v>
          </cell>
          <cell r="CU1146">
            <v>206.21079999999998</v>
          </cell>
          <cell r="DD1146">
            <v>206.21079999999998</v>
          </cell>
          <cell r="DM1146">
            <v>206.21079999999998</v>
          </cell>
        </row>
        <row r="1147">
          <cell r="A1147">
            <v>200</v>
          </cell>
          <cell r="B1147" t="str">
            <v>IPRM</v>
          </cell>
          <cell r="C1147" t="str">
            <v>NM</v>
          </cell>
          <cell r="D1147" t="str">
            <v>Int. Alc. V1618</v>
          </cell>
          <cell r="I1147">
            <v>99.563700000000011</v>
          </cell>
          <cell r="R1147">
            <v>1561.9</v>
          </cell>
          <cell r="AA1147">
            <v>390.42</v>
          </cell>
          <cell r="AJ1147">
            <v>737.19</v>
          </cell>
          <cell r="AS1147">
            <v>905.56400000000008</v>
          </cell>
          <cell r="BB1147">
            <v>612.36400000000003</v>
          </cell>
          <cell r="BK1147">
            <v>249.09640000000002</v>
          </cell>
          <cell r="BT1147">
            <v>248.77036799999999</v>
          </cell>
          <cell r="CC1147">
            <v>248.77036799999999</v>
          </cell>
          <cell r="CL1147">
            <v>178.45083199999999</v>
          </cell>
          <cell r="CU1147">
            <v>178.27588800000001</v>
          </cell>
          <cell r="DD1147">
            <v>178.22817599999999</v>
          </cell>
          <cell r="DM1147">
            <v>205.87727999999998</v>
          </cell>
        </row>
        <row r="1148">
          <cell r="A1148">
            <v>259</v>
          </cell>
          <cell r="B1148" t="str">
            <v>IPRM</v>
          </cell>
          <cell r="C1148" t="str">
            <v>NM</v>
          </cell>
          <cell r="D1148" t="str">
            <v>Int. Alc. V1822</v>
          </cell>
          <cell r="I1148">
            <v>621.29</v>
          </cell>
          <cell r="R1148">
            <v>241.345</v>
          </cell>
          <cell r="AA1148">
            <v>175.86351428571427</v>
          </cell>
          <cell r="AJ1148">
            <v>241.345</v>
          </cell>
          <cell r="AS1148">
            <v>241.345</v>
          </cell>
          <cell r="BB1148">
            <v>241.345</v>
          </cell>
          <cell r="BK1148">
            <v>241.345</v>
          </cell>
          <cell r="BT1148">
            <v>241.345</v>
          </cell>
          <cell r="CC1148">
            <v>241.345</v>
          </cell>
          <cell r="CL1148">
            <v>241.345</v>
          </cell>
          <cell r="DD1148">
            <v>241.345</v>
          </cell>
          <cell r="DM1148">
            <v>241.345</v>
          </cell>
        </row>
        <row r="1149">
          <cell r="A1149">
            <v>201</v>
          </cell>
          <cell r="B1149" t="str">
            <v>IPRM</v>
          </cell>
          <cell r="C1149" t="str">
            <v>NM</v>
          </cell>
          <cell r="D1149" t="str">
            <v>Wax ester 1214/1618</v>
          </cell>
        </row>
        <row r="1150">
          <cell r="A1150">
            <v>202</v>
          </cell>
          <cell r="B1150" t="str">
            <v>IPRM</v>
          </cell>
          <cell r="C1150" t="str">
            <v>NM</v>
          </cell>
          <cell r="D1150" t="str">
            <v>Wax ester 1216/1218</v>
          </cell>
          <cell r="F1150">
            <v>0</v>
          </cell>
          <cell r="G1150">
            <v>0</v>
          </cell>
          <cell r="H1150">
            <v>0</v>
          </cell>
          <cell r="I1150">
            <v>4095.0329457142857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4075.8083742857143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3953.0508222857143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  <cell r="AI1150">
            <v>0</v>
          </cell>
          <cell r="AJ1150">
            <v>3984.1456714285709</v>
          </cell>
          <cell r="AK1150">
            <v>0</v>
          </cell>
          <cell r="AL1150">
            <v>0</v>
          </cell>
          <cell r="AM1150">
            <v>0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3841.3074299999998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3152.2858728571427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</row>
        <row r="1151">
          <cell r="A1151">
            <v>203</v>
          </cell>
          <cell r="B1151" t="str">
            <v>IPRM</v>
          </cell>
          <cell r="C1151" t="str">
            <v>SM</v>
          </cell>
          <cell r="D1151" t="str">
            <v>ALCOHOL Residue 1618</v>
          </cell>
        </row>
        <row r="1152">
          <cell r="A1152">
            <v>204</v>
          </cell>
          <cell r="B1152" t="str">
            <v>IPRM</v>
          </cell>
          <cell r="C1152" t="str">
            <v>SM</v>
          </cell>
          <cell r="D1152" t="str">
            <v>ALCOHOL Residue 1822</v>
          </cell>
          <cell r="E1152" t="str">
            <v>AL</v>
          </cell>
          <cell r="I1152">
            <v>32.6</v>
          </cell>
          <cell r="N1152">
            <v>14.39</v>
          </cell>
          <cell r="R1152">
            <v>0.6</v>
          </cell>
          <cell r="W1152">
            <v>14.39</v>
          </cell>
          <cell r="AA1152">
            <v>21.8</v>
          </cell>
          <cell r="AB1152">
            <v>139.56</v>
          </cell>
          <cell r="AE1152">
            <v>188.4</v>
          </cell>
          <cell r="AF1152">
            <v>14.39</v>
          </cell>
          <cell r="AO1152">
            <v>180.29</v>
          </cell>
          <cell r="AS1152">
            <v>0</v>
          </cell>
          <cell r="AT1152">
            <v>135.66</v>
          </cell>
          <cell r="AX1152">
            <v>107.54</v>
          </cell>
          <cell r="BB1152">
            <v>45</v>
          </cell>
          <cell r="BG1152">
            <v>74.540000000000006</v>
          </cell>
        </row>
        <row r="1153">
          <cell r="A1153">
            <v>205</v>
          </cell>
          <cell r="B1153" t="str">
            <v>IPRM</v>
          </cell>
          <cell r="C1153" t="str">
            <v>SM</v>
          </cell>
          <cell r="D1153" t="str">
            <v>ALCOHOL Residue 2022</v>
          </cell>
          <cell r="I1153">
            <v>99.563700000000011</v>
          </cell>
          <cell r="N1153">
            <v>7.5</v>
          </cell>
          <cell r="R1153">
            <v>98.947500000000005</v>
          </cell>
          <cell r="W1153">
            <v>7.5</v>
          </cell>
          <cell r="AA1153">
            <v>98.892200000000017</v>
          </cell>
          <cell r="AF1153">
            <v>7.5</v>
          </cell>
          <cell r="AJ1153">
            <v>108.783</v>
          </cell>
          <cell r="AN1153">
            <v>201.2</v>
          </cell>
          <cell r="AO1153">
            <v>7.5</v>
          </cell>
          <cell r="AS1153">
            <v>110.536</v>
          </cell>
          <cell r="AX1153">
            <v>7.5</v>
          </cell>
          <cell r="BB1153">
            <v>3.5</v>
          </cell>
          <cell r="BG1153">
            <v>7.5</v>
          </cell>
        </row>
        <row r="1154">
          <cell r="A1154">
            <v>206</v>
          </cell>
          <cell r="B1154" t="str">
            <v>IPRM</v>
          </cell>
          <cell r="C1154" t="str">
            <v>SM</v>
          </cell>
          <cell r="D1154" t="str">
            <v>ALCOHOL B/P&gt;C18</v>
          </cell>
          <cell r="E1154" t="str">
            <v>W</v>
          </cell>
          <cell r="I1154">
            <v>161.8566857142857</v>
          </cell>
          <cell r="J1154">
            <v>24.8</v>
          </cell>
          <cell r="M1154">
            <v>32.4</v>
          </cell>
          <cell r="N1154">
            <v>398.6</v>
          </cell>
          <cell r="R1154">
            <v>175.86351428571427</v>
          </cell>
          <cell r="S1154">
            <v>49.2</v>
          </cell>
          <cell r="W1154">
            <v>201.8</v>
          </cell>
          <cell r="AA1154">
            <v>175.86351428571427</v>
          </cell>
          <cell r="AB1154">
            <v>49.2</v>
          </cell>
          <cell r="AF1154">
            <v>68</v>
          </cell>
          <cell r="AJ1154">
            <v>176.64167142857141</v>
          </cell>
          <cell r="AK1154">
            <v>49.2</v>
          </cell>
          <cell r="AS1154">
            <v>511.79199999999997</v>
          </cell>
          <cell r="AT1154">
            <v>49.2</v>
          </cell>
          <cell r="AX1154">
            <v>206.4</v>
          </cell>
          <cell r="BB1154">
            <v>97.269642857142841</v>
          </cell>
          <cell r="BC1154">
            <v>49.2</v>
          </cell>
          <cell r="BG1154">
            <v>138.80000000000001</v>
          </cell>
          <cell r="BK1154">
            <v>495.45099999999996</v>
          </cell>
          <cell r="BT1154">
            <v>500.9</v>
          </cell>
          <cell r="CC1154">
            <v>500.89799999999997</v>
          </cell>
          <cell r="CL1154">
            <v>507.12299999999999</v>
          </cell>
          <cell r="CU1154">
            <v>498.56299999999999</v>
          </cell>
          <cell r="DD1154">
            <v>498.56299999999999</v>
          </cell>
          <cell r="DM1154">
            <v>498.56299999999999</v>
          </cell>
        </row>
        <row r="1155">
          <cell r="A1155">
            <v>207</v>
          </cell>
          <cell r="B1155" t="str">
            <v>IPRM</v>
          </cell>
          <cell r="C1155" t="str">
            <v>SM</v>
          </cell>
          <cell r="D1155" t="str">
            <v>Crude Alc. 1216</v>
          </cell>
          <cell r="E1155">
            <v>99</v>
          </cell>
          <cell r="I1155">
            <v>0</v>
          </cell>
          <cell r="J1155">
            <v>85.3</v>
          </cell>
          <cell r="N1155">
            <v>231.21</v>
          </cell>
          <cell r="R1155">
            <v>0</v>
          </cell>
          <cell r="S1155">
            <v>156.9</v>
          </cell>
          <cell r="V1155">
            <v>32.799999999999997</v>
          </cell>
          <cell r="W1155">
            <v>142.81</v>
          </cell>
          <cell r="AA1155">
            <v>77</v>
          </cell>
          <cell r="AB1155">
            <v>156.9</v>
          </cell>
          <cell r="AF1155">
            <v>141.21</v>
          </cell>
          <cell r="AJ1155">
            <v>13</v>
          </cell>
          <cell r="AK1155">
            <v>211.7</v>
          </cell>
          <cell r="AO1155">
            <v>102.41</v>
          </cell>
          <cell r="AS1155">
            <v>0</v>
          </cell>
          <cell r="AT1155">
            <v>193.3</v>
          </cell>
          <cell r="AX1155">
            <v>83.21</v>
          </cell>
          <cell r="BB1155">
            <v>0</v>
          </cell>
          <cell r="BC1155">
            <v>193.3</v>
          </cell>
          <cell r="BG1155">
            <v>66.81</v>
          </cell>
        </row>
        <row r="1156">
          <cell r="A1156">
            <v>212</v>
          </cell>
          <cell r="B1156" t="str">
            <v>FG</v>
          </cell>
          <cell r="C1156" t="str">
            <v>FM</v>
          </cell>
          <cell r="D1156" t="str">
            <v>JO TF 70%</v>
          </cell>
          <cell r="E1156" t="str">
            <v>TF</v>
          </cell>
          <cell r="F1156">
            <v>0</v>
          </cell>
          <cell r="G1156">
            <v>0</v>
          </cell>
          <cell r="H1156">
            <v>0</v>
          </cell>
          <cell r="I1156">
            <v>4095.0329457142857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Q1156">
            <v>0</v>
          </cell>
          <cell r="R1156">
            <v>4075.8083742857143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3953.0508222857143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  <cell r="AI1156">
            <v>0</v>
          </cell>
          <cell r="AJ1156">
            <v>3984.1456714285709</v>
          </cell>
          <cell r="AK1156">
            <v>0</v>
          </cell>
          <cell r="AL1156">
            <v>0</v>
          </cell>
          <cell r="AM1156">
            <v>0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3841.3074299999998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3152.2858728571427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4111.7083999999995</v>
          </cell>
          <cell r="BL1156">
            <v>0</v>
          </cell>
          <cell r="BM1156">
            <v>0</v>
          </cell>
          <cell r="BN1156">
            <v>0</v>
          </cell>
          <cell r="BO1156">
            <v>0</v>
          </cell>
          <cell r="BP1156">
            <v>0</v>
          </cell>
          <cell r="BQ1156">
            <v>0</v>
          </cell>
          <cell r="BR1156">
            <v>0</v>
          </cell>
          <cell r="BS1156">
            <v>0</v>
          </cell>
          <cell r="BT1156">
            <v>4127.0499680000003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4100.7703679999995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3949.2856319999996</v>
          </cell>
          <cell r="CM1156">
            <v>0</v>
          </cell>
          <cell r="CN1156">
            <v>0</v>
          </cell>
          <cell r="CO1156">
            <v>0</v>
          </cell>
          <cell r="CP1156">
            <v>0</v>
          </cell>
          <cell r="CQ1156">
            <v>0</v>
          </cell>
          <cell r="CR1156">
            <v>0</v>
          </cell>
          <cell r="CS1156">
            <v>0</v>
          </cell>
          <cell r="CT1156">
            <v>0</v>
          </cell>
          <cell r="CU1156">
            <v>3914.882188</v>
          </cell>
          <cell r="CV1156">
            <v>0</v>
          </cell>
          <cell r="CW1156">
            <v>0</v>
          </cell>
          <cell r="CX1156">
            <v>0</v>
          </cell>
          <cell r="CY1156">
            <v>0</v>
          </cell>
          <cell r="CZ1156">
            <v>0</v>
          </cell>
          <cell r="DA1156">
            <v>0</v>
          </cell>
          <cell r="DB1156">
            <v>0</v>
          </cell>
          <cell r="DC1156">
            <v>0</v>
          </cell>
          <cell r="DD1156">
            <v>3928.1946760000001</v>
          </cell>
          <cell r="DE1156">
            <v>0</v>
          </cell>
          <cell r="DF1156">
            <v>0</v>
          </cell>
          <cell r="DG1156">
            <v>0</v>
          </cell>
          <cell r="DH1156">
            <v>0</v>
          </cell>
          <cell r="DI1156">
            <v>0</v>
          </cell>
          <cell r="DJ1156">
            <v>0</v>
          </cell>
          <cell r="DK1156">
            <v>0</v>
          </cell>
          <cell r="DL1156">
            <v>0</v>
          </cell>
          <cell r="DM1156">
            <v>4143.7660799999994</v>
          </cell>
          <cell r="DN1156">
            <v>0</v>
          </cell>
          <cell r="DO1156">
            <v>0</v>
          </cell>
          <cell r="DP1156">
            <v>0</v>
          </cell>
          <cell r="DQ1156">
            <v>0</v>
          </cell>
          <cell r="DR1156">
            <v>0</v>
          </cell>
        </row>
        <row r="1157">
          <cell r="A1157" t="str">
            <v>SOAP NOODLES</v>
          </cell>
          <cell r="B1157" t="str">
            <v>FG</v>
          </cell>
          <cell r="C1157" t="str">
            <v>FM</v>
          </cell>
          <cell r="D1157" t="str">
            <v>DR TF 70%</v>
          </cell>
          <cell r="E1157" t="str">
            <v>TF D</v>
          </cell>
          <cell r="I1157">
            <v>0</v>
          </cell>
          <cell r="J1157">
            <v>84.6</v>
          </cell>
          <cell r="M1157">
            <v>159</v>
          </cell>
          <cell r="R1157">
            <v>0</v>
          </cell>
          <cell r="S1157">
            <v>18</v>
          </cell>
          <cell r="V1157">
            <v>127.2</v>
          </cell>
          <cell r="W1157">
            <v>128.09</v>
          </cell>
          <cell r="AA1157">
            <v>0</v>
          </cell>
          <cell r="AE1157">
            <v>63.84</v>
          </cell>
          <cell r="AF1157">
            <v>71.989999999999995</v>
          </cell>
          <cell r="AK1157">
            <v>200.16</v>
          </cell>
          <cell r="AN1157">
            <v>127.2</v>
          </cell>
          <cell r="AO1157">
            <v>19.260000000000002</v>
          </cell>
          <cell r="AS1157">
            <v>0</v>
          </cell>
          <cell r="AW1157">
            <v>171</v>
          </cell>
          <cell r="AX1157">
            <v>200.57</v>
          </cell>
          <cell r="BB1157">
            <v>0</v>
          </cell>
          <cell r="BC1157">
            <v>72.06</v>
          </cell>
          <cell r="BF1157">
            <v>48.3</v>
          </cell>
          <cell r="BG1157">
            <v>200.58</v>
          </cell>
        </row>
        <row r="1158">
          <cell r="A1158">
            <v>208</v>
          </cell>
          <cell r="B1158" t="str">
            <v>FG</v>
          </cell>
          <cell r="C1158" t="str">
            <v>FM</v>
          </cell>
          <cell r="D1158" t="str">
            <v>DETTOL</v>
          </cell>
          <cell r="E1158" t="str">
            <v>AL</v>
          </cell>
          <cell r="I1158">
            <v>32.6</v>
          </cell>
          <cell r="J1158">
            <v>18</v>
          </cell>
          <cell r="N1158">
            <v>14.39</v>
          </cell>
          <cell r="R1158">
            <v>0.6</v>
          </cell>
          <cell r="W1158">
            <v>14.39</v>
          </cell>
          <cell r="AA1158">
            <v>21.8</v>
          </cell>
          <cell r="AB1158">
            <v>139.56</v>
          </cell>
          <cell r="AE1158">
            <v>188.4</v>
          </cell>
          <cell r="AF1158">
            <v>14.39</v>
          </cell>
          <cell r="AK1158">
            <v>124</v>
          </cell>
          <cell r="AN1158">
            <v>32</v>
          </cell>
          <cell r="AO1158">
            <v>180.29</v>
          </cell>
          <cell r="AS1158">
            <v>0</v>
          </cell>
          <cell r="AT1158">
            <v>135.66</v>
          </cell>
          <cell r="AX1158">
            <v>107.54</v>
          </cell>
          <cell r="BB1158">
            <v>45</v>
          </cell>
          <cell r="BC1158">
            <v>94.8</v>
          </cell>
          <cell r="BG1158">
            <v>74.540000000000006</v>
          </cell>
          <cell r="BK1158">
            <v>20.5</v>
          </cell>
          <cell r="BO1158">
            <v>32</v>
          </cell>
          <cell r="BP1158">
            <v>24.29</v>
          </cell>
          <cell r="BT1158">
            <v>14.1</v>
          </cell>
          <cell r="BY1158">
            <v>23.4</v>
          </cell>
          <cell r="CC1158">
            <v>14.1</v>
          </cell>
          <cell r="CH1158">
            <v>18.899999999999999</v>
          </cell>
          <cell r="CL1158">
            <v>16</v>
          </cell>
          <cell r="CQ1158">
            <v>2</v>
          </cell>
          <cell r="CU1158">
            <v>0</v>
          </cell>
          <cell r="CV1158">
            <v>43.4</v>
          </cell>
          <cell r="CY1158">
            <v>20</v>
          </cell>
          <cell r="CZ1158">
            <v>2</v>
          </cell>
          <cell r="DD1158">
            <v>0</v>
          </cell>
          <cell r="DE1158">
            <v>22.4</v>
          </cell>
          <cell r="DI1158">
            <v>22</v>
          </cell>
          <cell r="DM1158">
            <v>63</v>
          </cell>
          <cell r="DR1158">
            <v>25</v>
          </cell>
        </row>
        <row r="1159">
          <cell r="A1159">
            <v>209</v>
          </cell>
          <cell r="B1159" t="str">
            <v>FG</v>
          </cell>
          <cell r="C1159" t="str">
            <v>FM</v>
          </cell>
          <cell r="D1159" t="str">
            <v>DETTOL SKINCARE</v>
          </cell>
          <cell r="I1159">
            <v>0</v>
          </cell>
          <cell r="N1159">
            <v>7.5</v>
          </cell>
          <cell r="R1159">
            <v>0</v>
          </cell>
          <cell r="V1159">
            <v>218</v>
          </cell>
          <cell r="W1159">
            <v>7.5</v>
          </cell>
          <cell r="AA1159">
            <v>0</v>
          </cell>
          <cell r="AF1159">
            <v>7.5</v>
          </cell>
          <cell r="AJ1159">
            <v>41</v>
          </cell>
          <cell r="AN1159">
            <v>201.2</v>
          </cell>
          <cell r="AO1159">
            <v>7.5</v>
          </cell>
          <cell r="AS1159">
            <v>3.5</v>
          </cell>
          <cell r="AX1159">
            <v>7.5</v>
          </cell>
          <cell r="BB1159">
            <v>3.5</v>
          </cell>
          <cell r="BG1159">
            <v>7.5</v>
          </cell>
          <cell r="BK1159">
            <v>3.5</v>
          </cell>
          <cell r="BP1159">
            <v>7.5</v>
          </cell>
          <cell r="BT1159">
            <v>3.5</v>
          </cell>
          <cell r="BY1159">
            <v>7.5</v>
          </cell>
          <cell r="CC1159">
            <v>139.5</v>
          </cell>
          <cell r="CH1159">
            <v>7.5</v>
          </cell>
          <cell r="CL1159">
            <v>0</v>
          </cell>
          <cell r="CQ1159">
            <v>7.5</v>
          </cell>
          <cell r="CU1159">
            <v>0</v>
          </cell>
          <cell r="CZ1159">
            <v>7.5</v>
          </cell>
          <cell r="DD1159">
            <v>0</v>
          </cell>
          <cell r="DI1159">
            <v>7.5</v>
          </cell>
          <cell r="DM1159">
            <v>0</v>
          </cell>
          <cell r="DR1159">
            <v>7.5</v>
          </cell>
        </row>
        <row r="1160">
          <cell r="A1160">
            <v>210</v>
          </cell>
          <cell r="B1160" t="str">
            <v>FG</v>
          </cell>
          <cell r="C1160" t="str">
            <v>FM</v>
          </cell>
          <cell r="D1160" t="str">
            <v>JBMS 40:60</v>
          </cell>
          <cell r="E1160" t="str">
            <v>W</v>
          </cell>
          <cell r="I1160">
            <v>0</v>
          </cell>
          <cell r="J1160">
            <v>24.8</v>
          </cell>
          <cell r="M1160">
            <v>32.4</v>
          </cell>
          <cell r="N1160">
            <v>398.6</v>
          </cell>
          <cell r="R1160">
            <v>0</v>
          </cell>
          <cell r="S1160">
            <v>49.2</v>
          </cell>
          <cell r="W1160">
            <v>201.8</v>
          </cell>
          <cell r="AA1160">
            <v>0</v>
          </cell>
          <cell r="AB1160">
            <v>49.2</v>
          </cell>
          <cell r="AF1160">
            <v>68</v>
          </cell>
          <cell r="AJ1160">
            <v>84.8</v>
          </cell>
          <cell r="AK1160">
            <v>49.2</v>
          </cell>
          <cell r="AS1160">
            <v>2</v>
          </cell>
          <cell r="AT1160">
            <v>49.2</v>
          </cell>
          <cell r="AX1160">
            <v>206.4</v>
          </cell>
          <cell r="BB1160">
            <v>2</v>
          </cell>
          <cell r="BC1160">
            <v>49.2</v>
          </cell>
          <cell r="BG1160">
            <v>138.80000000000001</v>
          </cell>
          <cell r="BK1160">
            <v>0.4</v>
          </cell>
          <cell r="BL1160">
            <v>49.2</v>
          </cell>
          <cell r="BO1160">
            <v>1.6</v>
          </cell>
          <cell r="BP1160">
            <v>15.6</v>
          </cell>
          <cell r="BT1160">
            <v>188.4</v>
          </cell>
          <cell r="BU1160">
            <v>0.4</v>
          </cell>
          <cell r="BX1160">
            <v>325.60000000000002</v>
          </cell>
          <cell r="BY1160">
            <v>19.2</v>
          </cell>
          <cell r="CC1160">
            <v>0</v>
          </cell>
          <cell r="CD1160">
            <v>0.4</v>
          </cell>
          <cell r="CG1160">
            <v>32.4</v>
          </cell>
          <cell r="CH1160">
            <v>309.8</v>
          </cell>
          <cell r="CL1160">
            <v>0</v>
          </cell>
          <cell r="CM1160">
            <v>0.4</v>
          </cell>
          <cell r="CQ1160">
            <v>212.6</v>
          </cell>
          <cell r="CU1160">
            <v>0</v>
          </cell>
          <cell r="CV1160">
            <v>0.4</v>
          </cell>
          <cell r="CZ1160">
            <v>173</v>
          </cell>
          <cell r="DD1160">
            <v>6.2</v>
          </cell>
          <cell r="DE1160">
            <v>0.4</v>
          </cell>
          <cell r="DI1160">
            <v>127.4</v>
          </cell>
          <cell r="DM1160">
            <v>100.4</v>
          </cell>
          <cell r="DN1160">
            <v>0.4</v>
          </cell>
          <cell r="DQ1160">
            <v>374</v>
          </cell>
          <cell r="DR1160">
            <v>41.95</v>
          </cell>
        </row>
        <row r="1161">
          <cell r="A1161">
            <v>211</v>
          </cell>
          <cell r="B1161" t="str">
            <v>FG</v>
          </cell>
          <cell r="C1161" t="str">
            <v>FM</v>
          </cell>
          <cell r="D1161" t="str">
            <v>JNC 99</v>
          </cell>
          <cell r="E1161">
            <v>99</v>
          </cell>
          <cell r="I1161">
            <v>0</v>
          </cell>
          <cell r="J1161">
            <v>85.3</v>
          </cell>
          <cell r="N1161">
            <v>231.21</v>
          </cell>
          <cell r="R1161">
            <v>0</v>
          </cell>
          <cell r="S1161">
            <v>156.9</v>
          </cell>
          <cell r="V1161">
            <v>32.799999999999997</v>
          </cell>
          <cell r="W1161">
            <v>142.81</v>
          </cell>
          <cell r="AA1161">
            <v>77</v>
          </cell>
          <cell r="AB1161">
            <v>156.9</v>
          </cell>
          <cell r="AF1161">
            <v>141.21</v>
          </cell>
          <cell r="AJ1161">
            <v>13</v>
          </cell>
          <cell r="AK1161">
            <v>211.7</v>
          </cell>
          <cell r="AO1161">
            <v>102.41</v>
          </cell>
          <cell r="AS1161">
            <v>0</v>
          </cell>
          <cell r="AT1161">
            <v>193.3</v>
          </cell>
          <cell r="AX1161">
            <v>83.21</v>
          </cell>
          <cell r="BB1161">
            <v>0</v>
          </cell>
          <cell r="BC1161">
            <v>193.3</v>
          </cell>
          <cell r="BG1161">
            <v>66.81</v>
          </cell>
          <cell r="BK1161">
            <v>0</v>
          </cell>
          <cell r="BL1161">
            <v>193.3</v>
          </cell>
          <cell r="BP1161">
            <v>53.61</v>
          </cell>
          <cell r="BT1161">
            <v>0</v>
          </cell>
          <cell r="BU1161">
            <v>173.7</v>
          </cell>
          <cell r="BY1161">
            <v>18.010000000000002</v>
          </cell>
          <cell r="CC1161">
            <v>0</v>
          </cell>
          <cell r="CD1161">
            <v>140.9</v>
          </cell>
          <cell r="CG1161">
            <v>142.80000000000001</v>
          </cell>
          <cell r="CH1161">
            <v>30.8</v>
          </cell>
          <cell r="CL1161">
            <v>0</v>
          </cell>
          <cell r="CM1161">
            <v>91.3</v>
          </cell>
          <cell r="CQ1161">
            <v>167.36</v>
          </cell>
          <cell r="CU1161">
            <v>0</v>
          </cell>
          <cell r="CV1161">
            <v>91.3</v>
          </cell>
          <cell r="CZ1161">
            <v>125.36</v>
          </cell>
          <cell r="DD1161">
            <v>0</v>
          </cell>
          <cell r="DE1161">
            <v>76.900000000000006</v>
          </cell>
          <cell r="DI1161">
            <v>125.36</v>
          </cell>
          <cell r="DM1161">
            <v>105.6</v>
          </cell>
          <cell r="DN1161">
            <v>27.3</v>
          </cell>
          <cell r="DQ1161">
            <v>21.6</v>
          </cell>
          <cell r="DR1161">
            <v>78.959999999999994</v>
          </cell>
        </row>
        <row r="1162">
          <cell r="A1162">
            <v>212</v>
          </cell>
          <cell r="B1162" t="str">
            <v>FG</v>
          </cell>
          <cell r="C1162" t="str">
            <v>FM</v>
          </cell>
          <cell r="D1162" t="str">
            <v>JO TF 70%</v>
          </cell>
          <cell r="E1162" t="str">
            <v>TF</v>
          </cell>
          <cell r="I1162">
            <v>149</v>
          </cell>
          <cell r="J1162">
            <v>219.61099999999999</v>
          </cell>
          <cell r="M1162">
            <v>234.3</v>
          </cell>
          <cell r="N1162">
            <v>0.11</v>
          </cell>
          <cell r="R1162">
            <v>3.2</v>
          </cell>
          <cell r="S1162">
            <v>186.161</v>
          </cell>
          <cell r="V1162">
            <v>178</v>
          </cell>
          <cell r="W1162">
            <v>380</v>
          </cell>
          <cell r="AA1162">
            <v>3.2</v>
          </cell>
          <cell r="AB1162">
            <v>188.33600000000001</v>
          </cell>
          <cell r="AF1162">
            <v>336.6</v>
          </cell>
          <cell r="AJ1162">
            <v>174</v>
          </cell>
          <cell r="AK1162">
            <v>137.18599999999998</v>
          </cell>
          <cell r="AN1162">
            <v>68.8</v>
          </cell>
          <cell r="AO1162">
            <v>225.2</v>
          </cell>
          <cell r="AS1162">
            <v>19.600000000000001</v>
          </cell>
          <cell r="AT1162">
            <v>131.136</v>
          </cell>
          <cell r="AW1162">
            <v>68</v>
          </cell>
          <cell r="AX1162">
            <v>34.450000000000003</v>
          </cell>
          <cell r="BB1162">
            <v>19.600000000000001</v>
          </cell>
          <cell r="BC1162">
            <v>131.136</v>
          </cell>
          <cell r="BF1162">
            <v>36</v>
          </cell>
          <cell r="BK1162">
            <v>86.6</v>
          </cell>
          <cell r="BL1162">
            <v>86.936000000000007</v>
          </cell>
          <cell r="BO1162">
            <v>186</v>
          </cell>
          <cell r="BP1162">
            <v>12.5</v>
          </cell>
          <cell r="BT1162">
            <v>12.8</v>
          </cell>
          <cell r="BU1162">
            <v>114.736</v>
          </cell>
          <cell r="BX1162">
            <v>16.399999999999999</v>
          </cell>
          <cell r="BY1162">
            <v>155.19999999999999</v>
          </cell>
          <cell r="CC1162">
            <v>98.4</v>
          </cell>
          <cell r="CD1162">
            <v>204.63600000000002</v>
          </cell>
          <cell r="CG1162">
            <v>234.4</v>
          </cell>
          <cell r="CH1162">
            <v>12</v>
          </cell>
          <cell r="CL1162">
            <v>0</v>
          </cell>
          <cell r="CM1162">
            <v>356.786</v>
          </cell>
          <cell r="CP1162">
            <v>11.2</v>
          </cell>
          <cell r="CQ1162">
            <v>27.1</v>
          </cell>
          <cell r="CU1162">
            <v>229.4</v>
          </cell>
          <cell r="CV1162">
            <v>401.08600000000001</v>
          </cell>
          <cell r="CY1162">
            <v>54</v>
          </cell>
          <cell r="DD1162">
            <v>2.2000000000000002</v>
          </cell>
          <cell r="DE1162">
            <v>465.38600000000002</v>
          </cell>
          <cell r="DH1162">
            <v>279.37</v>
          </cell>
          <cell r="DI1162">
            <v>22.6</v>
          </cell>
          <cell r="DM1162">
            <v>5</v>
          </cell>
          <cell r="DN1162">
            <v>336.83600000000001</v>
          </cell>
          <cell r="DQ1162">
            <v>178.46</v>
          </cell>
          <cell r="DR1162">
            <v>103.11</v>
          </cell>
        </row>
        <row r="1163">
          <cell r="A1163">
            <v>213</v>
          </cell>
          <cell r="B1163" t="str">
            <v>FG</v>
          </cell>
          <cell r="C1163" t="str">
            <v>FM</v>
          </cell>
          <cell r="D1163" t="str">
            <v>DR TF 70%</v>
          </cell>
          <cell r="E1163" t="str">
            <v>TF D</v>
          </cell>
          <cell r="I1163">
            <v>0</v>
          </cell>
          <cell r="J1163">
            <v>84.6</v>
          </cell>
          <cell r="M1163">
            <v>159</v>
          </cell>
          <cell r="R1163">
            <v>0</v>
          </cell>
          <cell r="S1163">
            <v>18</v>
          </cell>
          <cell r="V1163">
            <v>127.2</v>
          </cell>
          <cell r="W1163">
            <v>128.09</v>
          </cell>
          <cell r="AA1163">
            <v>0</v>
          </cell>
          <cell r="AB1163">
            <v>156.69999999999999</v>
          </cell>
          <cell r="AE1163">
            <v>63.84</v>
          </cell>
          <cell r="AF1163">
            <v>71.989999999999995</v>
          </cell>
          <cell r="AK1163">
            <v>200.16</v>
          </cell>
          <cell r="AN1163">
            <v>127.2</v>
          </cell>
          <cell r="AO1163">
            <v>19.260000000000002</v>
          </cell>
          <cell r="AS1163">
            <v>0</v>
          </cell>
          <cell r="AT1163">
            <v>212.3</v>
          </cell>
          <cell r="AW1163">
            <v>171</v>
          </cell>
          <cell r="AX1163">
            <v>200.57</v>
          </cell>
          <cell r="BB1163">
            <v>0</v>
          </cell>
          <cell r="BC1163">
            <v>72.06</v>
          </cell>
          <cell r="BF1163">
            <v>48.3</v>
          </cell>
          <cell r="BG1163">
            <v>200.58</v>
          </cell>
          <cell r="BK1163">
            <v>0</v>
          </cell>
          <cell r="BL1163">
            <v>35.76</v>
          </cell>
          <cell r="BO1163">
            <v>15.9</v>
          </cell>
          <cell r="BP1163">
            <v>142.96</v>
          </cell>
          <cell r="BT1163">
            <v>0</v>
          </cell>
          <cell r="BU1163">
            <v>72.959999999999994</v>
          </cell>
          <cell r="BX1163">
            <v>192.6</v>
          </cell>
          <cell r="BY1163">
            <v>27.6</v>
          </cell>
          <cell r="CC1163">
            <v>0</v>
          </cell>
          <cell r="CD1163">
            <v>120.2</v>
          </cell>
          <cell r="CG1163">
            <v>78.599999999999994</v>
          </cell>
          <cell r="CH1163">
            <v>28.33</v>
          </cell>
          <cell r="CL1163">
            <v>0</v>
          </cell>
          <cell r="CM1163">
            <v>43.4</v>
          </cell>
          <cell r="CP1163">
            <v>74.8</v>
          </cell>
          <cell r="CU1163">
            <v>0</v>
          </cell>
          <cell r="CZ1163">
            <v>13.24</v>
          </cell>
          <cell r="DD1163">
            <v>0</v>
          </cell>
          <cell r="DH1163">
            <v>21.17</v>
          </cell>
          <cell r="DM1163">
            <v>0</v>
          </cell>
          <cell r="DN1163">
            <v>90.5</v>
          </cell>
        </row>
        <row r="1164">
          <cell r="A1164">
            <v>214</v>
          </cell>
          <cell r="B1164" t="str">
            <v>FG</v>
          </cell>
          <cell r="C1164" t="str">
            <v>FM</v>
          </cell>
          <cell r="D1164" t="str">
            <v>JO ALMOND W TF 70%</v>
          </cell>
          <cell r="E1164" t="str">
            <v>VITAVON W TF</v>
          </cell>
          <cell r="I1164">
            <v>0</v>
          </cell>
          <cell r="J1164">
            <v>18</v>
          </cell>
          <cell r="N1164">
            <v>97.6</v>
          </cell>
          <cell r="R1164">
            <v>0</v>
          </cell>
          <cell r="W1164">
            <v>64</v>
          </cell>
          <cell r="AA1164">
            <v>181</v>
          </cell>
          <cell r="AF1164">
            <v>46.6</v>
          </cell>
          <cell r="AJ1164">
            <v>35.200000000000003</v>
          </cell>
          <cell r="AK1164">
            <v>124</v>
          </cell>
          <cell r="AN1164">
            <v>32</v>
          </cell>
          <cell r="AO1164">
            <v>101.8</v>
          </cell>
          <cell r="AS1164">
            <v>1.6</v>
          </cell>
          <cell r="AT1164">
            <v>185.6</v>
          </cell>
          <cell r="AX1164">
            <v>97.8</v>
          </cell>
          <cell r="BB1164">
            <v>1.6</v>
          </cell>
          <cell r="BC1164">
            <v>94.8</v>
          </cell>
          <cell r="BG1164">
            <v>40.200000000000003</v>
          </cell>
          <cell r="BK1164">
            <v>1.6</v>
          </cell>
          <cell r="BL1164">
            <v>23.6</v>
          </cell>
          <cell r="BT1164">
            <v>1.6</v>
          </cell>
          <cell r="BU1164">
            <v>23.6</v>
          </cell>
          <cell r="CC1164">
            <v>89.6</v>
          </cell>
          <cell r="CD1164">
            <v>23.6</v>
          </cell>
          <cell r="CG1164">
            <v>86</v>
          </cell>
          <cell r="CL1164">
            <v>66</v>
          </cell>
          <cell r="CM1164">
            <v>104.4</v>
          </cell>
          <cell r="CP1164">
            <v>58.4</v>
          </cell>
          <cell r="CQ1164">
            <v>162.4</v>
          </cell>
          <cell r="CU1164">
            <v>2</v>
          </cell>
          <cell r="CV1164">
            <v>201.2</v>
          </cell>
          <cell r="CZ1164">
            <v>196.7</v>
          </cell>
          <cell r="DD1164">
            <v>2</v>
          </cell>
          <cell r="DE1164">
            <v>186.8</v>
          </cell>
          <cell r="DI1164">
            <v>141.80000000000001</v>
          </cell>
          <cell r="DM1164">
            <v>55.6</v>
          </cell>
          <cell r="DN1164">
            <v>66.8</v>
          </cell>
          <cell r="DQ1164">
            <v>90.399999999999991</v>
          </cell>
          <cell r="DR1164">
            <v>141.80000000000001</v>
          </cell>
        </row>
        <row r="1165">
          <cell r="A1165">
            <v>215</v>
          </cell>
          <cell r="B1165" t="str">
            <v>FG</v>
          </cell>
          <cell r="C1165" t="str">
            <v>FM</v>
          </cell>
          <cell r="D1165" t="str">
            <v>AMWAY</v>
          </cell>
          <cell r="I1165">
            <v>0</v>
          </cell>
          <cell r="N1165">
            <v>33</v>
          </cell>
          <cell r="R1165">
            <v>0</v>
          </cell>
          <cell r="V1165">
            <v>218</v>
          </cell>
          <cell r="W1165">
            <v>33</v>
          </cell>
          <cell r="AA1165">
            <v>0</v>
          </cell>
          <cell r="AF1165">
            <v>236.6</v>
          </cell>
          <cell r="AJ1165">
            <v>10</v>
          </cell>
          <cell r="AO1165">
            <v>210.6</v>
          </cell>
          <cell r="AS1165">
            <v>0</v>
          </cell>
          <cell r="AX1165">
            <v>142.6</v>
          </cell>
          <cell r="BB1165">
            <v>0</v>
          </cell>
          <cell r="BG1165">
            <v>135</v>
          </cell>
          <cell r="BK1165">
            <v>0</v>
          </cell>
          <cell r="BP1165">
            <v>127.8</v>
          </cell>
          <cell r="BT1165">
            <v>33.200000000000003</v>
          </cell>
          <cell r="BX1165">
            <v>16</v>
          </cell>
          <cell r="BY1165">
            <v>40.200000000000003</v>
          </cell>
          <cell r="CC1165">
            <v>0</v>
          </cell>
          <cell r="CG1165">
            <v>12.8</v>
          </cell>
          <cell r="CH1165">
            <v>138.4</v>
          </cell>
          <cell r="CL1165">
            <v>0</v>
          </cell>
          <cell r="CQ1165">
            <v>120.2</v>
          </cell>
          <cell r="CU1165">
            <v>0</v>
          </cell>
          <cell r="CZ1165">
            <v>104.2</v>
          </cell>
          <cell r="DD1165">
            <v>0</v>
          </cell>
          <cell r="DI1165">
            <v>79.400000000000006</v>
          </cell>
          <cell r="DM1165">
            <v>0</v>
          </cell>
          <cell r="DR1165">
            <v>186.6</v>
          </cell>
        </row>
        <row r="1166">
          <cell r="A1166">
            <v>216</v>
          </cell>
          <cell r="B1166" t="str">
            <v>FG</v>
          </cell>
          <cell r="C1166" t="str">
            <v>FM</v>
          </cell>
          <cell r="D1166" t="str">
            <v>FA SAUDI</v>
          </cell>
          <cell r="I1166">
            <v>0</v>
          </cell>
          <cell r="J1166">
            <v>29.2</v>
          </cell>
          <cell r="R1166">
            <v>0</v>
          </cell>
          <cell r="S1166">
            <v>29.2</v>
          </cell>
          <cell r="AA1166">
            <v>0</v>
          </cell>
          <cell r="AB1166">
            <v>29.2</v>
          </cell>
          <cell r="AK1166">
            <v>29.2</v>
          </cell>
          <cell r="AS1166">
            <v>0</v>
          </cell>
          <cell r="AT1166">
            <v>29.2</v>
          </cell>
          <cell r="BB1166">
            <v>0</v>
          </cell>
          <cell r="BC1166">
            <v>29.2</v>
          </cell>
          <cell r="BK1166">
            <v>0</v>
          </cell>
          <cell r="BL1166">
            <v>29.2</v>
          </cell>
          <cell r="BT1166">
            <v>0</v>
          </cell>
          <cell r="BU1166">
            <v>29.2</v>
          </cell>
          <cell r="CC1166">
            <v>0</v>
          </cell>
          <cell r="CD1166">
            <v>29.2</v>
          </cell>
          <cell r="CL1166">
            <v>0</v>
          </cell>
          <cell r="CM1166">
            <v>29.2</v>
          </cell>
          <cell r="CU1166">
            <v>0</v>
          </cell>
          <cell r="CV1166">
            <v>29.2</v>
          </cell>
          <cell r="DD1166">
            <v>0</v>
          </cell>
          <cell r="DE1166">
            <v>29.2</v>
          </cell>
          <cell r="DM1166">
            <v>0</v>
          </cell>
          <cell r="DN1166">
            <v>29.2</v>
          </cell>
        </row>
        <row r="1167">
          <cell r="A1167">
            <v>217</v>
          </cell>
          <cell r="B1167" t="str">
            <v>FG</v>
          </cell>
          <cell r="C1167" t="str">
            <v>FM</v>
          </cell>
          <cell r="D1167" t="str">
            <v>LE CHAT</v>
          </cell>
          <cell r="I1167">
            <v>0</v>
          </cell>
          <cell r="R1167">
            <v>0</v>
          </cell>
          <cell r="AA1167">
            <v>0</v>
          </cell>
          <cell r="AS1167">
            <v>0</v>
          </cell>
          <cell r="BB1167">
            <v>0</v>
          </cell>
          <cell r="BK1167">
            <v>0</v>
          </cell>
          <cell r="BT1167">
            <v>119</v>
          </cell>
          <cell r="CC1167">
            <v>49</v>
          </cell>
          <cell r="CL1167">
            <v>9</v>
          </cell>
          <cell r="CU1167">
            <v>9</v>
          </cell>
          <cell r="DD1167">
            <v>9</v>
          </cell>
          <cell r="DM1167">
            <v>9</v>
          </cell>
        </row>
        <row r="1168">
          <cell r="A1168">
            <v>218</v>
          </cell>
          <cell r="B1168" t="str">
            <v>FG</v>
          </cell>
          <cell r="C1168" t="str">
            <v>FM</v>
          </cell>
          <cell r="D1168" t="str">
            <v>SDM NOODLES</v>
          </cell>
          <cell r="I1168">
            <v>16</v>
          </cell>
          <cell r="J1168">
            <v>209.65</v>
          </cell>
          <cell r="R1168">
            <v>16</v>
          </cell>
          <cell r="S1168">
            <v>209.65</v>
          </cell>
          <cell r="AA1168">
            <v>16</v>
          </cell>
          <cell r="AB1168">
            <v>196.85</v>
          </cell>
          <cell r="AJ1168">
            <v>16</v>
          </cell>
          <cell r="AK1168">
            <v>144.85</v>
          </cell>
          <cell r="AS1168">
            <v>16</v>
          </cell>
          <cell r="AT1168">
            <v>106.75</v>
          </cell>
          <cell r="BB1168">
            <v>16</v>
          </cell>
          <cell r="BC1168">
            <v>236.55</v>
          </cell>
          <cell r="BK1168">
            <v>16</v>
          </cell>
          <cell r="BT1168">
            <v>16</v>
          </cell>
          <cell r="CC1168">
            <v>16</v>
          </cell>
          <cell r="CL1168">
            <v>16</v>
          </cell>
          <cell r="CU1168">
            <v>16</v>
          </cell>
          <cell r="DD1168">
            <v>16</v>
          </cell>
          <cell r="DM1168">
            <v>16</v>
          </cell>
        </row>
        <row r="1169">
          <cell r="A1169">
            <v>219</v>
          </cell>
          <cell r="B1169" t="str">
            <v>FG</v>
          </cell>
          <cell r="C1169" t="str">
            <v>FM</v>
          </cell>
          <cell r="D1169" t="str">
            <v>ITC</v>
          </cell>
          <cell r="I1169">
            <v>0</v>
          </cell>
          <cell r="J1169">
            <v>275.10000000000002</v>
          </cell>
          <cell r="R1169">
            <v>0</v>
          </cell>
          <cell r="S1169">
            <v>189.9</v>
          </cell>
          <cell r="AA1169">
            <v>0</v>
          </cell>
          <cell r="AB1169">
            <v>156.69999999999999</v>
          </cell>
          <cell r="AK1169">
            <v>211.5</v>
          </cell>
          <cell r="AS1169">
            <v>0</v>
          </cell>
          <cell r="AT1169">
            <v>212.3</v>
          </cell>
          <cell r="BB1169">
            <v>0</v>
          </cell>
          <cell r="BC1169">
            <v>201.1</v>
          </cell>
          <cell r="BK1169">
            <v>0</v>
          </cell>
          <cell r="BL1169">
            <v>202.7</v>
          </cell>
          <cell r="BU1169">
            <v>213.9</v>
          </cell>
          <cell r="CC1169">
            <v>0</v>
          </cell>
          <cell r="CD1169">
            <v>299.5</v>
          </cell>
          <cell r="CL1169">
            <v>0</v>
          </cell>
          <cell r="CM1169">
            <v>335.5</v>
          </cell>
          <cell r="CU1169">
            <v>0</v>
          </cell>
          <cell r="CV1169">
            <v>293.5</v>
          </cell>
          <cell r="DD1169">
            <v>0</v>
          </cell>
          <cell r="DE1169">
            <v>390.3</v>
          </cell>
          <cell r="DM1169">
            <v>0</v>
          </cell>
          <cell r="DN1169">
            <v>534.70000000000005</v>
          </cell>
        </row>
        <row r="1170">
          <cell r="A1170">
            <v>220</v>
          </cell>
          <cell r="B1170" t="str">
            <v>FG</v>
          </cell>
          <cell r="C1170" t="str">
            <v>FM</v>
          </cell>
          <cell r="D1170" t="str">
            <v>GENERAL NOODLES</v>
          </cell>
          <cell r="I1170">
            <v>54.4</v>
          </cell>
          <cell r="J1170">
            <v>95.11</v>
          </cell>
          <cell r="N1170">
            <v>66.03</v>
          </cell>
          <cell r="R1170">
            <v>17.399999999999999</v>
          </cell>
          <cell r="S1170">
            <v>86.31</v>
          </cell>
          <cell r="V1170">
            <v>235.6</v>
          </cell>
          <cell r="AA1170">
            <v>17.399999999999999</v>
          </cell>
          <cell r="AB1170">
            <v>80.11</v>
          </cell>
          <cell r="AE1170">
            <v>48.800000000000118</v>
          </cell>
          <cell r="AF1170">
            <v>319.3</v>
          </cell>
          <cell r="AJ1170">
            <v>35.200000000000003</v>
          </cell>
          <cell r="AK1170">
            <v>80.11</v>
          </cell>
          <cell r="AO1170">
            <v>293.39999999999998</v>
          </cell>
          <cell r="AS1170">
            <v>37.6</v>
          </cell>
          <cell r="AT1170">
            <v>80.11</v>
          </cell>
          <cell r="AW1170">
            <v>44.4</v>
          </cell>
          <cell r="AX1170">
            <v>232.6</v>
          </cell>
          <cell r="BB1170">
            <v>37.6</v>
          </cell>
          <cell r="BC1170">
            <v>80.11</v>
          </cell>
          <cell r="BF1170">
            <v>12</v>
          </cell>
          <cell r="BG1170">
            <v>239.4</v>
          </cell>
          <cell r="BK1170">
            <v>37.6</v>
          </cell>
          <cell r="BT1170">
            <v>37.6</v>
          </cell>
          <cell r="CC1170">
            <v>42.4</v>
          </cell>
          <cell r="CL1170">
            <v>61.1</v>
          </cell>
          <cell r="CU1170">
            <v>81</v>
          </cell>
          <cell r="DD1170">
            <v>75</v>
          </cell>
          <cell r="DM1170">
            <v>75</v>
          </cell>
        </row>
        <row r="1171">
          <cell r="A1171">
            <v>221</v>
          </cell>
          <cell r="B1171" t="str">
            <v>FG</v>
          </cell>
          <cell r="C1171" t="str">
            <v>FM</v>
          </cell>
          <cell r="D1171" t="str">
            <v>NEAT SCRAP SOAP</v>
          </cell>
          <cell r="I1171">
            <v>10</v>
          </cell>
          <cell r="R1171">
            <v>10</v>
          </cell>
          <cell r="AA1171">
            <v>10</v>
          </cell>
          <cell r="AJ1171">
            <v>10</v>
          </cell>
          <cell r="AS1171">
            <v>25</v>
          </cell>
          <cell r="BB1171">
            <v>25</v>
          </cell>
          <cell r="BK1171">
            <v>25</v>
          </cell>
          <cell r="BT1171">
            <v>30</v>
          </cell>
          <cell r="CC1171">
            <v>30</v>
          </cell>
          <cell r="CL1171">
            <v>30</v>
          </cell>
          <cell r="CU1171">
            <v>30</v>
          </cell>
          <cell r="DD1171">
            <v>30</v>
          </cell>
          <cell r="DM1171">
            <v>30</v>
          </cell>
        </row>
        <row r="1172">
          <cell r="A1172">
            <v>222</v>
          </cell>
          <cell r="B1172" t="str">
            <v>FG</v>
          </cell>
          <cell r="C1172" t="str">
            <v>FM</v>
          </cell>
          <cell r="D1172" t="str">
            <v>DAVID OPEC</v>
          </cell>
        </row>
        <row r="1173">
          <cell r="A1173">
            <v>223</v>
          </cell>
          <cell r="B1173" t="str">
            <v>FG</v>
          </cell>
          <cell r="C1173" t="str">
            <v>FM</v>
          </cell>
          <cell r="D1173" t="str">
            <v>DABUR VATICA</v>
          </cell>
        </row>
        <row r="1174">
          <cell r="A1174">
            <v>224</v>
          </cell>
          <cell r="B1174" t="str">
            <v>FG</v>
          </cell>
          <cell r="C1174" t="str">
            <v>FM</v>
          </cell>
          <cell r="D1174" t="str">
            <v>MARGO</v>
          </cell>
          <cell r="J1174">
            <v>209.65</v>
          </cell>
          <cell r="N1174">
            <v>52</v>
          </cell>
          <cell r="S1174">
            <v>209.65</v>
          </cell>
          <cell r="W1174">
            <v>52</v>
          </cell>
          <cell r="AB1174">
            <v>196.85</v>
          </cell>
          <cell r="AF1174">
            <v>52</v>
          </cell>
          <cell r="AK1174">
            <v>144.85</v>
          </cell>
          <cell r="AO1174">
            <v>52</v>
          </cell>
          <cell r="AT1174">
            <v>106.75</v>
          </cell>
          <cell r="AX1174">
            <v>52</v>
          </cell>
          <cell r="BC1174">
            <v>236.55</v>
          </cell>
          <cell r="BG1174">
            <v>52</v>
          </cell>
          <cell r="BL1174">
            <v>298.3</v>
          </cell>
          <cell r="BU1174">
            <v>250.3</v>
          </cell>
          <cell r="CD1174">
            <v>202.3</v>
          </cell>
          <cell r="CG1174">
            <v>16</v>
          </cell>
          <cell r="CM1174">
            <v>63.3</v>
          </cell>
          <cell r="CP1174">
            <v>91</v>
          </cell>
          <cell r="CQ1174">
            <v>128</v>
          </cell>
          <cell r="CV1174">
            <v>36.299999999999997</v>
          </cell>
          <cell r="CY1174">
            <v>75</v>
          </cell>
          <cell r="CZ1174">
            <v>132.4</v>
          </cell>
          <cell r="DE1174">
            <v>20.3</v>
          </cell>
          <cell r="DH1174">
            <v>27</v>
          </cell>
          <cell r="DI1174">
            <v>151.4</v>
          </cell>
          <cell r="DN1174">
            <v>4.55</v>
          </cell>
          <cell r="DQ1174">
            <v>15.75</v>
          </cell>
          <cell r="DR1174">
            <v>133.19999999999999</v>
          </cell>
        </row>
        <row r="1175">
          <cell r="A1175">
            <v>225</v>
          </cell>
          <cell r="B1175" t="str">
            <v>FG</v>
          </cell>
          <cell r="C1175" t="str">
            <v>FM</v>
          </cell>
          <cell r="D1175" t="str">
            <v>OIL BASED NOODLES</v>
          </cell>
        </row>
        <row r="1176">
          <cell r="A1176">
            <v>226</v>
          </cell>
          <cell r="B1176" t="str">
            <v>FG</v>
          </cell>
          <cell r="C1176" t="str">
            <v>SM</v>
          </cell>
          <cell r="D1176" t="str">
            <v>TRANSLUCENT</v>
          </cell>
          <cell r="F1176">
            <v>0</v>
          </cell>
          <cell r="G1176">
            <v>0</v>
          </cell>
          <cell r="H1176">
            <v>0</v>
          </cell>
          <cell r="I1176">
            <v>262</v>
          </cell>
          <cell r="J1176">
            <v>95.11</v>
          </cell>
          <cell r="K1176">
            <v>0</v>
          </cell>
          <cell r="L1176">
            <v>0</v>
          </cell>
          <cell r="M1176">
            <v>425.7</v>
          </cell>
          <cell r="N1176">
            <v>66.03</v>
          </cell>
          <cell r="O1176">
            <v>0</v>
          </cell>
          <cell r="P1176">
            <v>0</v>
          </cell>
          <cell r="Q1176">
            <v>0</v>
          </cell>
          <cell r="R1176">
            <v>23.4</v>
          </cell>
          <cell r="S1176">
            <v>86.31</v>
          </cell>
          <cell r="T1176">
            <v>0</v>
          </cell>
          <cell r="U1176">
            <v>0</v>
          </cell>
          <cell r="V1176">
            <v>235.6</v>
          </cell>
          <cell r="W1176">
            <v>1023.59</v>
          </cell>
          <cell r="X1176">
            <v>0</v>
          </cell>
          <cell r="Y1176">
            <v>0</v>
          </cell>
          <cell r="Z1176">
            <v>0</v>
          </cell>
          <cell r="AA1176">
            <v>34.6</v>
          </cell>
          <cell r="AB1176">
            <v>80.11</v>
          </cell>
          <cell r="AC1176">
            <v>0</v>
          </cell>
          <cell r="AD1176">
            <v>0</v>
          </cell>
          <cell r="AE1176">
            <v>48.800000000000118</v>
          </cell>
          <cell r="AF1176">
            <v>319.3</v>
          </cell>
          <cell r="AG1176">
            <v>0</v>
          </cell>
          <cell r="AH1176">
            <v>0</v>
          </cell>
          <cell r="AI1176">
            <v>0</v>
          </cell>
          <cell r="AJ1176">
            <v>34.6</v>
          </cell>
          <cell r="AK1176">
            <v>80.11</v>
          </cell>
          <cell r="AL1176">
            <v>0</v>
          </cell>
          <cell r="AM1176">
            <v>0</v>
          </cell>
          <cell r="AN1176">
            <v>429.2</v>
          </cell>
          <cell r="AO1176">
            <v>293.39999999999998</v>
          </cell>
          <cell r="AP1176">
            <v>0</v>
          </cell>
          <cell r="AQ1176">
            <v>0</v>
          </cell>
          <cell r="AR1176">
            <v>0</v>
          </cell>
          <cell r="AS1176">
            <v>105.30000000000001</v>
          </cell>
          <cell r="AT1176">
            <v>80.11</v>
          </cell>
          <cell r="AU1176">
            <v>0</v>
          </cell>
          <cell r="AV1176">
            <v>0</v>
          </cell>
          <cell r="AW1176">
            <v>44.4</v>
          </cell>
          <cell r="AX1176">
            <v>232.6</v>
          </cell>
          <cell r="AY1176">
            <v>0</v>
          </cell>
          <cell r="AZ1176">
            <v>0</v>
          </cell>
          <cell r="BA1176">
            <v>0</v>
          </cell>
          <cell r="BB1176">
            <v>150.29999999999998</v>
          </cell>
          <cell r="BC1176">
            <v>80.11</v>
          </cell>
          <cell r="BD1176">
            <v>0</v>
          </cell>
          <cell r="BE1176">
            <v>0</v>
          </cell>
          <cell r="BF1176">
            <v>12</v>
          </cell>
          <cell r="BG1176">
            <v>239.4</v>
          </cell>
          <cell r="BL1176">
            <v>71.31</v>
          </cell>
          <cell r="BP1176">
            <v>219.8</v>
          </cell>
          <cell r="BY1176">
            <v>197.1</v>
          </cell>
          <cell r="CD1176">
            <v>52.11</v>
          </cell>
          <cell r="CH1176">
            <v>139.5</v>
          </cell>
          <cell r="CM1176">
            <v>52.11</v>
          </cell>
          <cell r="CQ1176">
            <v>58.9</v>
          </cell>
          <cell r="CV1176">
            <v>52.11</v>
          </cell>
          <cell r="CZ1176">
            <v>32.200000000000003</v>
          </cell>
          <cell r="DD1176">
            <v>29</v>
          </cell>
          <cell r="DE1176">
            <v>50.91</v>
          </cell>
          <cell r="DI1176">
            <v>2.2000000000000002</v>
          </cell>
          <cell r="DM1176">
            <v>1.2</v>
          </cell>
          <cell r="DN1176">
            <v>37.31</v>
          </cell>
          <cell r="DQ1176">
            <v>13.2</v>
          </cell>
          <cell r="DR1176">
            <v>139.1</v>
          </cell>
        </row>
        <row r="1177">
          <cell r="A1177">
            <v>227</v>
          </cell>
          <cell r="B1177" t="str">
            <v>FG</v>
          </cell>
          <cell r="C1177" t="str">
            <v>SM</v>
          </cell>
          <cell r="D1177" t="str">
            <v>TETMOSOL</v>
          </cell>
          <cell r="F1177">
            <v>2508.8226499999996</v>
          </cell>
          <cell r="G1177">
            <v>8946.7241049000004</v>
          </cell>
          <cell r="H1177">
            <v>5382.5619999999999</v>
          </cell>
          <cell r="I1177">
            <v>15746.206880285714</v>
          </cell>
          <cell r="J1177">
            <v>3069.2730000000001</v>
          </cell>
          <cell r="K1177">
            <v>7209.7510000000002</v>
          </cell>
          <cell r="L1177">
            <v>1648.7660000000001</v>
          </cell>
          <cell r="M1177">
            <v>2120.04</v>
          </cell>
          <cell r="N1177">
            <v>900.44</v>
          </cell>
          <cell r="O1177">
            <v>2413.6124679999998</v>
          </cell>
          <cell r="P1177">
            <v>8654.7067600000009</v>
          </cell>
          <cell r="Q1177">
            <v>5474.2300000000005</v>
          </cell>
          <cell r="R1177">
            <v>16389.520054857141</v>
          </cell>
          <cell r="S1177">
            <v>2692.2510000000002</v>
          </cell>
          <cell r="T1177">
            <v>5380.4610000000002</v>
          </cell>
          <cell r="U1177">
            <v>49.539000000000001</v>
          </cell>
          <cell r="V1177">
            <v>2988.3900000000003</v>
          </cell>
          <cell r="W1177">
            <v>1023.59</v>
          </cell>
          <cell r="X1177">
            <v>2604.9052000000001</v>
          </cell>
          <cell r="Y1177">
            <v>8770.0426800000005</v>
          </cell>
          <cell r="Z1177">
            <v>6445.8399999999992</v>
          </cell>
          <cell r="AA1177">
            <v>16756.906808</v>
          </cell>
          <cell r="AB1177">
            <v>2920.9569999999994</v>
          </cell>
          <cell r="AC1177">
            <v>5281.2990000000009</v>
          </cell>
          <cell r="AD1177">
            <v>2061.2539999999999</v>
          </cell>
          <cell r="AE1177">
            <v>1991.39</v>
          </cell>
          <cell r="AF1177">
            <v>1294.19</v>
          </cell>
          <cell r="AG1177">
            <v>2699.7643799999996</v>
          </cell>
          <cell r="AH1177">
            <v>9556.3076600000004</v>
          </cell>
          <cell r="AI1177">
            <v>6230.55</v>
          </cell>
          <cell r="AJ1177">
            <v>16199.347871428574</v>
          </cell>
          <cell r="AK1177">
            <v>3080.3429999999998</v>
          </cell>
          <cell r="AL1177">
            <v>5288.32</v>
          </cell>
          <cell r="AM1177">
            <v>8847.8459999999995</v>
          </cell>
          <cell r="AN1177">
            <v>1297.74</v>
          </cell>
          <cell r="AO1177">
            <v>1192.46</v>
          </cell>
          <cell r="AP1177">
            <v>3055.2922799999997</v>
          </cell>
          <cell r="AQ1177">
            <v>9564.8961600000002</v>
          </cell>
          <cell r="AR1177">
            <v>4700.0599999999995</v>
          </cell>
          <cell r="AS1177">
            <v>17699.171355714287</v>
          </cell>
          <cell r="AT1177">
            <v>2586.9290000000001</v>
          </cell>
          <cell r="AU1177">
            <v>6557.2330000000002</v>
          </cell>
          <cell r="AV1177">
            <v>3863.3450000000003</v>
          </cell>
          <cell r="AW1177">
            <v>2307.9900000000002</v>
          </cell>
          <cell r="AX1177">
            <v>1164.6699999999998</v>
          </cell>
          <cell r="AY1177">
            <v>3559.43568</v>
          </cell>
          <cell r="AZ1177">
            <v>9770.3371599999991</v>
          </cell>
          <cell r="BA1177">
            <v>5955</v>
          </cell>
          <cell r="BB1177">
            <v>17975.845144000003</v>
          </cell>
          <cell r="BC1177">
            <v>2864.0140000000001</v>
          </cell>
          <cell r="BD1177">
            <v>6746.5209999999997</v>
          </cell>
          <cell r="BE1177">
            <v>2795.0239999999999</v>
          </cell>
          <cell r="BF1177">
            <v>1405.6299999999999</v>
          </cell>
          <cell r="BG1177">
            <v>954.83</v>
          </cell>
          <cell r="BU1177">
            <v>68.984999999999999</v>
          </cell>
        </row>
        <row r="1178">
          <cell r="A1178">
            <v>228</v>
          </cell>
          <cell r="B1178" t="str">
            <v>FG</v>
          </cell>
          <cell r="C1178" t="str">
            <v>FM</v>
          </cell>
          <cell r="D1178" t="str">
            <v xml:space="preserve">J &amp; J </v>
          </cell>
        </row>
        <row r="1179">
          <cell r="A1179">
            <v>229</v>
          </cell>
          <cell r="B1179" t="str">
            <v>FG</v>
          </cell>
          <cell r="C1179" t="str">
            <v>FM</v>
          </cell>
          <cell r="D1179" t="str">
            <v>JBS 80:20</v>
          </cell>
        </row>
        <row r="1180">
          <cell r="A1180">
            <v>230</v>
          </cell>
          <cell r="B1180" t="str">
            <v>FG</v>
          </cell>
          <cell r="C1180" t="str">
            <v>FM</v>
          </cell>
          <cell r="D1180" t="str">
            <v>IMPORTED NOODLES</v>
          </cell>
          <cell r="N1180">
            <v>52</v>
          </cell>
          <cell r="W1180">
            <v>52</v>
          </cell>
          <cell r="AF1180">
            <v>52</v>
          </cell>
          <cell r="AO1180">
            <v>52</v>
          </cell>
          <cell r="AX1180">
            <v>52</v>
          </cell>
          <cell r="BG1180">
            <v>52</v>
          </cell>
          <cell r="BP1180">
            <v>52</v>
          </cell>
          <cell r="BY1180">
            <v>52</v>
          </cell>
          <cell r="CH1180">
            <v>52</v>
          </cell>
          <cell r="CQ1180">
            <v>52</v>
          </cell>
          <cell r="CZ1180">
            <v>52</v>
          </cell>
          <cell r="DI1180">
            <v>52</v>
          </cell>
          <cell r="DR1180">
            <v>52</v>
          </cell>
        </row>
        <row r="1181">
          <cell r="A1181">
            <v>231</v>
          </cell>
          <cell r="B1181" t="str">
            <v>FG</v>
          </cell>
          <cell r="C1181" t="str">
            <v>FM</v>
          </cell>
          <cell r="D1181" t="str">
            <v>HAWAI SYNDAATE BASE REGULER</v>
          </cell>
        </row>
        <row r="1182">
          <cell r="F1182">
            <v>0</v>
          </cell>
          <cell r="G1182">
            <v>0</v>
          </cell>
          <cell r="H1182">
            <v>0</v>
          </cell>
          <cell r="I1182">
            <v>262</v>
          </cell>
          <cell r="J1182">
            <v>1041.3710000000001</v>
          </cell>
          <cell r="K1182">
            <v>0</v>
          </cell>
          <cell r="L1182">
            <v>0</v>
          </cell>
          <cell r="M1182">
            <v>425.7</v>
          </cell>
          <cell r="N1182">
            <v>900.44</v>
          </cell>
          <cell r="O1182">
            <v>0</v>
          </cell>
          <cell r="P1182">
            <v>0</v>
          </cell>
          <cell r="Q1182">
            <v>0</v>
          </cell>
          <cell r="R1182">
            <v>70.599999999999994</v>
          </cell>
          <cell r="S1182">
            <v>925.32099999999991</v>
          </cell>
          <cell r="T1182">
            <v>0</v>
          </cell>
          <cell r="U1182">
            <v>0</v>
          </cell>
          <cell r="V1182">
            <v>791.6</v>
          </cell>
          <cell r="W1182">
            <v>1023.59</v>
          </cell>
          <cell r="X1182">
            <v>0</v>
          </cell>
          <cell r="Y1182">
            <v>0</v>
          </cell>
          <cell r="Z1182">
            <v>0</v>
          </cell>
          <cell r="AA1182">
            <v>361</v>
          </cell>
          <cell r="AB1182">
            <v>996.85599999999999</v>
          </cell>
          <cell r="AC1182">
            <v>0</v>
          </cell>
          <cell r="AD1182">
            <v>0</v>
          </cell>
          <cell r="AE1182">
            <v>301.04000000000013</v>
          </cell>
          <cell r="AF1182">
            <v>1294.19</v>
          </cell>
          <cell r="AG1182">
            <v>0</v>
          </cell>
          <cell r="AH1182">
            <v>0</v>
          </cell>
          <cell r="AI1182">
            <v>0</v>
          </cell>
          <cell r="AJ1182">
            <v>408.6</v>
          </cell>
          <cell r="AK1182">
            <v>1187.9059999999999</v>
          </cell>
          <cell r="AL1182">
            <v>0</v>
          </cell>
          <cell r="AM1182">
            <v>0</v>
          </cell>
          <cell r="AN1182">
            <v>429.2</v>
          </cell>
          <cell r="AO1182">
            <v>1192.46</v>
          </cell>
          <cell r="AP1182">
            <v>0</v>
          </cell>
          <cell r="AQ1182">
            <v>0</v>
          </cell>
          <cell r="AR1182">
            <v>0</v>
          </cell>
          <cell r="AS1182">
            <v>105.30000000000001</v>
          </cell>
          <cell r="AT1182">
            <v>1123.2560000000001</v>
          </cell>
          <cell r="AU1182">
            <v>0</v>
          </cell>
          <cell r="AV1182">
            <v>0</v>
          </cell>
          <cell r="AW1182">
            <v>283.39999999999998</v>
          </cell>
          <cell r="AX1182">
            <v>1164.6699999999998</v>
          </cell>
          <cell r="AY1182">
            <v>0</v>
          </cell>
          <cell r="AZ1182">
            <v>0</v>
          </cell>
          <cell r="BA1182">
            <v>0</v>
          </cell>
          <cell r="BB1182">
            <v>150.29999999999998</v>
          </cell>
          <cell r="BC1182">
            <v>1087.4559999999999</v>
          </cell>
          <cell r="BD1182">
            <v>0</v>
          </cell>
          <cell r="BE1182">
            <v>0</v>
          </cell>
          <cell r="BF1182">
            <v>96.3</v>
          </cell>
          <cell r="BG1182">
            <v>954.83</v>
          </cell>
          <cell r="BH1182">
            <v>0</v>
          </cell>
          <cell r="BI1182">
            <v>0</v>
          </cell>
          <cell r="BJ1182">
            <v>0</v>
          </cell>
          <cell r="BK1182">
            <v>191.2</v>
          </cell>
          <cell r="BL1182">
            <v>990.30600000000004</v>
          </cell>
          <cell r="BM1182">
            <v>0</v>
          </cell>
          <cell r="BN1182">
            <v>0</v>
          </cell>
          <cell r="BO1182">
            <v>235.5</v>
          </cell>
          <cell r="BP1182">
            <v>656.06000000000006</v>
          </cell>
          <cell r="BQ1182">
            <v>0</v>
          </cell>
          <cell r="BR1182">
            <v>0</v>
          </cell>
          <cell r="BS1182">
            <v>0</v>
          </cell>
          <cell r="BT1182">
            <v>456.20000000000005</v>
          </cell>
          <cell r="BU1182">
            <v>947.78100000000006</v>
          </cell>
          <cell r="BV1182">
            <v>0</v>
          </cell>
          <cell r="BW1182">
            <v>0</v>
          </cell>
          <cell r="BX1182">
            <v>550.6</v>
          </cell>
          <cell r="BY1182">
            <v>540.21</v>
          </cell>
          <cell r="BZ1182">
            <v>0</v>
          </cell>
          <cell r="CA1182">
            <v>0</v>
          </cell>
          <cell r="CB1182">
            <v>0</v>
          </cell>
          <cell r="CC1182">
            <v>479</v>
          </cell>
          <cell r="CD1182">
            <v>1072.846</v>
          </cell>
          <cell r="CE1182">
            <v>0</v>
          </cell>
          <cell r="CF1182">
            <v>0</v>
          </cell>
          <cell r="CG1182">
            <v>603</v>
          </cell>
          <cell r="CH1182">
            <v>737.23</v>
          </cell>
          <cell r="CI1182">
            <v>0</v>
          </cell>
          <cell r="CJ1182">
            <v>0</v>
          </cell>
          <cell r="CK1182">
            <v>0</v>
          </cell>
          <cell r="CL1182">
            <v>198.1</v>
          </cell>
          <cell r="CM1182">
            <v>1076.396</v>
          </cell>
          <cell r="CN1182">
            <v>0</v>
          </cell>
          <cell r="CO1182">
            <v>0</v>
          </cell>
          <cell r="CP1182">
            <v>235.4</v>
          </cell>
          <cell r="CQ1182">
            <v>938.06000000000006</v>
          </cell>
          <cell r="CR1182">
            <v>0</v>
          </cell>
          <cell r="CS1182">
            <v>0</v>
          </cell>
          <cell r="CT1182">
            <v>0</v>
          </cell>
          <cell r="CU1182">
            <v>367.4</v>
          </cell>
          <cell r="CV1182">
            <v>1148.4959999999999</v>
          </cell>
          <cell r="CW1182">
            <v>0</v>
          </cell>
          <cell r="CX1182">
            <v>0</v>
          </cell>
          <cell r="CY1182">
            <v>149</v>
          </cell>
          <cell r="CZ1182">
            <v>838.6</v>
          </cell>
          <cell r="DA1182">
            <v>0</v>
          </cell>
          <cell r="DB1182">
            <v>0</v>
          </cell>
          <cell r="DC1182">
            <v>0</v>
          </cell>
          <cell r="DD1182">
            <v>169.4</v>
          </cell>
          <cell r="DE1182">
            <v>1242.596</v>
          </cell>
          <cell r="DF1182">
            <v>0</v>
          </cell>
          <cell r="DG1182">
            <v>0</v>
          </cell>
          <cell r="DH1182">
            <v>327.54000000000002</v>
          </cell>
          <cell r="DI1182">
            <v>731.66000000000008</v>
          </cell>
          <cell r="DJ1182">
            <v>0</v>
          </cell>
          <cell r="DK1182">
            <v>0</v>
          </cell>
          <cell r="DL1182">
            <v>0</v>
          </cell>
          <cell r="DM1182">
            <v>460.8</v>
          </cell>
          <cell r="DN1182">
            <v>1127.596</v>
          </cell>
          <cell r="DO1182">
            <v>0</v>
          </cell>
          <cell r="DP1182">
            <v>0</v>
          </cell>
          <cell r="DQ1182">
            <v>693.41000000000008</v>
          </cell>
          <cell r="DR1182">
            <v>909.21999999999991</v>
          </cell>
        </row>
        <row r="1183">
          <cell r="F1183">
            <v>2508.8226499999996</v>
          </cell>
          <cell r="G1183">
            <v>8946.7241049000004</v>
          </cell>
          <cell r="H1183">
            <v>5382.5619999999999</v>
          </cell>
          <cell r="I1183">
            <v>15746.206880285714</v>
          </cell>
          <cell r="J1183">
            <v>3069.2730000000001</v>
          </cell>
          <cell r="K1183">
            <v>7209.7510000000002</v>
          </cell>
          <cell r="L1183">
            <v>1648.7660000000001</v>
          </cell>
          <cell r="M1183">
            <v>2120.04</v>
          </cell>
          <cell r="N1183">
            <v>900.44</v>
          </cell>
          <cell r="O1183">
            <v>2413.6124679999998</v>
          </cell>
          <cell r="P1183">
            <v>8654.7067600000009</v>
          </cell>
          <cell r="Q1183">
            <v>5474.2300000000005</v>
          </cell>
          <cell r="R1183">
            <v>16389.520054857141</v>
          </cell>
          <cell r="S1183">
            <v>2692.2510000000002</v>
          </cell>
          <cell r="T1183">
            <v>5380.4610000000002</v>
          </cell>
          <cell r="U1183">
            <v>49.539000000000001</v>
          </cell>
          <cell r="V1183">
            <v>2988.3900000000003</v>
          </cell>
          <cell r="W1183">
            <v>1023.59</v>
          </cell>
          <cell r="X1183">
            <v>2604.9052000000001</v>
          </cell>
          <cell r="Y1183">
            <v>8770.0426800000005</v>
          </cell>
          <cell r="Z1183">
            <v>6445.8399999999992</v>
          </cell>
          <cell r="AA1183">
            <v>16756.906808</v>
          </cell>
          <cell r="AB1183">
            <v>2920.9569999999994</v>
          </cell>
          <cell r="AC1183">
            <v>5281.2990000000009</v>
          </cell>
          <cell r="AD1183">
            <v>2061.2539999999999</v>
          </cell>
          <cell r="AE1183">
            <v>1991.39</v>
          </cell>
          <cell r="AF1183">
            <v>1294.19</v>
          </cell>
          <cell r="AG1183">
            <v>2699.7643799999996</v>
          </cell>
          <cell r="AH1183">
            <v>9556.3076600000004</v>
          </cell>
          <cell r="AI1183">
            <v>6230.55</v>
          </cell>
          <cell r="AJ1183">
            <v>16199.347871428574</v>
          </cell>
          <cell r="AK1183">
            <v>3080.3429999999998</v>
          </cell>
          <cell r="AL1183">
            <v>5288.32</v>
          </cell>
          <cell r="AM1183">
            <v>8847.8459999999995</v>
          </cell>
          <cell r="AN1183">
            <v>1297.74</v>
          </cell>
          <cell r="AO1183">
            <v>1192.46</v>
          </cell>
          <cell r="AP1183">
            <v>3055.2922799999997</v>
          </cell>
          <cell r="AQ1183">
            <v>9564.8961600000002</v>
          </cell>
          <cell r="AR1183">
            <v>4700.0599999999995</v>
          </cell>
          <cell r="AS1183">
            <v>17699.171355714287</v>
          </cell>
          <cell r="AT1183">
            <v>2586.9290000000001</v>
          </cell>
          <cell r="AU1183">
            <v>6557.2330000000002</v>
          </cell>
          <cell r="AV1183">
            <v>3863.3450000000003</v>
          </cell>
          <cell r="AW1183">
            <v>2307.9900000000002</v>
          </cell>
          <cell r="AX1183">
            <v>1164.6699999999998</v>
          </cell>
          <cell r="AY1183">
            <v>3559.43568</v>
          </cell>
          <cell r="AZ1183">
            <v>9770.3371599999991</v>
          </cell>
          <cell r="BA1183">
            <v>5955</v>
          </cell>
          <cell r="BB1183">
            <v>17975.845144000003</v>
          </cell>
          <cell r="BC1183">
            <v>2864.0140000000001</v>
          </cell>
          <cell r="BD1183">
            <v>6746.5209999999997</v>
          </cell>
          <cell r="BE1183">
            <v>2795.0239999999999</v>
          </cell>
          <cell r="BF1183">
            <v>1405.6299999999999</v>
          </cell>
          <cell r="BG1183">
            <v>954.83</v>
          </cell>
          <cell r="BH1183">
            <v>3337.87068</v>
          </cell>
          <cell r="BI1183">
            <v>9950.4327999999987</v>
          </cell>
          <cell r="BJ1183">
            <v>5591.5169999999998</v>
          </cell>
          <cell r="BK1183">
            <v>18984.897957142861</v>
          </cell>
          <cell r="BL1183">
            <v>1166.095</v>
          </cell>
          <cell r="BM1183">
            <v>7096.1020000000008</v>
          </cell>
          <cell r="BN1183">
            <v>3675.83</v>
          </cell>
          <cell r="BO1183">
            <v>2181.09</v>
          </cell>
          <cell r="BP1183">
            <v>656.06000000000006</v>
          </cell>
          <cell r="BQ1183">
            <v>3580.3313800000001</v>
          </cell>
          <cell r="BR1183">
            <v>10504.956999999999</v>
          </cell>
          <cell r="BS1183">
            <v>6406.8770000000004</v>
          </cell>
          <cell r="BT1183">
            <v>19176.87400657143</v>
          </cell>
          <cell r="BU1183">
            <v>2809.2659999999996</v>
          </cell>
          <cell r="BV1183">
            <v>7275.7270000000008</v>
          </cell>
          <cell r="BW1183">
            <v>7474.6729999999998</v>
          </cell>
          <cell r="BX1183">
            <v>2564.71</v>
          </cell>
          <cell r="BY1183">
            <v>540.21</v>
          </cell>
          <cell r="BZ1183">
            <v>3428.9878799999997</v>
          </cell>
          <cell r="CA1183">
            <v>10944.358999999999</v>
          </cell>
          <cell r="CB1183">
            <v>5242.8310000000001</v>
          </cell>
          <cell r="CC1183">
            <v>19766.287310285708</v>
          </cell>
          <cell r="CD1183">
            <v>2828.1059999999998</v>
          </cell>
          <cell r="CE1183">
            <v>8897.594000000001</v>
          </cell>
          <cell r="CF1183">
            <v>4364.6779999999999</v>
          </cell>
          <cell r="CG1183">
            <v>2303.5700000000002</v>
          </cell>
          <cell r="CH1183">
            <v>737.23</v>
          </cell>
          <cell r="CI1183">
            <v>3032.8686179999995</v>
          </cell>
          <cell r="CJ1183">
            <v>10719.975499999999</v>
          </cell>
          <cell r="CK1183">
            <v>6805.6809999999996</v>
          </cell>
          <cell r="CL1183">
            <v>18648.858489142862</v>
          </cell>
          <cell r="CM1183">
            <v>2731.8369999999995</v>
          </cell>
          <cell r="CN1183">
            <v>9995.9170000000013</v>
          </cell>
          <cell r="CO1183">
            <v>1787.8499999999997</v>
          </cell>
          <cell r="CP1183">
            <v>672.15</v>
          </cell>
          <cell r="CQ1183">
            <v>938.06000000000006</v>
          </cell>
          <cell r="CR1183">
            <v>2823.0112800000002</v>
          </cell>
          <cell r="CS1183">
            <v>11237.204199999998</v>
          </cell>
          <cell r="CT1183">
            <v>6934.820999999999</v>
          </cell>
          <cell r="CU1183">
            <v>19278.625869714288</v>
          </cell>
          <cell r="CV1183">
            <v>3022.165</v>
          </cell>
          <cell r="CW1183">
            <v>9028.0740000000005</v>
          </cell>
          <cell r="CX1183">
            <v>300.01</v>
          </cell>
          <cell r="CY1183">
            <v>1921.3799999999999</v>
          </cell>
          <cell r="CZ1183">
            <v>838.6</v>
          </cell>
          <cell r="DA1183">
            <v>2872.2224999999999</v>
          </cell>
          <cell r="DB1183">
            <v>11066.669999999998</v>
          </cell>
          <cell r="DC1183">
            <v>7244.3509999999997</v>
          </cell>
          <cell r="DD1183">
            <v>18441.263901714286</v>
          </cell>
          <cell r="DE1183">
            <v>3296.9780000000001</v>
          </cell>
          <cell r="DF1183">
            <v>7421.777</v>
          </cell>
          <cell r="DG1183">
            <v>32.96</v>
          </cell>
          <cell r="DH1183">
            <v>1186.1399999999999</v>
          </cell>
          <cell r="DI1183">
            <v>731.66000000000008</v>
          </cell>
          <cell r="DJ1183">
            <v>2165.9775</v>
          </cell>
          <cell r="DK1183">
            <v>11174.647000000001</v>
          </cell>
          <cell r="DL1183">
            <v>7229.7610000000004</v>
          </cell>
          <cell r="DM1183">
            <v>20101.143979428569</v>
          </cell>
          <cell r="DN1183">
            <v>3345.8649999999998</v>
          </cell>
          <cell r="DO1183">
            <v>6857.4870000000001</v>
          </cell>
          <cell r="DP1183">
            <v>8966.973</v>
          </cell>
          <cell r="DQ1183">
            <v>1664.9900000000002</v>
          </cell>
          <cell r="DR1183">
            <v>909.21999999999991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VF Oleo costing model"/>
      <sheetName val="Assumptions"/>
      <sheetName val="RM % to sales"/>
      <sheetName val="ABP P&amp;L"/>
      <sheetName val="Oleo P&amp;L"/>
      <sheetName val="Input-output"/>
      <sheetName val="Oleo P&amp;L (InputOutput)"/>
      <sheetName val="Main &amp; By product"/>
      <sheetName val="Interest on FA"/>
      <sheetName val="GC Claculation"/>
      <sheetName val="By product summary-1"/>
      <sheetName val="By-product balance sheet"/>
      <sheetName val="Cycle Time Assumptions"/>
      <sheetName val="I-Credits"/>
      <sheetName val="PM"/>
      <sheetName val="Sales ABP 09-10"/>
      <sheetName val="1.9. Direct overheads"/>
      <sheetName val="1.5. Indirect overheads"/>
      <sheetName val="1.6 S&amp;M overheads"/>
      <sheetName val="1.19. Processing cost summary"/>
      <sheetName val="1.14 PKO Processing cost"/>
      <sheetName val="1.15. PFAD processing cost"/>
      <sheetName val="1.16. RBDPS processing cost"/>
      <sheetName val="1.17 Mustard processing cost"/>
      <sheetName val="US &amp; Eur Cost"/>
      <sheetName val="PKFAD processing cost"/>
      <sheetName val="BoM for hydrogen"/>
      <sheetName val="PKO Reco Sheet"/>
      <sheetName val="Mustard Reco Sheet"/>
      <sheetName val="PFAD Reco Sheet"/>
      <sheetName val="1.13. CPS processing cost"/>
      <sheetName val="MIX RESIDUE processing cost"/>
      <sheetName val="FO &amp; Naptha"/>
      <sheetName val="1.7.Additives sheet"/>
      <sheetName val="1.14 CNO Processing cost"/>
      <sheetName val="CNO-Final"/>
      <sheetName val="2.18.Cost computation CNO V1214"/>
      <sheetName val="2.16.Cost computation CNO V1216"/>
      <sheetName val="2.17.Cost computation PKO V1214"/>
      <sheetName val="2.15.Cost computation PKO V1216"/>
      <sheetName val="2.12 Cost computation-PFAD"/>
      <sheetName val="2.13. Cost computation-CPS"/>
      <sheetName val="2.1x.Cost computation PKO Laur"/>
      <sheetName val="2.14. Cost computation - MO"/>
      <sheetName val="2.19 Cost computation-RBDPS"/>
      <sheetName val="2.17.Cost computation PKFAD"/>
      <sheetName val="2.23 Mixed residue"/>
      <sheetName val="1.3. Location &amp; Resource"/>
      <sheetName val="1.18. Processing Time"/>
      <sheetName val="2.22 Resource wise cost"/>
      <sheetName val="1.8. Logistics cost"/>
      <sheetName val="2.1 Logistics cost"/>
      <sheetName val="2.2 Landed RM cost"/>
      <sheetName val="2.4. Seweree Direct overheads"/>
      <sheetName val="2.3.Kutch-2 Direct overheads"/>
      <sheetName val="2.5. Taloja Direct overheads"/>
      <sheetName val="2.6 Sion Direct overheads"/>
      <sheetName val="2.7 Kutch-1 Direct overheads"/>
      <sheetName val="Volume"/>
      <sheetName val="Interest"/>
      <sheetName val="Sheet1"/>
      <sheetName val="2.8. Process wise depreciation"/>
      <sheetName val="2.9Process wise Direct overhead"/>
      <sheetName val="2.10 Indirect overheads"/>
      <sheetName val="2.11 S&amp;M overhead"/>
      <sheetName val="2.24 Alcohol process"/>
      <sheetName val="2.20. Substitutable values"/>
      <sheetName val="2.21.Substitutable value comp"/>
      <sheetName val="Input output sheet-MCT"/>
      <sheetName val="MCT computation"/>
      <sheetName val="3.1. HLL_Assumptions"/>
      <sheetName val="ACTUAL COSTING(HLL)"/>
      <sheetName val="3.2. HLL Cost Computation Sheet"/>
      <sheetName val="3.3. HLL Price Output Sheet"/>
      <sheetName val="PKFAD contract"/>
      <sheetName val="10. Data 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 refreshError="1"/>
      <sheetData sheetId="65" refreshError="1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>
        <row r="5">
          <cell r="I5" t="str">
            <v>Sion</v>
          </cell>
        </row>
        <row r="6">
          <cell r="I6" t="str">
            <v>Taloja</v>
          </cell>
        </row>
        <row r="7">
          <cell r="I7" t="str">
            <v>Kutch-1</v>
          </cell>
        </row>
        <row r="8">
          <cell r="I8" t="str">
            <v>Kutch-2</v>
          </cell>
        </row>
        <row r="9">
          <cell r="I9" t="str">
            <v>Navsari</v>
          </cell>
        </row>
        <row r="11">
          <cell r="I11" t="str">
            <v>Baddi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VF Oleo costing model"/>
      <sheetName val="Upside &amp; downside"/>
      <sheetName val="Assumption"/>
      <sheetName val="Summary P&amp;L"/>
      <sheetName val="P&amp;L"/>
      <sheetName val="Oleo P&amp;L (Prod.-wise)"/>
      <sheetName val="Oleo geo Cost sheet"/>
      <sheetName val="Oleo P&amp;L"/>
      <sheetName val="Input-output"/>
      <sheetName val="SIon Power and Gas"/>
      <sheetName val="By product summary-1"/>
      <sheetName val="By-product balance sheet"/>
      <sheetName val="1.5. Indirect overheads"/>
      <sheetName val="Interest Calculation"/>
      <sheetName val="Interest Fixed assets"/>
      <sheetName val="Cycle Time Assumptions"/>
      <sheetName val="1.7.Additives sheet"/>
      <sheetName val="1.14 CNO Processing cost"/>
      <sheetName val="1.18. Processing Time"/>
      <sheetName val="1.19. Processing cost summary"/>
      <sheetName val="2.1 Logistics cost"/>
      <sheetName val="2.2 Landed RM cost"/>
      <sheetName val="2.5. Taloja Direct overheads"/>
      <sheetName val="2.3.Kutch-2 Direct overheads"/>
      <sheetName val="2.4. Seweree Direct overheads"/>
      <sheetName val="2.6 Sion Direct overheads"/>
      <sheetName val="2.7 Kutch-1 Direct overheads"/>
      <sheetName val="2.8. Process wise depreciation"/>
      <sheetName val="2.9Process wise Direct overhead"/>
      <sheetName val="2.22 Resource wise cost"/>
      <sheetName val="2.10 Indirect overheads"/>
      <sheetName val="PCP Sales"/>
      <sheetName val="2.11 S&amp;M overhead"/>
      <sheetName val="2.13. Cost computation-CPS"/>
      <sheetName val="2.14. Cost computation - MO"/>
      <sheetName val="2.15.Cost computation PKO V1216"/>
      <sheetName val="2.17.Cost computation PKO V1214"/>
      <sheetName val="2.16.Cost computation CNO V1216"/>
      <sheetName val="2.18.Cost computation CNO V1214"/>
      <sheetName val="2.17.Cost computation PKO Laur"/>
      <sheetName val="2.17.Split Fatty Acid V12 14"/>
      <sheetName val="2.17.Cost computation PKFAD"/>
      <sheetName val="2.12 Cost computation-PFAD"/>
      <sheetName val="2.19 Cost computation-RBDPS"/>
      <sheetName val="2.20. Substitutable values"/>
      <sheetName val="2.21.Substitutable value comp"/>
      <sheetName val="2.23  Mixed  residue Process"/>
      <sheetName val="2.24 Alcohol process"/>
      <sheetName val="2.25 Mustard residue Process"/>
      <sheetName val="2.26 PKO Residue Process"/>
      <sheetName val="I-Credits"/>
      <sheetName val="1.3. Location &amp; Resource"/>
      <sheetName val="1.8. Logistics cost"/>
      <sheetName val="1.6 S&amp;M overheads"/>
      <sheetName val="1.9. Direct overheads"/>
      <sheetName val="1.13. CPS processing cost"/>
      <sheetName val="1.14 PKO Processing cost"/>
      <sheetName val="1.18.PKFAD processing cost"/>
      <sheetName val="1.15. PFAD processing cost"/>
      <sheetName val="1.16. RBDPS processing cost"/>
      <sheetName val="1.17 Mustard processing cost"/>
      <sheetName val="MIX RESIDUE processing cost"/>
      <sheetName val="MCT Processing cost"/>
      <sheetName val="PKO Reco Sheet"/>
      <sheetName val="Mustard Reco Sheet"/>
      <sheetName val="PFAD Reco Sheet"/>
      <sheetName val="Hydrgen Gas BOM"/>
      <sheetName val="CNO-Final"/>
      <sheetName val="Pastillator &amp; Flaker Cost"/>
      <sheetName val="MCT computation"/>
      <sheetName val="PM"/>
      <sheetName val="Names"/>
      <sheetName val="Input output sheet-MCT"/>
      <sheetName val="10. Data list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16">
          <cell r="AA16">
            <v>0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>
        <row r="5">
          <cell r="B5" t="str">
            <v>Taloja Lurgi</v>
          </cell>
          <cell r="C5" t="str">
            <v>Sion distill</v>
          </cell>
          <cell r="D5" t="str">
            <v>Sion K1-K2</v>
          </cell>
          <cell r="E5" t="str">
            <v>Kutch-1 DG</v>
          </cell>
          <cell r="F5" t="str">
            <v>Sion Hyd</v>
          </cell>
          <cell r="G5" t="str">
            <v>Taloja Alc</v>
          </cell>
          <cell r="H5" t="str">
            <v>Sion</v>
          </cell>
          <cell r="I5" t="str">
            <v>Sion</v>
          </cell>
        </row>
        <row r="6">
          <cell r="B6" t="str">
            <v>Baddi W&amp;S</v>
          </cell>
          <cell r="C6" t="str">
            <v>Section 3</v>
          </cell>
          <cell r="D6" t="str">
            <v>Sion K1-K3</v>
          </cell>
          <cell r="E6" t="str">
            <v>Sion DG</v>
          </cell>
          <cell r="F6" t="str">
            <v>Taloja Hyd</v>
          </cell>
          <cell r="H6" t="str">
            <v>Taloja</v>
          </cell>
          <cell r="I6" t="str">
            <v>Taloja</v>
          </cell>
        </row>
        <row r="7">
          <cell r="B7" t="str">
            <v>Kutch-2 Splitter 1</v>
          </cell>
          <cell r="C7" t="str">
            <v>Section 4</v>
          </cell>
          <cell r="D7" t="str">
            <v>Sion K3</v>
          </cell>
          <cell r="E7" t="str">
            <v>Taloja DG</v>
          </cell>
          <cell r="I7" t="str">
            <v>Kutch-1</v>
          </cell>
        </row>
        <row r="8">
          <cell r="B8" t="str">
            <v>Kutch-2 Splitter 2</v>
          </cell>
          <cell r="C8" t="str">
            <v>Section 5</v>
          </cell>
          <cell r="D8" t="str">
            <v>Section 3</v>
          </cell>
          <cell r="I8" t="str">
            <v>Kutch-2</v>
          </cell>
        </row>
        <row r="9">
          <cell r="B9" t="str">
            <v>Taloja JST</v>
          </cell>
          <cell r="C9" t="str">
            <v>SPD</v>
          </cell>
          <cell r="D9" t="str">
            <v>Section 4</v>
          </cell>
          <cell r="I9" t="str">
            <v>Navsari</v>
          </cell>
        </row>
        <row r="10">
          <cell r="D10" t="str">
            <v>Section 5</v>
          </cell>
        </row>
        <row r="11">
          <cell r="D11" t="str">
            <v>Sion distill</v>
          </cell>
          <cell r="I11" t="str">
            <v>Baddi</v>
          </cell>
        </row>
      </sheetData>
      <sheetData sheetId="7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heet"/>
      <sheetName val="Sheet3 (Final)"/>
      <sheetName val="Sheet3"/>
      <sheetName val="Sheet2"/>
      <sheetName val="pivo"/>
      <sheetName val="Sheet5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total"/>
      <sheetName val="Sheet1"/>
      <sheetName val="Sheet2"/>
      <sheetName val="1st quarter"/>
      <sheetName val="2nd quarter"/>
      <sheetName val="3rd quarter"/>
      <sheetName val="DATA"/>
    </sheetNames>
    <sheetDataSet>
      <sheetData sheetId="0" refreshError="1"/>
      <sheetData sheetId="1" refreshError="1"/>
      <sheetData sheetId="2" refreshError="1">
        <row r="1">
          <cell r="A1" t="str">
            <v>SR</v>
          </cell>
          <cell r="B1">
            <v>39995</v>
          </cell>
          <cell r="D1">
            <v>39995</v>
          </cell>
          <cell r="O1" t="str">
            <v>TOTAL AS</v>
          </cell>
          <cell r="P1">
            <v>40004</v>
          </cell>
          <cell r="Y1">
            <v>40011</v>
          </cell>
          <cell r="AH1">
            <v>40018</v>
          </cell>
          <cell r="AQ1">
            <v>40026</v>
          </cell>
          <cell r="AZ1">
            <v>40032</v>
          </cell>
          <cell r="BI1">
            <v>40039</v>
          </cell>
          <cell r="BR1">
            <v>40045</v>
          </cell>
          <cell r="CA1">
            <v>40053</v>
          </cell>
          <cell r="CJ1">
            <v>40057</v>
          </cell>
          <cell r="CS1">
            <v>40060</v>
          </cell>
          <cell r="DB1">
            <v>40067</v>
          </cell>
          <cell r="DK1">
            <v>40074</v>
          </cell>
          <cell r="DT1">
            <v>40081</v>
          </cell>
          <cell r="EC1">
            <v>40087</v>
          </cell>
          <cell r="EL1">
            <v>40095</v>
          </cell>
          <cell r="EU1">
            <v>40102</v>
          </cell>
          <cell r="FD1">
            <v>40109</v>
          </cell>
          <cell r="FM1">
            <v>40116</v>
          </cell>
          <cell r="FV1">
            <v>40118</v>
          </cell>
          <cell r="GE1">
            <v>40123</v>
          </cell>
          <cell r="GN1">
            <v>40130</v>
          </cell>
          <cell r="GW1">
            <v>40136</v>
          </cell>
        </row>
        <row r="2">
          <cell r="A2" t="str">
            <v>NO:</v>
          </cell>
          <cell r="D2" t="str">
            <v>MATERIAL</v>
          </cell>
          <cell r="F2">
            <v>109</v>
          </cell>
          <cell r="G2" t="str">
            <v>109 B</v>
          </cell>
          <cell r="H2" t="str">
            <v>SEWREE</v>
          </cell>
          <cell r="I2" t="str">
            <v>TALOJA</v>
          </cell>
          <cell r="J2" t="str">
            <v>KUTCH-1</v>
          </cell>
          <cell r="K2" t="str">
            <v>KUTCH-2</v>
          </cell>
          <cell r="L2" t="str">
            <v>KUTCH-O</v>
          </cell>
          <cell r="M2" t="str">
            <v>GIT</v>
          </cell>
          <cell r="N2" t="str">
            <v>BADDI</v>
          </cell>
          <cell r="O2">
            <v>39995</v>
          </cell>
          <cell r="P2">
            <v>109</v>
          </cell>
          <cell r="Q2" t="str">
            <v>109 B</v>
          </cell>
          <cell r="R2" t="str">
            <v>SEWREE</v>
          </cell>
          <cell r="S2" t="str">
            <v>TALOJA</v>
          </cell>
          <cell r="T2" t="str">
            <v>KUTCH-1</v>
          </cell>
          <cell r="U2" t="str">
            <v>KUTCH-2</v>
          </cell>
          <cell r="V2" t="str">
            <v>KUTCH-O</v>
          </cell>
          <cell r="W2" t="str">
            <v>GIT</v>
          </cell>
          <cell r="X2" t="str">
            <v>BADDI</v>
          </cell>
          <cell r="Y2">
            <v>109</v>
          </cell>
          <cell r="Z2" t="str">
            <v>109 B</v>
          </cell>
          <cell r="AA2" t="str">
            <v>SEWREE</v>
          </cell>
          <cell r="AB2" t="str">
            <v>TALOJA</v>
          </cell>
          <cell r="AC2" t="str">
            <v>KUTCH-1</v>
          </cell>
          <cell r="AD2" t="str">
            <v>KUTCH-2</v>
          </cell>
          <cell r="AE2" t="str">
            <v>KUTCH-O</v>
          </cell>
          <cell r="AF2" t="str">
            <v>GIT</v>
          </cell>
          <cell r="AG2" t="str">
            <v>BADDI</v>
          </cell>
          <cell r="AH2">
            <v>109</v>
          </cell>
          <cell r="AI2" t="str">
            <v>109 B</v>
          </cell>
          <cell r="AJ2" t="str">
            <v>SEWREE</v>
          </cell>
          <cell r="AK2" t="str">
            <v>TALOJA</v>
          </cell>
          <cell r="AL2" t="str">
            <v>KUTCH-1</v>
          </cell>
          <cell r="AM2" t="str">
            <v>KUTCH-2</v>
          </cell>
          <cell r="AN2" t="str">
            <v>KUTCH-O</v>
          </cell>
          <cell r="AO2" t="str">
            <v>GIT</v>
          </cell>
          <cell r="AP2" t="str">
            <v>BADDI</v>
          </cell>
          <cell r="AQ2">
            <v>109</v>
          </cell>
          <cell r="AR2" t="str">
            <v>109 B</v>
          </cell>
          <cell r="AS2" t="str">
            <v>SEWREE</v>
          </cell>
          <cell r="AT2" t="str">
            <v>TALOJA</v>
          </cell>
          <cell r="AU2" t="str">
            <v>KUTCH-1</v>
          </cell>
          <cell r="AV2" t="str">
            <v>KUTCH-2</v>
          </cell>
          <cell r="AW2" t="str">
            <v>KUTCH-O</v>
          </cell>
          <cell r="AX2" t="str">
            <v>GIT</v>
          </cell>
          <cell r="AY2" t="str">
            <v>BADDI</v>
          </cell>
          <cell r="AZ2">
            <v>109</v>
          </cell>
          <cell r="BA2" t="str">
            <v>109 B</v>
          </cell>
          <cell r="BB2" t="str">
            <v>SEWREE</v>
          </cell>
          <cell r="BC2" t="str">
            <v>TALOJA</v>
          </cell>
          <cell r="BD2" t="str">
            <v>KUTCH-1</v>
          </cell>
          <cell r="BE2" t="str">
            <v>KUTCH-2</v>
          </cell>
          <cell r="BF2" t="str">
            <v>KUTCH-O</v>
          </cell>
          <cell r="BG2" t="str">
            <v>GIT</v>
          </cell>
          <cell r="BH2" t="str">
            <v>BADDI</v>
          </cell>
          <cell r="BI2">
            <v>109</v>
          </cell>
          <cell r="BJ2" t="str">
            <v>109 B</v>
          </cell>
          <cell r="BK2" t="str">
            <v>SEWREE</v>
          </cell>
          <cell r="BL2" t="str">
            <v>TALOJA</v>
          </cell>
          <cell r="BM2" t="str">
            <v>KUTCH-1</v>
          </cell>
          <cell r="BN2" t="str">
            <v>KUTCH-2</v>
          </cell>
          <cell r="BO2" t="str">
            <v>KUTCH-O</v>
          </cell>
          <cell r="BP2" t="str">
            <v>GIT</v>
          </cell>
          <cell r="BQ2" t="str">
            <v>BADDI</v>
          </cell>
          <cell r="BR2">
            <v>109</v>
          </cell>
          <cell r="BS2" t="str">
            <v>109 B</v>
          </cell>
          <cell r="BT2" t="str">
            <v>SEWREE</v>
          </cell>
          <cell r="BU2" t="str">
            <v>TALOJA</v>
          </cell>
          <cell r="BV2" t="str">
            <v>KUTCH-1</v>
          </cell>
          <cell r="BW2" t="str">
            <v>KUTCH-2</v>
          </cell>
          <cell r="BX2" t="str">
            <v>KUTCH-O</v>
          </cell>
          <cell r="BY2" t="str">
            <v>GIT</v>
          </cell>
          <cell r="BZ2" t="str">
            <v>BADDI</v>
          </cell>
          <cell r="CA2">
            <v>109</v>
          </cell>
          <cell r="CB2" t="str">
            <v>109 B</v>
          </cell>
          <cell r="CC2" t="str">
            <v>SEWREE</v>
          </cell>
          <cell r="CD2" t="str">
            <v>TALOJA</v>
          </cell>
          <cell r="CE2" t="str">
            <v>KUTCH-1</v>
          </cell>
          <cell r="CF2" t="str">
            <v>KUTCH-2</v>
          </cell>
          <cell r="CG2" t="str">
            <v>KUTCH-O</v>
          </cell>
          <cell r="CH2" t="str">
            <v>GIT</v>
          </cell>
          <cell r="CI2" t="str">
            <v>BADDI</v>
          </cell>
          <cell r="CJ2">
            <v>109</v>
          </cell>
          <cell r="CK2" t="str">
            <v>109 B</v>
          </cell>
          <cell r="CL2" t="str">
            <v>SEWREE</v>
          </cell>
          <cell r="CM2" t="str">
            <v>TALOJA</v>
          </cell>
          <cell r="CN2" t="str">
            <v>KUTCH-1</v>
          </cell>
          <cell r="CO2" t="str">
            <v>KUTCH-2</v>
          </cell>
          <cell r="CP2" t="str">
            <v>KUTCH-O</v>
          </cell>
          <cell r="CQ2" t="str">
            <v>GIT</v>
          </cell>
          <cell r="CR2" t="str">
            <v>BADDI</v>
          </cell>
          <cell r="CS2">
            <v>109</v>
          </cell>
          <cell r="CT2" t="str">
            <v>109 B</v>
          </cell>
          <cell r="CU2" t="str">
            <v>SEWREE</v>
          </cell>
          <cell r="CV2" t="str">
            <v>TALOJA</v>
          </cell>
          <cell r="CW2" t="str">
            <v>KUTCH-1</v>
          </cell>
          <cell r="CX2" t="str">
            <v>KUTCH-2</v>
          </cell>
          <cell r="CY2" t="str">
            <v>KUTCH-O</v>
          </cell>
          <cell r="CZ2" t="str">
            <v>GIT</v>
          </cell>
          <cell r="DA2" t="str">
            <v>BADDI</v>
          </cell>
          <cell r="DB2">
            <v>109</v>
          </cell>
          <cell r="DC2" t="str">
            <v>109 B</v>
          </cell>
          <cell r="DD2" t="str">
            <v>SEWREE</v>
          </cell>
          <cell r="DE2" t="str">
            <v>TALOJA</v>
          </cell>
          <cell r="DF2" t="str">
            <v>KUTCH-1</v>
          </cell>
          <cell r="DG2" t="str">
            <v>KUTCH-2</v>
          </cell>
          <cell r="DH2" t="str">
            <v>KUTCH-O</v>
          </cell>
          <cell r="DI2" t="str">
            <v>GIT</v>
          </cell>
          <cell r="DJ2" t="str">
            <v>BADDI</v>
          </cell>
          <cell r="DK2">
            <v>109</v>
          </cell>
          <cell r="DL2" t="str">
            <v>109 B</v>
          </cell>
          <cell r="DM2" t="str">
            <v>SEWREE</v>
          </cell>
          <cell r="DN2" t="str">
            <v>TALOJA</v>
          </cell>
          <cell r="DO2" t="str">
            <v>KUTCH-1</v>
          </cell>
          <cell r="DP2" t="str">
            <v>KUTCH-2</v>
          </cell>
          <cell r="DQ2" t="str">
            <v>KUTCH-O</v>
          </cell>
          <cell r="DR2" t="str">
            <v>GIT</v>
          </cell>
          <cell r="DS2" t="str">
            <v>BADDI</v>
          </cell>
          <cell r="DT2">
            <v>109</v>
          </cell>
          <cell r="DU2" t="str">
            <v>109 B</v>
          </cell>
          <cell r="DV2" t="str">
            <v>SEWREE</v>
          </cell>
          <cell r="DW2" t="str">
            <v>TALOJA</v>
          </cell>
          <cell r="DX2" t="str">
            <v>KUTCH-1</v>
          </cell>
          <cell r="DY2" t="str">
            <v>KUTCH-2</v>
          </cell>
          <cell r="DZ2" t="str">
            <v>KUTCH-O</v>
          </cell>
          <cell r="EA2" t="str">
            <v>GIT</v>
          </cell>
          <cell r="EB2" t="str">
            <v>BADDI</v>
          </cell>
          <cell r="EC2">
            <v>109</v>
          </cell>
          <cell r="ED2" t="str">
            <v>109 B</v>
          </cell>
          <cell r="EE2" t="str">
            <v>SEWREE</v>
          </cell>
          <cell r="EF2" t="str">
            <v>TALOJA</v>
          </cell>
          <cell r="EG2" t="str">
            <v>KUTCH-1</v>
          </cell>
          <cell r="EH2" t="str">
            <v>KUTCH-2</v>
          </cell>
          <cell r="EI2" t="str">
            <v>KUTCH-O</v>
          </cell>
          <cell r="EJ2" t="str">
            <v>GIT</v>
          </cell>
          <cell r="EK2" t="str">
            <v>BADDI</v>
          </cell>
          <cell r="EL2">
            <v>109</v>
          </cell>
          <cell r="EM2" t="str">
            <v>109 B</v>
          </cell>
          <cell r="EN2" t="str">
            <v>SEWREE</v>
          </cell>
          <cell r="EO2" t="str">
            <v>TALOJA</v>
          </cell>
          <cell r="EP2" t="str">
            <v>KUTCH-1</v>
          </cell>
          <cell r="EQ2" t="str">
            <v>KUTCH-2</v>
          </cell>
          <cell r="ER2" t="str">
            <v>KUTCH-O</v>
          </cell>
          <cell r="ES2" t="str">
            <v>GIT</v>
          </cell>
          <cell r="ET2" t="str">
            <v>BADDI</v>
          </cell>
          <cell r="EU2">
            <v>109</v>
          </cell>
          <cell r="EV2" t="str">
            <v>109 B</v>
          </cell>
          <cell r="EW2" t="str">
            <v>SEWREE</v>
          </cell>
          <cell r="EX2" t="str">
            <v>TALOJA</v>
          </cell>
          <cell r="EY2" t="str">
            <v>KUTCH-1</v>
          </cell>
          <cell r="EZ2" t="str">
            <v>KUTCH-2</v>
          </cell>
          <cell r="FA2" t="str">
            <v>KUTCH-O</v>
          </cell>
          <cell r="FB2" t="str">
            <v>GIT</v>
          </cell>
          <cell r="FC2" t="str">
            <v>BADDI</v>
          </cell>
          <cell r="FD2">
            <v>109</v>
          </cell>
          <cell r="FE2" t="str">
            <v>109 B</v>
          </cell>
          <cell r="FF2" t="str">
            <v>SEWREE</v>
          </cell>
          <cell r="FG2" t="str">
            <v>TALOJA</v>
          </cell>
          <cell r="FH2" t="str">
            <v>KUTCH-1</v>
          </cell>
          <cell r="FI2" t="str">
            <v>KUTCH-2</v>
          </cell>
          <cell r="FJ2" t="str">
            <v>KUTCH-O</v>
          </cell>
          <cell r="FK2" t="str">
            <v>GIT</v>
          </cell>
          <cell r="FL2" t="str">
            <v>BADDI</v>
          </cell>
          <cell r="FM2">
            <v>109</v>
          </cell>
          <cell r="FN2" t="str">
            <v>109 B</v>
          </cell>
          <cell r="FO2" t="str">
            <v>SEWREE</v>
          </cell>
          <cell r="FP2" t="str">
            <v>TALOJA</v>
          </cell>
          <cell r="FQ2" t="str">
            <v>KUTCH-1</v>
          </cell>
          <cell r="FR2" t="str">
            <v>KUTCH-2</v>
          </cell>
          <cell r="FS2" t="str">
            <v>KUTCH-O</v>
          </cell>
          <cell r="FT2" t="str">
            <v>GIT</v>
          </cell>
          <cell r="FU2" t="str">
            <v>BADDI</v>
          </cell>
          <cell r="FV2">
            <v>109</v>
          </cell>
          <cell r="FW2" t="str">
            <v>109 B</v>
          </cell>
          <cell r="FX2" t="str">
            <v>SEWREE</v>
          </cell>
          <cell r="FY2" t="str">
            <v>TALOJA</v>
          </cell>
          <cell r="FZ2" t="str">
            <v>KUTCH-1</v>
          </cell>
          <cell r="GA2" t="str">
            <v>KUTCH-2</v>
          </cell>
          <cell r="GB2" t="str">
            <v>KUTCH-O</v>
          </cell>
          <cell r="GC2" t="str">
            <v>GIT</v>
          </cell>
          <cell r="GD2" t="str">
            <v>BADDI</v>
          </cell>
          <cell r="GE2">
            <v>109</v>
          </cell>
          <cell r="GF2" t="str">
            <v>109 B</v>
          </cell>
          <cell r="GG2" t="str">
            <v>SEWREE</v>
          </cell>
          <cell r="GH2" t="str">
            <v>TALOJA</v>
          </cell>
          <cell r="GI2" t="str">
            <v>KUTCH-1</v>
          </cell>
          <cell r="GJ2" t="str">
            <v>KUTCH-2</v>
          </cell>
          <cell r="GK2" t="str">
            <v>KUTCH-O</v>
          </cell>
          <cell r="GL2" t="str">
            <v>GIT</v>
          </cell>
          <cell r="GM2" t="str">
            <v>BADDI</v>
          </cell>
          <cell r="GN2">
            <v>109</v>
          </cell>
          <cell r="GO2" t="str">
            <v>109 B</v>
          </cell>
          <cell r="GP2" t="str">
            <v>SEWREE</v>
          </cell>
          <cell r="GQ2" t="str">
            <v>TALOJA</v>
          </cell>
          <cell r="GR2" t="str">
            <v>KUTCH-1</v>
          </cell>
          <cell r="GS2" t="str">
            <v>KUTCH-2</v>
          </cell>
          <cell r="GT2" t="str">
            <v>KUTCH-O</v>
          </cell>
          <cell r="GU2" t="str">
            <v>GIT</v>
          </cell>
          <cell r="GV2" t="str">
            <v>BADDI</v>
          </cell>
          <cell r="GW2">
            <v>109</v>
          </cell>
          <cell r="GX2" t="str">
            <v>109 B</v>
          </cell>
          <cell r="GY2" t="str">
            <v>SEWREE</v>
          </cell>
          <cell r="GZ2" t="str">
            <v>TALOJA</v>
          </cell>
          <cell r="HA2" t="str">
            <v>KUTCH-1</v>
          </cell>
          <cell r="HB2" t="str">
            <v>KUTCH-2</v>
          </cell>
          <cell r="HC2" t="str">
            <v>KUTCH-O</v>
          </cell>
          <cell r="HD2" t="str">
            <v>GIT</v>
          </cell>
          <cell r="HE2" t="str">
            <v>BADDI</v>
          </cell>
        </row>
        <row r="3">
          <cell r="A3" t="str">
            <v>RAW MATERIALS</v>
          </cell>
        </row>
        <row r="4">
          <cell r="A4">
            <v>1</v>
          </cell>
          <cell r="B4" t="str">
            <v>RM</v>
          </cell>
          <cell r="C4" t="str">
            <v>FM</v>
          </cell>
          <cell r="D4" t="str">
            <v>CPKO-5%</v>
          </cell>
          <cell r="E4" t="str">
            <v>CPKO-5%</v>
          </cell>
          <cell r="K4">
            <v>1379.807</v>
          </cell>
          <cell r="L4">
            <v>1990.2180000000001</v>
          </cell>
          <cell r="M4">
            <v>2000.0340000000001</v>
          </cell>
          <cell r="O4">
            <v>5370.0590000000002</v>
          </cell>
          <cell r="U4">
            <v>793.24599999999998</v>
          </cell>
          <cell r="V4">
            <v>10.644000000000005</v>
          </cell>
          <cell r="W4">
            <v>3969.94</v>
          </cell>
          <cell r="AD4">
            <v>21.707999999999998</v>
          </cell>
          <cell r="AF4">
            <v>7969.92</v>
          </cell>
          <cell r="AM4">
            <v>579.93600000000004</v>
          </cell>
          <cell r="AN4">
            <v>7572.97</v>
          </cell>
          <cell r="AV4">
            <v>1665.336</v>
          </cell>
          <cell r="AW4">
            <v>3841.0649999999996</v>
          </cell>
          <cell r="BE4">
            <v>1181.277</v>
          </cell>
          <cell r="BF4">
            <v>1671.635</v>
          </cell>
          <cell r="BG4">
            <v>3000</v>
          </cell>
          <cell r="BN4">
            <v>1739.3530000000001</v>
          </cell>
          <cell r="BO4">
            <v>3137.9140000000002</v>
          </cell>
          <cell r="BW4">
            <v>1081.7819999999999</v>
          </cell>
          <cell r="BX4">
            <v>2480.9340000000002</v>
          </cell>
          <cell r="CF4">
            <v>645.81299999999999</v>
          </cell>
          <cell r="CH4">
            <v>5000</v>
          </cell>
          <cell r="CO4">
            <v>48.843000000000004</v>
          </cell>
          <cell r="CQ4">
            <v>5010.9539999999997</v>
          </cell>
          <cell r="CX4">
            <v>48.843000000000004</v>
          </cell>
          <cell r="CZ4">
            <v>5010</v>
          </cell>
          <cell r="DG4">
            <v>1447.413</v>
          </cell>
          <cell r="DH4">
            <v>3279.924</v>
          </cell>
          <cell r="DI4">
            <v>6750</v>
          </cell>
          <cell r="DP4">
            <v>2198.8389999999999</v>
          </cell>
          <cell r="DQ4">
            <v>956.30400000000009</v>
          </cell>
          <cell r="DR4">
            <v>8750</v>
          </cell>
          <cell r="DY4">
            <v>3251.34</v>
          </cell>
          <cell r="DZ4">
            <v>7122.7830000000004</v>
          </cell>
          <cell r="EH4">
            <v>4183.1679999999997</v>
          </cell>
          <cell r="EI4">
            <v>4950.4129999999996</v>
          </cell>
          <cell r="EJ4">
            <v>2750</v>
          </cell>
          <cell r="EQ4">
            <v>4597.5730000000003</v>
          </cell>
          <cell r="ER4">
            <v>2543.81</v>
          </cell>
          <cell r="ES4">
            <v>3009.9789999999998</v>
          </cell>
          <cell r="EZ4">
            <v>4361.4989999999998</v>
          </cell>
          <cell r="FA4">
            <v>3032.1689999999999</v>
          </cell>
          <cell r="FI4">
            <v>902.69100000000003</v>
          </cell>
          <cell r="FJ4">
            <v>2653.3090000000002</v>
          </cell>
          <cell r="FR4">
            <v>896.35900000000004</v>
          </cell>
          <cell r="FS4">
            <v>5530.192</v>
          </cell>
          <cell r="GA4">
            <v>1171.327</v>
          </cell>
          <cell r="GB4">
            <v>4617.7820000000002</v>
          </cell>
          <cell r="GJ4">
            <v>1943.8330000000001</v>
          </cell>
          <cell r="GK4">
            <v>3518.7520000000004</v>
          </cell>
          <cell r="GS4">
            <v>2449.3850000000002</v>
          </cell>
          <cell r="GT4">
            <v>1794.5619999999999</v>
          </cell>
        </row>
        <row r="5">
          <cell r="A5">
            <v>2</v>
          </cell>
          <cell r="B5" t="str">
            <v>RM</v>
          </cell>
          <cell r="C5" t="str">
            <v>FM</v>
          </cell>
          <cell r="D5" t="str">
            <v>CPKO-23%</v>
          </cell>
          <cell r="E5" t="str">
            <v>CPKO-23%</v>
          </cell>
          <cell r="G5">
            <v>290.7</v>
          </cell>
          <cell r="K5">
            <v>7.77</v>
          </cell>
          <cell r="O5">
            <v>298.46999999999997</v>
          </cell>
          <cell r="U5">
            <v>7.77</v>
          </cell>
          <cell r="AD5">
            <v>7.77</v>
          </cell>
        </row>
        <row r="6">
          <cell r="A6">
            <v>3</v>
          </cell>
          <cell r="B6" t="str">
            <v>RM</v>
          </cell>
          <cell r="C6" t="str">
            <v>FM</v>
          </cell>
          <cell r="D6" t="str">
            <v>CNO-C</v>
          </cell>
          <cell r="E6" t="str">
            <v>CNO-C</v>
          </cell>
          <cell r="O6">
            <v>0</v>
          </cell>
        </row>
        <row r="7">
          <cell r="A7">
            <v>4</v>
          </cell>
          <cell r="B7" t="str">
            <v>RM</v>
          </cell>
          <cell r="C7" t="str">
            <v>FM</v>
          </cell>
          <cell r="D7" t="str">
            <v>CNO-R</v>
          </cell>
          <cell r="E7" t="str">
            <v>CNO-R</v>
          </cell>
          <cell r="O7">
            <v>0</v>
          </cell>
        </row>
        <row r="8">
          <cell r="A8">
            <v>5</v>
          </cell>
          <cell r="B8" t="str">
            <v>RM</v>
          </cell>
          <cell r="C8" t="str">
            <v>FM</v>
          </cell>
          <cell r="D8" t="str">
            <v>PKFAD</v>
          </cell>
          <cell r="E8" t="str">
            <v>PKFAD</v>
          </cell>
          <cell r="O8">
            <v>0</v>
          </cell>
          <cell r="DI8">
            <v>203.5</v>
          </cell>
          <cell r="DR8">
            <v>203.5</v>
          </cell>
          <cell r="EH8">
            <v>13.683999999999999</v>
          </cell>
        </row>
        <row r="9">
          <cell r="A9">
            <v>6</v>
          </cell>
          <cell r="B9" t="str">
            <v>RM</v>
          </cell>
          <cell r="C9" t="str">
            <v>FM</v>
          </cell>
          <cell r="D9" t="str">
            <v>RBDPS</v>
          </cell>
          <cell r="E9" t="str">
            <v>RBDPS</v>
          </cell>
          <cell r="G9">
            <v>507.45600000000007</v>
          </cell>
          <cell r="H9">
            <v>184.226</v>
          </cell>
          <cell r="I9">
            <v>365</v>
          </cell>
          <cell r="K9">
            <v>115.8</v>
          </cell>
          <cell r="M9">
            <v>158.18</v>
          </cell>
          <cell r="O9">
            <v>1330.662</v>
          </cell>
          <cell r="Q9">
            <v>10.86336</v>
          </cell>
          <cell r="R9">
            <v>184.226</v>
          </cell>
          <cell r="S9">
            <v>277.7</v>
          </cell>
          <cell r="U9">
            <v>285.45</v>
          </cell>
          <cell r="AA9">
            <v>184.226</v>
          </cell>
          <cell r="AB9">
            <v>182.6</v>
          </cell>
          <cell r="AD9">
            <v>453.5</v>
          </cell>
          <cell r="AF9">
            <v>11</v>
          </cell>
          <cell r="AJ9">
            <v>184.226</v>
          </cell>
          <cell r="AK9">
            <v>506</v>
          </cell>
          <cell r="AM9">
            <v>627.37</v>
          </cell>
          <cell r="AS9">
            <v>184.226</v>
          </cell>
          <cell r="AT9">
            <v>768.5</v>
          </cell>
          <cell r="AV9">
            <v>965.02</v>
          </cell>
          <cell r="BB9">
            <v>184.226</v>
          </cell>
          <cell r="BC9">
            <v>768.5</v>
          </cell>
          <cell r="BE9">
            <v>983.91</v>
          </cell>
          <cell r="BJ9">
            <v>236.2842</v>
          </cell>
          <cell r="BK9">
            <v>184.226</v>
          </cell>
          <cell r="BL9">
            <v>768.5</v>
          </cell>
          <cell r="BN9">
            <v>345.76299999999998</v>
          </cell>
          <cell r="BS9">
            <v>225.18360000000001</v>
          </cell>
          <cell r="BT9">
            <v>184.226</v>
          </cell>
          <cell r="BU9">
            <v>768.5</v>
          </cell>
          <cell r="BW9">
            <v>345.76299999999998</v>
          </cell>
          <cell r="CC9">
            <v>184.226</v>
          </cell>
          <cell r="CD9">
            <v>768.5</v>
          </cell>
          <cell r="CF9">
            <v>660.71299999999997</v>
          </cell>
          <cell r="CL9">
            <v>184.226</v>
          </cell>
          <cell r="CM9">
            <v>768.5</v>
          </cell>
          <cell r="CO9">
            <v>771.45299999999997</v>
          </cell>
          <cell r="CV9">
            <v>768.5</v>
          </cell>
          <cell r="CX9">
            <v>771.45299999999997</v>
          </cell>
          <cell r="DD9">
            <v>184.226</v>
          </cell>
          <cell r="DE9">
            <v>768.5</v>
          </cell>
          <cell r="DG9">
            <v>771.45299999999997</v>
          </cell>
          <cell r="DM9">
            <v>184.226</v>
          </cell>
          <cell r="DN9">
            <v>768.5</v>
          </cell>
          <cell r="DP9">
            <v>634.54399999999998</v>
          </cell>
          <cell r="DV9">
            <v>184.226</v>
          </cell>
          <cell r="DW9">
            <v>768.5</v>
          </cell>
          <cell r="DY9">
            <v>27.177</v>
          </cell>
          <cell r="EE9">
            <v>184.226</v>
          </cell>
          <cell r="EF9">
            <v>768.5</v>
          </cell>
          <cell r="EH9">
            <v>27.177</v>
          </cell>
          <cell r="EN9">
            <v>184.226</v>
          </cell>
          <cell r="EO9">
            <v>768.5</v>
          </cell>
          <cell r="EW9">
            <v>184.226</v>
          </cell>
          <cell r="EX9">
            <v>602.4</v>
          </cell>
          <cell r="FF9">
            <v>184.226</v>
          </cell>
          <cell r="FG9">
            <v>391.8</v>
          </cell>
          <cell r="FO9">
            <v>184.226</v>
          </cell>
          <cell r="FP9">
            <v>391.79828571428573</v>
          </cell>
          <cell r="FR9">
            <v>121.36</v>
          </cell>
          <cell r="FX9">
            <v>184.226</v>
          </cell>
          <cell r="FY9">
            <v>419.38971428571432</v>
          </cell>
          <cell r="GA9">
            <v>155.19</v>
          </cell>
          <cell r="GG9">
            <v>184.226</v>
          </cell>
          <cell r="GH9">
            <v>419.38971428571432</v>
          </cell>
          <cell r="GJ9">
            <v>362.76</v>
          </cell>
          <cell r="GP9">
            <v>184.226</v>
          </cell>
          <cell r="GQ9">
            <v>323.73942857142862</v>
          </cell>
          <cell r="GS9">
            <v>39.65</v>
          </cell>
        </row>
        <row r="10">
          <cell r="A10">
            <v>7</v>
          </cell>
          <cell r="B10" t="str">
            <v>RM</v>
          </cell>
          <cell r="C10" t="str">
            <v>FM</v>
          </cell>
          <cell r="D10" t="str">
            <v>CPS-5%</v>
          </cell>
          <cell r="E10" t="str">
            <v>CPS-5%</v>
          </cell>
          <cell r="O10">
            <v>0</v>
          </cell>
        </row>
        <row r="11">
          <cell r="A11">
            <v>8</v>
          </cell>
          <cell r="B11" t="str">
            <v>RM</v>
          </cell>
          <cell r="C11" t="str">
            <v>FM</v>
          </cell>
          <cell r="D11" t="str">
            <v>CPS-20%</v>
          </cell>
          <cell r="E11" t="str">
            <v>CPS-20%</v>
          </cell>
          <cell r="O11">
            <v>0</v>
          </cell>
        </row>
        <row r="12">
          <cell r="A12">
            <v>9</v>
          </cell>
          <cell r="B12" t="str">
            <v>RM</v>
          </cell>
          <cell r="C12" t="str">
            <v>FM</v>
          </cell>
          <cell r="D12" t="str">
            <v>CPS-23%-HLL</v>
          </cell>
          <cell r="E12" t="str">
            <v>CPS-23%-HLL</v>
          </cell>
          <cell r="O12">
            <v>0</v>
          </cell>
        </row>
        <row r="13">
          <cell r="A13">
            <v>10</v>
          </cell>
          <cell r="B13" t="str">
            <v>RM</v>
          </cell>
          <cell r="C13" t="str">
            <v>FM</v>
          </cell>
          <cell r="D13" t="str">
            <v>CPO</v>
          </cell>
          <cell r="E13" t="str">
            <v>CPO</v>
          </cell>
          <cell r="O13">
            <v>0</v>
          </cell>
        </row>
        <row r="14">
          <cell r="A14">
            <v>11</v>
          </cell>
          <cell r="B14" t="str">
            <v>RM</v>
          </cell>
          <cell r="C14" t="str">
            <v>FM</v>
          </cell>
          <cell r="D14" t="str">
            <v>RBDPN</v>
          </cell>
          <cell r="E14" t="str">
            <v>RBDPN</v>
          </cell>
          <cell r="H14">
            <v>62.774000000000001</v>
          </cell>
          <cell r="O14">
            <v>62.774000000000001</v>
          </cell>
          <cell r="R14">
            <v>43.043999999999997</v>
          </cell>
        </row>
        <row r="15">
          <cell r="A15">
            <v>12</v>
          </cell>
          <cell r="B15" t="str">
            <v>RM</v>
          </cell>
          <cell r="C15" t="str">
            <v>FM</v>
          </cell>
          <cell r="D15" t="str">
            <v>PFAD</v>
          </cell>
          <cell r="E15" t="str">
            <v>PFAD</v>
          </cell>
          <cell r="G15">
            <v>1151.8</v>
          </cell>
          <cell r="H15">
            <v>3831.55</v>
          </cell>
          <cell r="M15">
            <v>2999.9319999999998</v>
          </cell>
          <cell r="O15">
            <v>7983.2820000000002</v>
          </cell>
          <cell r="Q15">
            <v>1515.06</v>
          </cell>
          <cell r="R15">
            <v>3262.7799999999997</v>
          </cell>
          <cell r="V15">
            <v>2972.375</v>
          </cell>
          <cell r="Z15">
            <v>1001.18</v>
          </cell>
          <cell r="AA15">
            <v>1722.6100000000001</v>
          </cell>
          <cell r="AD15">
            <v>605.24</v>
          </cell>
          <cell r="AE15">
            <v>2367.1350000000002</v>
          </cell>
          <cell r="AF15">
            <v>1002.481</v>
          </cell>
          <cell r="AI15">
            <v>708.8</v>
          </cell>
          <cell r="AJ15">
            <v>1794.7340000000002</v>
          </cell>
          <cell r="AM15">
            <v>756.26199999999994</v>
          </cell>
          <cell r="AN15">
            <v>1595.3</v>
          </cell>
          <cell r="AR15">
            <v>1342.29</v>
          </cell>
          <cell r="AS15">
            <v>311.51400000000001</v>
          </cell>
          <cell r="AV15">
            <v>1313.8820000000001</v>
          </cell>
          <cell r="AW15">
            <v>1037.68</v>
          </cell>
          <cell r="BA15">
            <v>1207.175</v>
          </cell>
          <cell r="BE15">
            <v>1313.8820000000001</v>
          </cell>
          <cell r="BF15">
            <v>1037.68</v>
          </cell>
          <cell r="BN15">
            <v>1612.5419999999999</v>
          </cell>
          <cell r="BO15">
            <v>739.02</v>
          </cell>
          <cell r="BW15">
            <v>2291.8119999999999</v>
          </cell>
          <cell r="BX15">
            <v>59.75</v>
          </cell>
          <cell r="CB15">
            <v>285.44400000000002</v>
          </cell>
          <cell r="CF15">
            <v>2352.462</v>
          </cell>
          <cell r="CO15">
            <v>2071.7629999999999</v>
          </cell>
          <cell r="CP15">
            <v>1876.5540000000001</v>
          </cell>
          <cell r="CX15">
            <v>1611.348</v>
          </cell>
          <cell r="CY15">
            <v>1474.204</v>
          </cell>
          <cell r="DG15">
            <v>1198.2560000000001</v>
          </cell>
          <cell r="DH15">
            <v>629.29399999999998</v>
          </cell>
          <cell r="DP15">
            <v>1044.6600000000001</v>
          </cell>
          <cell r="DY15">
            <v>259.10700000000003</v>
          </cell>
          <cell r="EG15">
            <v>64.656000000000006</v>
          </cell>
          <cell r="EP15">
            <v>48.347999999999999</v>
          </cell>
          <cell r="EV15">
            <v>172.27080000000001</v>
          </cell>
          <cell r="EY15">
            <v>41.411999999999999</v>
          </cell>
          <cell r="EZ15">
            <v>17.486999999999998</v>
          </cell>
          <cell r="FE15">
            <v>342.33300000000003</v>
          </cell>
          <cell r="FH15">
            <v>4.8959999999999999</v>
          </cell>
          <cell r="FI15">
            <v>51.626999999999995</v>
          </cell>
          <cell r="FN15">
            <v>130.3074</v>
          </cell>
          <cell r="FQ15">
            <v>35.292000000000002</v>
          </cell>
          <cell r="FR15">
            <v>484.3889999999999</v>
          </cell>
          <cell r="FS15">
            <v>2171.768</v>
          </cell>
          <cell r="FW15">
            <v>46.38</v>
          </cell>
          <cell r="GA15">
            <v>615.54200000000003</v>
          </cell>
          <cell r="GB15">
            <v>1763.2080000000001</v>
          </cell>
          <cell r="GF15">
            <v>13.2516</v>
          </cell>
          <cell r="GJ15">
            <v>238.69699999999995</v>
          </cell>
          <cell r="GK15">
            <v>3799.6669999999999</v>
          </cell>
          <cell r="GO15">
            <v>13.2516</v>
          </cell>
          <cell r="GS15">
            <v>658.38499999999999</v>
          </cell>
          <cell r="GT15">
            <v>2702.3870000000002</v>
          </cell>
        </row>
        <row r="16">
          <cell r="A16">
            <v>13</v>
          </cell>
          <cell r="B16" t="str">
            <v>RM</v>
          </cell>
          <cell r="C16" t="str">
            <v>FM</v>
          </cell>
          <cell r="D16" t="str">
            <v>MUSTARD OIL-EXPELLER</v>
          </cell>
          <cell r="E16" t="str">
            <v>MUSTARD OIL-EXPELLER</v>
          </cell>
          <cell r="K16">
            <v>813.96</v>
          </cell>
          <cell r="O16">
            <v>813.96</v>
          </cell>
          <cell r="U16">
            <v>814.73699999999997</v>
          </cell>
          <cell r="V16">
            <v>151.52500000000001</v>
          </cell>
          <cell r="AD16">
            <v>661.40899999999999</v>
          </cell>
          <cell r="AE16">
            <v>168.465</v>
          </cell>
          <cell r="AM16">
            <v>520.55700000000002</v>
          </cell>
          <cell r="AN16">
            <v>173.52</v>
          </cell>
          <cell r="AV16">
            <v>850.84999999999991</v>
          </cell>
          <cell r="AW16">
            <v>173.52</v>
          </cell>
          <cell r="BE16">
            <v>1110.6219999999998</v>
          </cell>
          <cell r="BN16">
            <v>1305.683</v>
          </cell>
          <cell r="BW16">
            <v>1070.068</v>
          </cell>
          <cell r="CF16">
            <v>1317.78</v>
          </cell>
          <cell r="CO16">
            <v>1150.586</v>
          </cell>
          <cell r="CX16">
            <v>1065.019</v>
          </cell>
          <cell r="DG16">
            <v>1394.645</v>
          </cell>
          <cell r="DP16">
            <v>1621.932</v>
          </cell>
          <cell r="DY16">
            <v>2247.5320000000002</v>
          </cell>
          <cell r="EH16">
            <v>2242.2219999999998</v>
          </cell>
          <cell r="EQ16">
            <v>2017.954</v>
          </cell>
          <cell r="EZ16">
            <v>2190.576</v>
          </cell>
          <cell r="FI16">
            <v>2190.576</v>
          </cell>
          <cell r="FR16">
            <v>2336.1260000000002</v>
          </cell>
          <cell r="GA16">
            <v>2384.029</v>
          </cell>
          <cell r="GJ16">
            <v>1782.653</v>
          </cell>
          <cell r="GK16">
            <v>319.33999999999997</v>
          </cell>
          <cell r="GS16">
            <v>611.56799999999998</v>
          </cell>
          <cell r="GT16">
            <v>813.52499999999998</v>
          </cell>
        </row>
        <row r="17">
          <cell r="A17">
            <v>14</v>
          </cell>
          <cell r="B17" t="str">
            <v>RM</v>
          </cell>
          <cell r="C17" t="str">
            <v>FM</v>
          </cell>
          <cell r="D17" t="str">
            <v>MUSTARD OIL-REFINED</v>
          </cell>
          <cell r="E17" t="str">
            <v>MUSTARD OIL-REFINED</v>
          </cell>
          <cell r="G17">
            <v>214.55136000000002</v>
          </cell>
          <cell r="K17">
            <v>113.003</v>
          </cell>
          <cell r="M17">
            <v>180.9</v>
          </cell>
          <cell r="O17">
            <v>508.45436000000007</v>
          </cell>
          <cell r="BE17">
            <v>162.245</v>
          </cell>
          <cell r="CF17">
            <v>2.4700000000000002</v>
          </cell>
        </row>
        <row r="18">
          <cell r="A18">
            <v>15</v>
          </cell>
          <cell r="B18" t="str">
            <v>RM</v>
          </cell>
          <cell r="C18" t="str">
            <v>FM</v>
          </cell>
          <cell r="D18" t="str">
            <v>CRUDE GLYCERINE</v>
          </cell>
          <cell r="E18" t="str">
            <v>CRUDE GLYCERINE</v>
          </cell>
          <cell r="F18">
            <v>193.23</v>
          </cell>
          <cell r="H18">
            <v>203.41</v>
          </cell>
          <cell r="J18">
            <v>392.11200000000002</v>
          </cell>
          <cell r="K18">
            <v>974.226</v>
          </cell>
          <cell r="O18">
            <v>1762.9780000000001</v>
          </cell>
          <cell r="P18">
            <v>199.12</v>
          </cell>
          <cell r="R18">
            <v>203.41</v>
          </cell>
          <cell r="T18">
            <v>227.21100000000001</v>
          </cell>
          <cell r="U18">
            <v>1170.6679999999999</v>
          </cell>
          <cell r="Y18">
            <v>175.54</v>
          </cell>
          <cell r="AA18">
            <v>203.41</v>
          </cell>
          <cell r="AC18">
            <v>375.64299999999997</v>
          </cell>
          <cell r="AD18">
            <v>1037.818</v>
          </cell>
          <cell r="AH18">
            <v>163.1</v>
          </cell>
          <cell r="AJ18">
            <v>203.41</v>
          </cell>
          <cell r="AL18">
            <v>536.64200000000005</v>
          </cell>
          <cell r="AM18">
            <v>691.255</v>
          </cell>
          <cell r="AQ18">
            <v>113.32</v>
          </cell>
          <cell r="AS18">
            <v>131.28</v>
          </cell>
          <cell r="AU18">
            <v>764.02200000000005</v>
          </cell>
          <cell r="AV18">
            <v>752.75</v>
          </cell>
          <cell r="AZ18">
            <v>36.03</v>
          </cell>
          <cell r="BB18">
            <v>131.28</v>
          </cell>
          <cell r="BD18">
            <v>875.26400000000001</v>
          </cell>
          <cell r="BE18">
            <v>980.06799999999998</v>
          </cell>
          <cell r="BG18">
            <v>248.13</v>
          </cell>
          <cell r="BI18">
            <v>112.01</v>
          </cell>
          <cell r="BK18">
            <v>131.28</v>
          </cell>
          <cell r="BM18">
            <v>993.79100000000005</v>
          </cell>
          <cell r="BN18">
            <v>980.13599999999997</v>
          </cell>
          <cell r="BP18">
            <v>248.13</v>
          </cell>
          <cell r="BR18">
            <v>72.05</v>
          </cell>
          <cell r="BT18">
            <v>116.54</v>
          </cell>
          <cell r="BV18">
            <v>798.98599999999999</v>
          </cell>
          <cell r="BW18">
            <v>1130.7180000000001</v>
          </cell>
          <cell r="BY18">
            <v>248.13</v>
          </cell>
          <cell r="CA18">
            <v>317.02</v>
          </cell>
          <cell r="CC18">
            <v>85.85</v>
          </cell>
          <cell r="CE18">
            <v>1124.088</v>
          </cell>
          <cell r="CF18">
            <v>1031.8309999999999</v>
          </cell>
          <cell r="CJ18">
            <v>356.32</v>
          </cell>
          <cell r="CL18">
            <v>85.85</v>
          </cell>
          <cell r="CN18">
            <v>1207.731</v>
          </cell>
          <cell r="CO18">
            <v>1136.1120000000001</v>
          </cell>
          <cell r="CS18">
            <v>314.39999999999998</v>
          </cell>
          <cell r="CU18">
            <v>85.85</v>
          </cell>
          <cell r="CW18">
            <v>1288.8509999999999</v>
          </cell>
          <cell r="CX18">
            <v>1113.905</v>
          </cell>
          <cell r="DB18">
            <v>206.98</v>
          </cell>
          <cell r="DD18">
            <v>69.8</v>
          </cell>
          <cell r="DF18">
            <v>1297.0709999999999</v>
          </cell>
          <cell r="DG18">
            <v>984.65099999999995</v>
          </cell>
          <cell r="DK18">
            <v>145.41</v>
          </cell>
          <cell r="DM18">
            <v>54.96</v>
          </cell>
          <cell r="DO18">
            <v>1386.5609999999999</v>
          </cell>
          <cell r="DP18">
            <v>1120.499</v>
          </cell>
          <cell r="DT18">
            <v>136.24</v>
          </cell>
          <cell r="DV18">
            <v>23.82</v>
          </cell>
          <cell r="DX18">
            <v>1201.694</v>
          </cell>
          <cell r="DY18">
            <v>1167.759</v>
          </cell>
          <cell r="EC18">
            <v>205.67</v>
          </cell>
          <cell r="EG18">
            <v>1125.268</v>
          </cell>
          <cell r="EH18">
            <v>1290.8679999999999</v>
          </cell>
          <cell r="EL18">
            <v>142.79</v>
          </cell>
          <cell r="EP18">
            <v>1164.0820000000001</v>
          </cell>
          <cell r="EQ18">
            <v>1284.605</v>
          </cell>
          <cell r="EU18">
            <v>224.67</v>
          </cell>
          <cell r="EY18">
            <v>1201.329</v>
          </cell>
          <cell r="EZ18">
            <v>1323.3240000000001</v>
          </cell>
          <cell r="FD18">
            <v>319.64</v>
          </cell>
          <cell r="FH18">
            <v>1059.682</v>
          </cell>
          <cell r="FI18">
            <v>1726.078</v>
          </cell>
          <cell r="FM18">
            <v>270.52</v>
          </cell>
          <cell r="FQ18">
            <v>1047.9079999999999</v>
          </cell>
          <cell r="FR18">
            <v>1697.7270000000001</v>
          </cell>
          <cell r="FV18">
            <v>263.97000000000003</v>
          </cell>
          <cell r="FZ18">
            <v>1038.3699999999999</v>
          </cell>
          <cell r="GA18">
            <v>1706.269</v>
          </cell>
          <cell r="GE18">
            <v>331.43</v>
          </cell>
          <cell r="GI18">
            <v>956.32600000000002</v>
          </cell>
          <cell r="GJ18">
            <v>1614.434</v>
          </cell>
          <cell r="GN18">
            <v>323.57</v>
          </cell>
          <cell r="GR18">
            <v>1067.076</v>
          </cell>
          <cell r="GS18">
            <v>2158.384</v>
          </cell>
        </row>
        <row r="19">
          <cell r="A19">
            <v>16</v>
          </cell>
          <cell r="B19" t="str">
            <v>RM</v>
          </cell>
          <cell r="C19" t="str">
            <v>FM</v>
          </cell>
          <cell r="D19" t="str">
            <v>CAUSTIC SODA</v>
          </cell>
          <cell r="E19" t="str">
            <v>CAUSTIC SODA</v>
          </cell>
          <cell r="I19">
            <v>461</v>
          </cell>
          <cell r="J19">
            <v>76.197000000000003</v>
          </cell>
          <cell r="O19">
            <v>537.197</v>
          </cell>
          <cell r="S19">
            <v>301.10000000000002</v>
          </cell>
          <cell r="T19">
            <v>41.246000000000002</v>
          </cell>
          <cell r="AB19">
            <v>261.7</v>
          </cell>
          <cell r="AC19">
            <v>34.978999999999999</v>
          </cell>
          <cell r="AF19">
            <v>33.04</v>
          </cell>
          <cell r="AK19">
            <v>298.3</v>
          </cell>
          <cell r="AT19">
            <v>283.2</v>
          </cell>
          <cell r="AU19">
            <v>63.255000000000003</v>
          </cell>
          <cell r="AX19">
            <v>65.52</v>
          </cell>
          <cell r="BC19">
            <v>274.10000000000002</v>
          </cell>
          <cell r="BD19">
            <v>40.941000000000003</v>
          </cell>
          <cell r="BG19">
            <v>32.58</v>
          </cell>
          <cell r="BL19">
            <v>454.1</v>
          </cell>
          <cell r="BM19">
            <v>11.135999999999999</v>
          </cell>
          <cell r="BP19">
            <v>29.31</v>
          </cell>
          <cell r="BU19">
            <v>452</v>
          </cell>
          <cell r="BV19">
            <v>86.114999999999995</v>
          </cell>
          <cell r="CD19">
            <v>348.8</v>
          </cell>
          <cell r="CE19">
            <v>100.413</v>
          </cell>
          <cell r="CH19">
            <v>30.11</v>
          </cell>
          <cell r="CM19">
            <v>310</v>
          </cell>
          <cell r="CN19">
            <v>93.278000000000006</v>
          </cell>
          <cell r="CQ19">
            <v>44.71</v>
          </cell>
          <cell r="CV19">
            <v>290.5</v>
          </cell>
          <cell r="CW19">
            <v>85.21</v>
          </cell>
          <cell r="DE19">
            <v>110.3</v>
          </cell>
          <cell r="DF19">
            <v>67.382999999999996</v>
          </cell>
          <cell r="DI19">
            <v>47.82</v>
          </cell>
          <cell r="DN19">
            <v>155.9</v>
          </cell>
          <cell r="DO19">
            <v>60.7</v>
          </cell>
          <cell r="DR19">
            <v>33</v>
          </cell>
          <cell r="DW19">
            <v>109.8</v>
          </cell>
          <cell r="DX19">
            <v>21.236000000000001</v>
          </cell>
          <cell r="EA19">
            <v>91.03</v>
          </cell>
          <cell r="EF19">
            <v>119.4</v>
          </cell>
          <cell r="EG19">
            <v>0.96499999999999997</v>
          </cell>
          <cell r="EJ19">
            <v>74.2</v>
          </cell>
          <cell r="EO19">
            <v>255.5</v>
          </cell>
          <cell r="EP19">
            <v>112.908</v>
          </cell>
          <cell r="ES19">
            <v>77.489999999999995</v>
          </cell>
          <cell r="EX19">
            <v>404.5</v>
          </cell>
          <cell r="EY19">
            <v>143.57400000000001</v>
          </cell>
          <cell r="FB19">
            <v>17.18</v>
          </cell>
          <cell r="FG19">
            <v>324.2</v>
          </cell>
          <cell r="FH19">
            <v>174.863</v>
          </cell>
          <cell r="FK19">
            <v>33.229999999999997</v>
          </cell>
          <cell r="FP19">
            <v>413.4</v>
          </cell>
          <cell r="FQ19">
            <v>138.494</v>
          </cell>
          <cell r="FT19">
            <v>48.9</v>
          </cell>
          <cell r="FY19">
            <v>409.8</v>
          </cell>
          <cell r="FZ19">
            <v>167.94300000000001</v>
          </cell>
          <cell r="GH19">
            <v>386</v>
          </cell>
          <cell r="GI19">
            <v>151.017</v>
          </cell>
          <cell r="GL19">
            <v>48.47</v>
          </cell>
          <cell r="GQ19">
            <v>775.2</v>
          </cell>
          <cell r="GR19">
            <v>114.685</v>
          </cell>
          <cell r="GU19">
            <v>134.94</v>
          </cell>
        </row>
        <row r="20">
          <cell r="A20">
            <v>17</v>
          </cell>
          <cell r="B20" t="str">
            <v>RM</v>
          </cell>
          <cell r="C20" t="str">
            <v>FM</v>
          </cell>
          <cell r="D20" t="str">
            <v>MINERAL OIL(SAVANOL-82)</v>
          </cell>
          <cell r="E20" t="str">
            <v>MINERAL OIL(SAVANOL-82)</v>
          </cell>
          <cell r="O20">
            <v>0</v>
          </cell>
        </row>
        <row r="21">
          <cell r="A21">
            <v>237</v>
          </cell>
          <cell r="B21" t="str">
            <v>RM</v>
          </cell>
          <cell r="C21" t="str">
            <v>FM</v>
          </cell>
          <cell r="D21" t="str">
            <v>NEEM OIL</v>
          </cell>
          <cell r="E21" t="str">
            <v>NEEM OIL</v>
          </cell>
          <cell r="J21">
            <v>8</v>
          </cell>
          <cell r="O21">
            <v>8</v>
          </cell>
          <cell r="T21">
            <v>7.91</v>
          </cell>
          <cell r="AC21">
            <v>21.06</v>
          </cell>
          <cell r="AL21">
            <v>9.15</v>
          </cell>
          <cell r="AU21">
            <v>25.41</v>
          </cell>
          <cell r="BD21">
            <v>25.41</v>
          </cell>
          <cell r="BM21">
            <v>54.29</v>
          </cell>
          <cell r="BV21">
            <v>47.988</v>
          </cell>
          <cell r="CE21">
            <v>43.896000000000001</v>
          </cell>
          <cell r="CN21">
            <v>41.85</v>
          </cell>
          <cell r="CW21">
            <v>41.85</v>
          </cell>
          <cell r="DX21">
            <v>28.643999999999998</v>
          </cell>
          <cell r="EG21">
            <v>26.04</v>
          </cell>
          <cell r="EP21">
            <v>22.088000000000001</v>
          </cell>
          <cell r="EY21">
            <v>38.118000000000002</v>
          </cell>
          <cell r="FH21">
            <v>38.118000000000002</v>
          </cell>
          <cell r="FQ21">
            <v>38.118000000000002</v>
          </cell>
          <cell r="FZ21">
            <v>38.118000000000002</v>
          </cell>
          <cell r="GI21">
            <v>38.118000000000002</v>
          </cell>
          <cell r="GR21">
            <v>38.118000000000002</v>
          </cell>
        </row>
        <row r="22">
          <cell r="D22" t="str">
            <v>RM TOTAL</v>
          </cell>
          <cell r="E22" t="str">
            <v>RM TOTAL</v>
          </cell>
          <cell r="F22">
            <v>193.23</v>
          </cell>
          <cell r="G22">
            <v>2164.5073600000001</v>
          </cell>
          <cell r="H22">
            <v>4281.96</v>
          </cell>
          <cell r="I22">
            <v>826</v>
          </cell>
          <cell r="J22">
            <v>468.30900000000003</v>
          </cell>
          <cell r="K22">
            <v>3404.5660000000003</v>
          </cell>
          <cell r="L22">
            <v>1990.2180000000001</v>
          </cell>
          <cell r="M22">
            <v>5339.0459999999994</v>
          </cell>
          <cell r="N22">
            <v>0</v>
          </cell>
          <cell r="O22">
            <v>18675.836360000001</v>
          </cell>
          <cell r="P22">
            <v>199.12</v>
          </cell>
          <cell r="Q22">
            <v>1525.92336</v>
          </cell>
          <cell r="R22">
            <v>3693.4599999999996</v>
          </cell>
          <cell r="S22">
            <v>578.79999999999995</v>
          </cell>
          <cell r="T22">
            <v>268.45699999999999</v>
          </cell>
          <cell r="U22">
            <v>3071.8710000000001</v>
          </cell>
          <cell r="V22">
            <v>3134.5440000000003</v>
          </cell>
          <cell r="W22">
            <v>3969.94</v>
          </cell>
          <cell r="X22">
            <v>0</v>
          </cell>
          <cell r="Y22">
            <v>175.54</v>
          </cell>
          <cell r="Z22">
            <v>1001.18</v>
          </cell>
          <cell r="AA22">
            <v>2110.2460000000001</v>
          </cell>
          <cell r="AB22">
            <v>444.29999999999995</v>
          </cell>
          <cell r="AC22">
            <v>431.68199999999996</v>
          </cell>
          <cell r="AD22">
            <v>2787.4449999999997</v>
          </cell>
          <cell r="AE22">
            <v>2535.6000000000004</v>
          </cell>
          <cell r="AF22">
            <v>9016.4410000000007</v>
          </cell>
          <cell r="AG22">
            <v>0</v>
          </cell>
          <cell r="AH22">
            <v>163.1</v>
          </cell>
          <cell r="AI22">
            <v>708.8</v>
          </cell>
          <cell r="AJ22">
            <v>2182.37</v>
          </cell>
          <cell r="AK22">
            <v>804.3</v>
          </cell>
          <cell r="AL22">
            <v>545.79200000000003</v>
          </cell>
          <cell r="AM22">
            <v>3175.38</v>
          </cell>
          <cell r="AN22">
            <v>9341.7900000000009</v>
          </cell>
          <cell r="AO22">
            <v>0</v>
          </cell>
          <cell r="AP22">
            <v>0</v>
          </cell>
          <cell r="AQ22">
            <v>113.32</v>
          </cell>
          <cell r="AR22">
            <v>1342.29</v>
          </cell>
          <cell r="AS22">
            <v>627.02</v>
          </cell>
          <cell r="AT22">
            <v>1051.7</v>
          </cell>
          <cell r="AU22">
            <v>852.68700000000001</v>
          </cell>
          <cell r="AV22">
            <v>5547.8379999999997</v>
          </cell>
          <cell r="AW22">
            <v>5052.2650000000003</v>
          </cell>
          <cell r="AX22">
            <v>65.52</v>
          </cell>
          <cell r="AY22">
            <v>0</v>
          </cell>
          <cell r="AZ22">
            <v>36.03</v>
          </cell>
          <cell r="BA22">
            <v>1207.175</v>
          </cell>
          <cell r="BB22">
            <v>315.50599999999997</v>
          </cell>
          <cell r="BC22">
            <v>1042.5999999999999</v>
          </cell>
          <cell r="BD22">
            <v>941.61500000000001</v>
          </cell>
          <cell r="BE22">
            <v>5732.0039999999999</v>
          </cell>
          <cell r="BF22">
            <v>2709.3150000000001</v>
          </cell>
          <cell r="BG22">
            <v>3280.71</v>
          </cell>
          <cell r="BH22">
            <v>0</v>
          </cell>
          <cell r="BI22">
            <v>112.01</v>
          </cell>
          <cell r="BJ22">
            <v>236.2842</v>
          </cell>
          <cell r="BK22">
            <v>315.50599999999997</v>
          </cell>
          <cell r="BL22">
            <v>1222.5999999999999</v>
          </cell>
          <cell r="BM22">
            <v>1059.2170000000001</v>
          </cell>
          <cell r="BN22">
            <v>5983.4770000000008</v>
          </cell>
          <cell r="BO22">
            <v>3876.9340000000002</v>
          </cell>
          <cell r="BP22">
            <v>277.44</v>
          </cell>
          <cell r="BQ22">
            <v>0</v>
          </cell>
          <cell r="BR22">
            <v>72.05</v>
          </cell>
          <cell r="BS22">
            <v>225.18360000000001</v>
          </cell>
          <cell r="BT22">
            <v>300.76600000000002</v>
          </cell>
          <cell r="BU22">
            <v>1220.5</v>
          </cell>
          <cell r="BV22">
            <v>933.08899999999994</v>
          </cell>
          <cell r="BW22">
            <v>5920.143</v>
          </cell>
          <cell r="BX22">
            <v>2540.6840000000002</v>
          </cell>
          <cell r="BY22">
            <v>248.13</v>
          </cell>
          <cell r="BZ22">
            <v>0</v>
          </cell>
          <cell r="CA22">
            <v>317.02</v>
          </cell>
          <cell r="CB22">
            <v>285.44400000000002</v>
          </cell>
          <cell r="CC22">
            <v>270.07600000000002</v>
          </cell>
          <cell r="CD22">
            <v>1117.3</v>
          </cell>
          <cell r="CE22">
            <v>1268.3969999999999</v>
          </cell>
          <cell r="CF22">
            <v>6011.0690000000004</v>
          </cell>
          <cell r="CG22">
            <v>0</v>
          </cell>
          <cell r="CH22">
            <v>5030.1099999999997</v>
          </cell>
          <cell r="CI22">
            <v>0</v>
          </cell>
          <cell r="CJ22">
            <v>356.32</v>
          </cell>
          <cell r="CK22">
            <v>0</v>
          </cell>
          <cell r="CL22">
            <v>270.07600000000002</v>
          </cell>
          <cell r="CM22">
            <v>1078.5</v>
          </cell>
          <cell r="CN22">
            <v>1342.8589999999999</v>
          </cell>
          <cell r="CO22">
            <v>5178.7569999999996</v>
          </cell>
          <cell r="CP22">
            <v>1876.5540000000001</v>
          </cell>
          <cell r="CQ22">
            <v>5055.6639999999998</v>
          </cell>
          <cell r="CR22">
            <v>0</v>
          </cell>
          <cell r="CS22">
            <v>314.39999999999998</v>
          </cell>
          <cell r="CT22">
            <v>0</v>
          </cell>
          <cell r="CU22">
            <v>85.85</v>
          </cell>
          <cell r="CV22">
            <v>1059</v>
          </cell>
          <cell r="CW22">
            <v>1415.9109999999998</v>
          </cell>
          <cell r="CX22">
            <v>4610.5679999999993</v>
          </cell>
          <cell r="CY22">
            <v>1474.204</v>
          </cell>
          <cell r="CZ22">
            <v>5010</v>
          </cell>
          <cell r="DA22">
            <v>0</v>
          </cell>
          <cell r="DB22">
            <v>206.98</v>
          </cell>
          <cell r="DC22">
            <v>0</v>
          </cell>
          <cell r="DD22">
            <v>254.02600000000001</v>
          </cell>
          <cell r="DE22">
            <v>878.8</v>
          </cell>
          <cell r="DF22">
            <v>1364.454</v>
          </cell>
          <cell r="DG22">
            <v>5796.4179999999997</v>
          </cell>
          <cell r="DH22">
            <v>3909.2179999999998</v>
          </cell>
          <cell r="DI22">
            <v>7001.32</v>
          </cell>
          <cell r="DJ22">
            <v>0</v>
          </cell>
          <cell r="DK22">
            <v>145.41</v>
          </cell>
          <cell r="DL22">
            <v>0</v>
          </cell>
          <cell r="DM22">
            <v>239.18600000000001</v>
          </cell>
          <cell r="DN22">
            <v>924.4</v>
          </cell>
          <cell r="DO22">
            <v>1447.261</v>
          </cell>
          <cell r="DP22">
            <v>6620.4739999999993</v>
          </cell>
          <cell r="DQ22">
            <v>956.30400000000009</v>
          </cell>
          <cell r="DR22">
            <v>8986.5</v>
          </cell>
          <cell r="DS22">
            <v>0</v>
          </cell>
          <cell r="DT22">
            <v>136.24</v>
          </cell>
          <cell r="DU22">
            <v>0</v>
          </cell>
          <cell r="DV22">
            <v>208.04599999999999</v>
          </cell>
          <cell r="DW22">
            <v>878.3</v>
          </cell>
          <cell r="DX22">
            <v>1251.5740000000001</v>
          </cell>
          <cell r="DY22">
            <v>6952.9150000000009</v>
          </cell>
          <cell r="DZ22">
            <v>7122.7830000000004</v>
          </cell>
          <cell r="EA22">
            <v>91.03</v>
          </cell>
          <cell r="EB22">
            <v>0</v>
          </cell>
          <cell r="EC22">
            <v>205.67</v>
          </cell>
          <cell r="ED22">
            <v>0</v>
          </cell>
          <cell r="EE22">
            <v>184.226</v>
          </cell>
          <cell r="EF22">
            <v>887.9</v>
          </cell>
          <cell r="EG22">
            <v>1216.9289999999999</v>
          </cell>
          <cell r="EH22">
            <v>7757.1189999999988</v>
          </cell>
          <cell r="EI22">
            <v>4950.4129999999996</v>
          </cell>
          <cell r="EJ22">
            <v>2824.2</v>
          </cell>
          <cell r="EK22">
            <v>0</v>
          </cell>
          <cell r="EL22">
            <v>142.79</v>
          </cell>
          <cell r="EM22">
            <v>0</v>
          </cell>
          <cell r="EN22">
            <v>184.226</v>
          </cell>
          <cell r="EO22">
            <v>1024</v>
          </cell>
          <cell r="EP22">
            <v>1347.4259999999999</v>
          </cell>
          <cell r="EQ22">
            <v>7900.1319999999996</v>
          </cell>
          <cell r="ER22">
            <v>2543.81</v>
          </cell>
          <cell r="ES22">
            <v>3087.4689999999996</v>
          </cell>
          <cell r="ET22">
            <v>0</v>
          </cell>
          <cell r="EU22">
            <v>224.67</v>
          </cell>
          <cell r="EV22">
            <v>172.27080000000001</v>
          </cell>
          <cell r="EW22">
            <v>184.226</v>
          </cell>
          <cell r="EX22">
            <v>1006.9</v>
          </cell>
          <cell r="EY22">
            <v>1424.433</v>
          </cell>
          <cell r="EZ22">
            <v>7892.8860000000004</v>
          </cell>
          <cell r="FA22">
            <v>3032.1689999999999</v>
          </cell>
          <cell r="FB22">
            <v>17.18</v>
          </cell>
          <cell r="FC22">
            <v>0</v>
          </cell>
          <cell r="FD22">
            <v>319.64</v>
          </cell>
          <cell r="FE22">
            <v>342.33300000000003</v>
          </cell>
          <cell r="FF22">
            <v>184.226</v>
          </cell>
          <cell r="FG22">
            <v>716</v>
          </cell>
          <cell r="FH22">
            <v>1277.559</v>
          </cell>
          <cell r="FI22">
            <v>4870.9719999999998</v>
          </cell>
          <cell r="FJ22">
            <v>2653.3090000000002</v>
          </cell>
          <cell r="FK22">
            <v>33.229999999999997</v>
          </cell>
          <cell r="FL22">
            <v>0</v>
          </cell>
          <cell r="FM22">
            <v>270.52</v>
          </cell>
          <cell r="FN22">
            <v>130.3074</v>
          </cell>
          <cell r="FO22">
            <v>184.226</v>
          </cell>
          <cell r="FP22">
            <v>805.1982857142857</v>
          </cell>
          <cell r="FQ22">
            <v>1259.8119999999997</v>
          </cell>
          <cell r="FR22">
            <v>5535.9610000000002</v>
          </cell>
          <cell r="FS22">
            <v>7701.96</v>
          </cell>
          <cell r="FT22">
            <v>48.9</v>
          </cell>
          <cell r="FU22">
            <v>0</v>
          </cell>
          <cell r="FV22">
            <v>263.97000000000003</v>
          </cell>
          <cell r="FW22">
            <v>46.38</v>
          </cell>
          <cell r="FX22">
            <v>184.226</v>
          </cell>
          <cell r="FY22">
            <v>829.18971428571433</v>
          </cell>
          <cell r="FZ22">
            <v>1244.4309999999998</v>
          </cell>
          <cell r="GA22">
            <v>6032.357</v>
          </cell>
          <cell r="GB22">
            <v>6380.99</v>
          </cell>
          <cell r="GC22">
            <v>0</v>
          </cell>
          <cell r="GD22">
            <v>0</v>
          </cell>
          <cell r="GE22">
            <v>331.43</v>
          </cell>
          <cell r="GF22">
            <v>13.2516</v>
          </cell>
          <cell r="GG22">
            <v>184.226</v>
          </cell>
          <cell r="GH22">
            <v>805.38971428571426</v>
          </cell>
          <cell r="GI22">
            <v>1145.461</v>
          </cell>
          <cell r="GJ22">
            <v>5942.3770000000004</v>
          </cell>
          <cell r="GK22">
            <v>7637.759</v>
          </cell>
          <cell r="GL22">
            <v>48.47</v>
          </cell>
          <cell r="GM22">
            <v>0</v>
          </cell>
          <cell r="GN22">
            <v>323.57</v>
          </cell>
          <cell r="GO22">
            <v>13.2516</v>
          </cell>
          <cell r="GP22">
            <v>184.226</v>
          </cell>
          <cell r="GQ22">
            <v>1098.9394285714286</v>
          </cell>
          <cell r="GR22">
            <v>1219.8789999999999</v>
          </cell>
          <cell r="GS22">
            <v>5917.3720000000003</v>
          </cell>
          <cell r="GT22">
            <v>5310.4740000000002</v>
          </cell>
          <cell r="GU22">
            <v>134.94</v>
          </cell>
          <cell r="GV22">
            <v>0</v>
          </cell>
        </row>
        <row r="23">
          <cell r="A23" t="str">
            <v>SPLIT FATTY ACIDS</v>
          </cell>
        </row>
        <row r="24">
          <cell r="A24">
            <v>18</v>
          </cell>
          <cell r="B24" t="str">
            <v>SRM</v>
          </cell>
          <cell r="C24" t="str">
            <v>FM</v>
          </cell>
          <cell r="D24" t="str">
            <v>SCPKO</v>
          </cell>
          <cell r="E24" t="str">
            <v>SCPKO</v>
          </cell>
          <cell r="G24">
            <v>309.20400000000001</v>
          </cell>
          <cell r="I24">
            <v>825.8</v>
          </cell>
          <cell r="K24">
            <v>3013.6930000000002</v>
          </cell>
          <cell r="O24">
            <v>4148.6970000000001</v>
          </cell>
          <cell r="Q24">
            <v>119.34</v>
          </cell>
          <cell r="S24">
            <v>235.7</v>
          </cell>
          <cell r="U24">
            <v>4500.2179999999998</v>
          </cell>
          <cell r="W24">
            <v>669.66</v>
          </cell>
          <cell r="Y24">
            <v>36.192</v>
          </cell>
          <cell r="Z24">
            <v>226.44</v>
          </cell>
          <cell r="AB24">
            <v>770</v>
          </cell>
          <cell r="AD24">
            <v>2155.8490000000002</v>
          </cell>
          <cell r="AF24">
            <v>886.61</v>
          </cell>
          <cell r="AI24">
            <v>94.86</v>
          </cell>
          <cell r="AK24">
            <v>429.3</v>
          </cell>
          <cell r="AM24">
            <v>337.92899999999997</v>
          </cell>
          <cell r="AO24">
            <v>510.08</v>
          </cell>
          <cell r="AR24">
            <v>13.26</v>
          </cell>
          <cell r="AT24">
            <v>256.7</v>
          </cell>
          <cell r="AV24">
            <v>658.19799999999998</v>
          </cell>
          <cell r="AX24">
            <v>978.81</v>
          </cell>
          <cell r="BC24">
            <v>296</v>
          </cell>
          <cell r="BE24">
            <v>932.86900000000003</v>
          </cell>
          <cell r="BG24">
            <v>802.03</v>
          </cell>
          <cell r="BJ24">
            <v>64.260000000000005</v>
          </cell>
          <cell r="BL24">
            <v>756.4</v>
          </cell>
          <cell r="BN24">
            <v>201.88800000000001</v>
          </cell>
          <cell r="BP24">
            <v>383.36</v>
          </cell>
          <cell r="BS24">
            <v>64.260000000000005</v>
          </cell>
          <cell r="BU24">
            <v>106</v>
          </cell>
          <cell r="BW24">
            <v>327.00599999999997</v>
          </cell>
          <cell r="BY24">
            <v>486.71</v>
          </cell>
          <cell r="CD24">
            <v>497</v>
          </cell>
          <cell r="CF24">
            <v>298.15300000000002</v>
          </cell>
          <cell r="CH24">
            <v>734.35</v>
          </cell>
          <cell r="CM24">
            <v>292.3</v>
          </cell>
          <cell r="CO24">
            <v>113.94</v>
          </cell>
          <cell r="CQ24">
            <v>570.16</v>
          </cell>
          <cell r="CT24">
            <v>241.74</v>
          </cell>
          <cell r="CX24">
            <v>12.21</v>
          </cell>
          <cell r="CZ24">
            <v>235.22</v>
          </cell>
          <cell r="DC24">
            <v>9.18</v>
          </cell>
          <cell r="DG24">
            <v>43.716999999999985</v>
          </cell>
          <cell r="DI24">
            <v>225.26</v>
          </cell>
          <cell r="DL24">
            <v>24.48</v>
          </cell>
          <cell r="DN24">
            <v>195</v>
          </cell>
          <cell r="DP24">
            <v>232.577</v>
          </cell>
          <cell r="DR24">
            <v>735.71</v>
          </cell>
          <cell r="DU24">
            <v>260.10000000000002</v>
          </cell>
          <cell r="DW24">
            <v>812.8</v>
          </cell>
          <cell r="DY24">
            <v>354.11099999999993</v>
          </cell>
          <cell r="EA24">
            <v>503.22</v>
          </cell>
          <cell r="ED24">
            <v>584.46</v>
          </cell>
          <cell r="EF24">
            <v>260.3</v>
          </cell>
          <cell r="EH24">
            <v>391.70799999999997</v>
          </cell>
          <cell r="EJ24">
            <v>395.21</v>
          </cell>
          <cell r="EO24">
            <v>164.4</v>
          </cell>
          <cell r="EQ24">
            <v>403.73900000000003</v>
          </cell>
          <cell r="ES24">
            <v>843.53</v>
          </cell>
          <cell r="EV24">
            <v>370.26</v>
          </cell>
          <cell r="EX24">
            <v>82.2</v>
          </cell>
          <cell r="EZ24">
            <v>860.62200000000007</v>
          </cell>
          <cell r="FB24">
            <v>603.62</v>
          </cell>
          <cell r="FE24">
            <v>425.34</v>
          </cell>
          <cell r="FG24">
            <v>433.9</v>
          </cell>
          <cell r="FI24">
            <v>1520.4939999999999</v>
          </cell>
          <cell r="FK24">
            <v>1423.3200000000002</v>
          </cell>
          <cell r="FM24">
            <v>260.77499999999998</v>
          </cell>
          <cell r="FN24">
            <v>376.38</v>
          </cell>
          <cell r="FP24">
            <v>489.63600000000008</v>
          </cell>
          <cell r="FR24">
            <v>1165.508</v>
          </cell>
          <cell r="FT24">
            <v>1055.68</v>
          </cell>
          <cell r="FV24">
            <v>260.77499999999998</v>
          </cell>
          <cell r="FW24">
            <v>517.14</v>
          </cell>
          <cell r="FY24">
            <v>487.80899999999991</v>
          </cell>
          <cell r="GA24">
            <v>1262.5609999999999</v>
          </cell>
          <cell r="GC24">
            <v>917.55</v>
          </cell>
          <cell r="GE24">
            <v>260.77499999999998</v>
          </cell>
          <cell r="GF24">
            <v>434.52</v>
          </cell>
          <cell r="GH24">
            <v>164.43</v>
          </cell>
          <cell r="GJ24">
            <v>692.15200000000004</v>
          </cell>
          <cell r="GL24">
            <v>848.89</v>
          </cell>
          <cell r="GO24">
            <v>370.26</v>
          </cell>
          <cell r="GQ24">
            <v>173.565</v>
          </cell>
          <cell r="GS24">
            <v>446.11699999999996</v>
          </cell>
          <cell r="GU24">
            <v>841.8900000000001</v>
          </cell>
        </row>
        <row r="25">
          <cell r="A25">
            <v>19</v>
          </cell>
          <cell r="B25" t="str">
            <v>SRM</v>
          </cell>
          <cell r="C25" t="str">
            <v>FM</v>
          </cell>
          <cell r="D25" t="str">
            <v>SCNO</v>
          </cell>
          <cell r="E25" t="str">
            <v>SCNO</v>
          </cell>
          <cell r="O25">
            <v>0</v>
          </cell>
        </row>
        <row r="26">
          <cell r="A26">
            <v>20</v>
          </cell>
          <cell r="B26" t="str">
            <v>SRM</v>
          </cell>
          <cell r="C26" t="str">
            <v>FM</v>
          </cell>
          <cell r="D26" t="str">
            <v>SCPKO-HLL</v>
          </cell>
          <cell r="E26" t="str">
            <v>SCPKO-HLL</v>
          </cell>
          <cell r="K26">
            <v>797.774</v>
          </cell>
          <cell r="O26">
            <v>797.774</v>
          </cell>
          <cell r="U26">
            <v>556.35400000000004</v>
          </cell>
          <cell r="AD26">
            <v>556.35400000000004</v>
          </cell>
          <cell r="AM26">
            <v>527.05499999999995</v>
          </cell>
          <cell r="AV26">
            <v>443.375</v>
          </cell>
          <cell r="BE26">
            <v>417.42500000000001</v>
          </cell>
          <cell r="BN26">
            <v>138.745</v>
          </cell>
          <cell r="BW26">
            <v>138.745</v>
          </cell>
          <cell r="CF26">
            <v>138.745</v>
          </cell>
        </row>
        <row r="27">
          <cell r="A27">
            <v>21</v>
          </cell>
          <cell r="B27" t="str">
            <v>SRM</v>
          </cell>
          <cell r="C27" t="str">
            <v>FM</v>
          </cell>
          <cell r="D27" t="str">
            <v>SPKFAD</v>
          </cell>
          <cell r="E27" t="str">
            <v>SPKFAD</v>
          </cell>
          <cell r="F27">
            <v>86.4</v>
          </cell>
          <cell r="O27">
            <v>86.4</v>
          </cell>
          <cell r="P27">
            <v>57.6</v>
          </cell>
          <cell r="Y27">
            <v>20.136600000000005</v>
          </cell>
          <cell r="AH27">
            <v>19.773500000000002</v>
          </cell>
          <cell r="EH27">
            <v>117.163</v>
          </cell>
          <cell r="EQ27">
            <v>13.177</v>
          </cell>
          <cell r="EZ27">
            <v>13.177</v>
          </cell>
          <cell r="FI27">
            <v>13.177</v>
          </cell>
          <cell r="FR27">
            <v>209.65</v>
          </cell>
          <cell r="GA27">
            <v>209.65</v>
          </cell>
          <cell r="GJ27">
            <v>209.65</v>
          </cell>
          <cell r="GS27">
            <v>209.65</v>
          </cell>
        </row>
        <row r="28">
          <cell r="A28">
            <v>22</v>
          </cell>
          <cell r="B28" t="str">
            <v>SRM</v>
          </cell>
          <cell r="C28" t="str">
            <v>FM</v>
          </cell>
          <cell r="D28" t="str">
            <v>SCPS</v>
          </cell>
          <cell r="E28" t="str">
            <v>SCPS</v>
          </cell>
          <cell r="O28">
            <v>0</v>
          </cell>
        </row>
        <row r="29">
          <cell r="A29">
            <v>23</v>
          </cell>
          <cell r="B29" t="str">
            <v>SRM</v>
          </cell>
          <cell r="C29" t="str">
            <v>FM</v>
          </cell>
          <cell r="D29" t="str">
            <v>SRBDPS</v>
          </cell>
          <cell r="E29" t="str">
            <v>SRBDPS</v>
          </cell>
          <cell r="O29">
            <v>0</v>
          </cell>
          <cell r="Q29">
            <v>195.05340000000001</v>
          </cell>
          <cell r="Z29">
            <v>272.75760000000002</v>
          </cell>
          <cell r="BN29">
            <v>133.05699999999999</v>
          </cell>
          <cell r="BW29">
            <v>133.05699999999999</v>
          </cell>
          <cell r="CF29">
            <v>133.05699999999999</v>
          </cell>
          <cell r="CO29">
            <v>133.05699999999999</v>
          </cell>
          <cell r="CU29">
            <v>184.226</v>
          </cell>
          <cell r="CX29">
            <v>133.05699999999999</v>
          </cell>
          <cell r="DG29">
            <v>133.05699999999999</v>
          </cell>
          <cell r="DK29">
            <v>31.2</v>
          </cell>
          <cell r="DP29">
            <v>177.51</v>
          </cell>
          <cell r="DR29">
            <v>15.85</v>
          </cell>
          <cell r="DT29">
            <v>164.4</v>
          </cell>
          <cell r="DY29">
            <v>170.19299999999998</v>
          </cell>
          <cell r="ED29">
            <v>491.59800000000007</v>
          </cell>
          <cell r="EH29">
            <v>60.232999999999997</v>
          </cell>
          <cell r="EM29">
            <v>364.73399999999998</v>
          </cell>
          <cell r="EQ29">
            <v>11.805999999999999</v>
          </cell>
          <cell r="EV29">
            <v>119.72790000000001</v>
          </cell>
          <cell r="EZ29">
            <v>11.805999999999999</v>
          </cell>
          <cell r="FI29">
            <v>11.805999999999999</v>
          </cell>
          <cell r="FR29">
            <v>11.805999999999999</v>
          </cell>
          <cell r="GA29">
            <v>11.805999999999999</v>
          </cell>
          <cell r="GJ29">
            <v>11.805999999999999</v>
          </cell>
          <cell r="GO29">
            <v>98.319600000000008</v>
          </cell>
          <cell r="GS29">
            <v>49.21</v>
          </cell>
          <cell r="GU29">
            <v>353.71</v>
          </cell>
        </row>
        <row r="30">
          <cell r="A30">
            <v>24</v>
          </cell>
          <cell r="B30" t="str">
            <v>SRM</v>
          </cell>
          <cell r="C30" t="str">
            <v>FM</v>
          </cell>
          <cell r="D30" t="str">
            <v>SCPO</v>
          </cell>
          <cell r="E30" t="str">
            <v>SCPO</v>
          </cell>
          <cell r="K30">
            <v>0.48899999999999999</v>
          </cell>
          <cell r="O30">
            <v>0.48899999999999999</v>
          </cell>
          <cell r="U30">
            <v>0.48899999999999999</v>
          </cell>
          <cell r="AD30">
            <v>0.48899999999999999</v>
          </cell>
        </row>
        <row r="31">
          <cell r="A31">
            <v>25</v>
          </cell>
          <cell r="B31" t="str">
            <v>SRM</v>
          </cell>
          <cell r="C31" t="str">
            <v>FM</v>
          </cell>
          <cell r="D31" t="str">
            <v>SPFAD</v>
          </cell>
          <cell r="E31" t="str">
            <v>SPFAD</v>
          </cell>
          <cell r="F31">
            <v>159.6</v>
          </cell>
          <cell r="H31">
            <v>927.3</v>
          </cell>
          <cell r="I31">
            <v>0.9</v>
          </cell>
          <cell r="M31">
            <v>46.37</v>
          </cell>
          <cell r="O31">
            <v>1134.1699999999998</v>
          </cell>
          <cell r="P31">
            <v>310.95</v>
          </cell>
          <cell r="R31">
            <v>274.52999999999997</v>
          </cell>
          <cell r="S31">
            <v>498.5</v>
          </cell>
          <cell r="W31">
            <v>14.23</v>
          </cell>
          <cell r="Y31">
            <v>392</v>
          </cell>
          <cell r="AA31">
            <v>387.02</v>
          </cell>
          <cell r="AB31">
            <v>518.70000000000005</v>
          </cell>
          <cell r="AH31">
            <v>637.20000000000005</v>
          </cell>
          <cell r="AI31">
            <v>183.95280000000002</v>
          </cell>
          <cell r="AJ31">
            <v>301.41000000000003</v>
          </cell>
          <cell r="AK31">
            <v>257.5</v>
          </cell>
          <cell r="AM31">
            <v>615.07299999999998</v>
          </cell>
          <cell r="AO31">
            <v>45</v>
          </cell>
          <cell r="AR31">
            <v>837.05939999999998</v>
          </cell>
          <cell r="AS31">
            <v>453.19</v>
          </cell>
          <cell r="AT31">
            <v>496.6</v>
          </cell>
          <cell r="AV31">
            <v>615.07299999999998</v>
          </cell>
          <cell r="AZ31">
            <v>445.2</v>
          </cell>
          <cell r="BA31">
            <v>414.11250000000001</v>
          </cell>
          <cell r="BB31">
            <v>453.19</v>
          </cell>
          <cell r="BC31">
            <v>327.39999999999998</v>
          </cell>
          <cell r="BE31">
            <v>615.07299999999998</v>
          </cell>
          <cell r="BI31">
            <v>98.4</v>
          </cell>
          <cell r="BJ31">
            <v>1142.4100000000001</v>
          </cell>
          <cell r="BK31">
            <v>40.130000000000003</v>
          </cell>
          <cell r="BL31">
            <v>186.7</v>
          </cell>
          <cell r="BN31">
            <v>615.07299999999998</v>
          </cell>
          <cell r="BP31">
            <v>140.97999999999999</v>
          </cell>
          <cell r="BS31">
            <v>890.43</v>
          </cell>
          <cell r="BT31">
            <v>40.130000000000003</v>
          </cell>
          <cell r="BU31">
            <v>206</v>
          </cell>
          <cell r="BW31">
            <v>615.07299999999998</v>
          </cell>
          <cell r="BY31">
            <v>49.49</v>
          </cell>
          <cell r="CC31">
            <v>4.42</v>
          </cell>
          <cell r="CD31">
            <v>397.3</v>
          </cell>
          <cell r="CF31">
            <v>295.16000000000003</v>
          </cell>
          <cell r="CK31">
            <v>128.44980000000001</v>
          </cell>
          <cell r="CM31">
            <v>166.5</v>
          </cell>
          <cell r="CO31">
            <v>364.73500000000001</v>
          </cell>
          <cell r="CQ31">
            <v>107.01</v>
          </cell>
          <cell r="CT31">
            <v>12.686400000000001</v>
          </cell>
          <cell r="CU31">
            <v>4.42</v>
          </cell>
          <cell r="CV31">
            <v>172.9</v>
          </cell>
          <cell r="CX31">
            <v>632.66700000000003</v>
          </cell>
          <cell r="CZ31">
            <v>214.05</v>
          </cell>
          <cell r="DC31">
            <v>147.47940000000003</v>
          </cell>
          <cell r="DD31">
            <v>4.42</v>
          </cell>
          <cell r="DE31">
            <v>312.7</v>
          </cell>
          <cell r="DG31">
            <v>606.32000000000005</v>
          </cell>
          <cell r="DI31">
            <v>676.71999999999991</v>
          </cell>
          <cell r="DL31">
            <v>445.60980000000006</v>
          </cell>
          <cell r="DN31">
            <v>49.7</v>
          </cell>
          <cell r="DP31">
            <v>291.26900000000001</v>
          </cell>
          <cell r="DR31">
            <v>658.84999999999991</v>
          </cell>
          <cell r="DU31">
            <v>543.13649999999996</v>
          </cell>
          <cell r="DV31">
            <v>4.42</v>
          </cell>
          <cell r="DW31">
            <v>169.2</v>
          </cell>
          <cell r="DY31">
            <v>802.07</v>
          </cell>
          <cell r="ED31">
            <v>31.716000000000005</v>
          </cell>
          <cell r="EE31">
            <v>4.42</v>
          </cell>
          <cell r="EH31">
            <v>410.24</v>
          </cell>
          <cell r="EJ31">
            <v>155</v>
          </cell>
          <cell r="EN31">
            <v>4.42</v>
          </cell>
          <cell r="EQ31">
            <v>792.71899999999994</v>
          </cell>
          <cell r="EV31">
            <v>82.461600000000004</v>
          </cell>
          <cell r="EW31">
            <v>4.42</v>
          </cell>
          <cell r="EZ31">
            <v>463.959</v>
          </cell>
          <cell r="FD31">
            <v>14</v>
          </cell>
          <cell r="FE31">
            <v>114.17760000000001</v>
          </cell>
          <cell r="FF31">
            <v>4.42</v>
          </cell>
          <cell r="FI31">
            <v>431.03899999999999</v>
          </cell>
          <cell r="FK31">
            <v>32.78</v>
          </cell>
          <cell r="FN31">
            <v>14.272200000000002</v>
          </cell>
          <cell r="FO31">
            <v>4.42</v>
          </cell>
          <cell r="FR31">
            <v>721.327</v>
          </cell>
          <cell r="FT31">
            <v>619.73</v>
          </cell>
          <cell r="FW31">
            <v>85.63</v>
          </cell>
          <cell r="FX31">
            <v>4.42</v>
          </cell>
          <cell r="GA31">
            <v>654.36699999999996</v>
          </cell>
          <cell r="GC31">
            <v>675.99</v>
          </cell>
          <cell r="GF31">
            <v>42.816600000000008</v>
          </cell>
          <cell r="GG31">
            <v>4.42</v>
          </cell>
          <cell r="GH31">
            <v>76.733999999999995</v>
          </cell>
          <cell r="GJ31">
            <v>830.86199999999997</v>
          </cell>
          <cell r="GL31">
            <v>868.16</v>
          </cell>
          <cell r="GN31">
            <v>7</v>
          </cell>
          <cell r="GO31">
            <v>340.947</v>
          </cell>
          <cell r="GP31">
            <v>4.42</v>
          </cell>
          <cell r="GQ31">
            <v>64.38</v>
          </cell>
          <cell r="GR31">
            <v>36.920999999999999</v>
          </cell>
          <cell r="GS31">
            <v>434.99400000000003</v>
          </cell>
          <cell r="GU31">
            <v>417.18</v>
          </cell>
        </row>
        <row r="32">
          <cell r="A32">
            <v>26</v>
          </cell>
          <cell r="B32" t="str">
            <v>SRM</v>
          </cell>
          <cell r="C32" t="str">
            <v>FM</v>
          </cell>
          <cell r="D32" t="str">
            <v>SCPS-HLL</v>
          </cell>
          <cell r="E32" t="str">
            <v>SCPS-HLL</v>
          </cell>
          <cell r="O32">
            <v>0</v>
          </cell>
        </row>
        <row r="33">
          <cell r="A33">
            <v>27</v>
          </cell>
          <cell r="B33" t="str">
            <v>SRM</v>
          </cell>
          <cell r="C33" t="str">
            <v>FM</v>
          </cell>
          <cell r="D33" t="str">
            <v>SMUSTARD OIL</v>
          </cell>
          <cell r="E33" t="str">
            <v>SMUSTARD OIL</v>
          </cell>
          <cell r="F33">
            <v>111.15</v>
          </cell>
          <cell r="I33">
            <v>76.5</v>
          </cell>
          <cell r="K33">
            <v>209.16800000000001</v>
          </cell>
          <cell r="M33">
            <v>361.03999999999996</v>
          </cell>
          <cell r="O33">
            <v>757.85799999999995</v>
          </cell>
          <cell r="S33">
            <v>140.69999999999999</v>
          </cell>
          <cell r="W33">
            <v>40.36</v>
          </cell>
          <cell r="AB33">
            <v>213.8</v>
          </cell>
          <cell r="AK33">
            <v>104.1</v>
          </cell>
          <cell r="AT33">
            <v>372.7</v>
          </cell>
          <cell r="BC33">
            <v>459.5</v>
          </cell>
          <cell r="BU33">
            <v>56.6</v>
          </cell>
          <cell r="CD33">
            <v>167.2</v>
          </cell>
          <cell r="CM33">
            <v>82.2</v>
          </cell>
          <cell r="CV33">
            <v>89.5</v>
          </cell>
          <cell r="DE33">
            <v>173.6</v>
          </cell>
          <cell r="DN33">
            <v>297.8</v>
          </cell>
          <cell r="EF33">
            <v>1.8</v>
          </cell>
          <cell r="EJ33">
            <v>350.09</v>
          </cell>
          <cell r="EO33">
            <v>487.8</v>
          </cell>
          <cell r="EX33">
            <v>45.7</v>
          </cell>
        </row>
        <row r="34">
          <cell r="A34">
            <v>28</v>
          </cell>
          <cell r="B34" t="str">
            <v>SRM</v>
          </cell>
          <cell r="C34" t="str">
            <v>FM</v>
          </cell>
          <cell r="D34" t="str">
            <v>SMUSTARD OIL-EXPELLER</v>
          </cell>
          <cell r="E34" t="str">
            <v>SMUSTARD OIL-EXPELLER</v>
          </cell>
          <cell r="O34">
            <v>0</v>
          </cell>
          <cell r="U34">
            <v>390.68599999999998</v>
          </cell>
          <cell r="AA34">
            <v>40.11</v>
          </cell>
          <cell r="AD34">
            <v>19.283000000000001</v>
          </cell>
          <cell r="AF34">
            <v>160.1</v>
          </cell>
          <cell r="AJ34">
            <v>40.11</v>
          </cell>
          <cell r="AM34">
            <v>139.02099999999999</v>
          </cell>
          <cell r="AO34">
            <v>234.59</v>
          </cell>
          <cell r="AS34">
            <v>40.11</v>
          </cell>
          <cell r="AV34">
            <v>275.25099999999998</v>
          </cell>
          <cell r="AX34">
            <v>90.09</v>
          </cell>
          <cell r="BB34">
            <v>40.11</v>
          </cell>
          <cell r="BE34">
            <v>238.441</v>
          </cell>
          <cell r="BG34">
            <v>36.81</v>
          </cell>
          <cell r="BK34">
            <v>40.11</v>
          </cell>
          <cell r="BN34">
            <v>157.41999999999999</v>
          </cell>
          <cell r="BP34">
            <v>314.51</v>
          </cell>
          <cell r="BT34">
            <v>40.11</v>
          </cell>
          <cell r="BW34">
            <v>60.603999999999999</v>
          </cell>
          <cell r="BY34">
            <v>238.47</v>
          </cell>
          <cell r="CC34">
            <v>40.11</v>
          </cell>
          <cell r="CF34">
            <v>224.571</v>
          </cell>
          <cell r="CL34">
            <v>40.11</v>
          </cell>
          <cell r="CO34">
            <v>170.49299999999999</v>
          </cell>
          <cell r="CQ34">
            <v>256.12</v>
          </cell>
          <cell r="CU34">
            <v>40.11</v>
          </cell>
          <cell r="CX34">
            <v>154.80500000000001</v>
          </cell>
          <cell r="CZ34">
            <v>437.73</v>
          </cell>
          <cell r="DD34">
            <v>40.11</v>
          </cell>
          <cell r="DG34">
            <v>284.42900000000003</v>
          </cell>
          <cell r="DM34">
            <v>40.11</v>
          </cell>
          <cell r="DP34">
            <v>703.42600000000004</v>
          </cell>
          <cell r="DV34">
            <v>40.11</v>
          </cell>
          <cell r="DW34">
            <v>259.39999999999998</v>
          </cell>
          <cell r="DY34">
            <v>134.49600000000001</v>
          </cell>
          <cell r="EA34">
            <v>284.02</v>
          </cell>
          <cell r="EE34">
            <v>40.11</v>
          </cell>
          <cell r="EH34">
            <v>193.61</v>
          </cell>
          <cell r="EN34">
            <v>40.11</v>
          </cell>
          <cell r="EQ34">
            <v>361.625</v>
          </cell>
          <cell r="ES34">
            <v>173.28</v>
          </cell>
          <cell r="EW34">
            <v>40.11</v>
          </cell>
          <cell r="EZ34">
            <v>207.45399999999998</v>
          </cell>
          <cell r="FB34">
            <v>301.95999999999998</v>
          </cell>
          <cell r="FF34">
            <v>40.11</v>
          </cell>
          <cell r="FG34">
            <v>138.9</v>
          </cell>
          <cell r="FI34">
            <v>51.624000000000002</v>
          </cell>
          <cell r="FK34">
            <v>45.12</v>
          </cell>
          <cell r="FO34">
            <v>40.11</v>
          </cell>
          <cell r="FR34">
            <v>51.624000000000002</v>
          </cell>
          <cell r="FX34">
            <v>40.11</v>
          </cell>
          <cell r="GA34">
            <v>51.624000000000002</v>
          </cell>
          <cell r="GG34">
            <v>40.11</v>
          </cell>
          <cell r="GJ34">
            <v>348.00300000000004</v>
          </cell>
          <cell r="GP34">
            <v>40.11</v>
          </cell>
          <cell r="GQ34">
            <v>432.99899999999997</v>
          </cell>
          <cell r="GS34">
            <v>684.447</v>
          </cell>
          <cell r="GU34">
            <v>192.76</v>
          </cell>
        </row>
        <row r="35">
          <cell r="D35" t="str">
            <v>SRM TOTAL</v>
          </cell>
          <cell r="E35" t="str">
            <v>SRM TOTAL</v>
          </cell>
          <cell r="F35">
            <v>357.15</v>
          </cell>
          <cell r="G35">
            <v>309.20400000000001</v>
          </cell>
          <cell r="H35">
            <v>927.3</v>
          </cell>
          <cell r="I35">
            <v>903.19999999999993</v>
          </cell>
          <cell r="J35">
            <v>0</v>
          </cell>
          <cell r="K35">
            <v>4021.1240000000003</v>
          </cell>
          <cell r="L35">
            <v>0</v>
          </cell>
          <cell r="M35">
            <v>407.40999999999997</v>
          </cell>
          <cell r="N35">
            <v>0</v>
          </cell>
          <cell r="O35">
            <v>6925.3879999999999</v>
          </cell>
          <cell r="P35">
            <v>368.55</v>
          </cell>
          <cell r="Q35">
            <v>314.39340000000004</v>
          </cell>
          <cell r="R35">
            <v>274.52999999999997</v>
          </cell>
          <cell r="S35">
            <v>874.9</v>
          </cell>
          <cell r="T35">
            <v>0</v>
          </cell>
          <cell r="U35">
            <v>5447.7469999999994</v>
          </cell>
          <cell r="V35">
            <v>0</v>
          </cell>
          <cell r="W35">
            <v>724.25</v>
          </cell>
          <cell r="X35">
            <v>0</v>
          </cell>
          <cell r="Y35">
            <v>448.32859999999999</v>
          </cell>
          <cell r="Z35">
            <v>499.19760000000002</v>
          </cell>
          <cell r="AA35">
            <v>427.13</v>
          </cell>
          <cell r="AB35">
            <v>1502.5</v>
          </cell>
          <cell r="AC35">
            <v>0</v>
          </cell>
          <cell r="AD35">
            <v>2731.9750000000004</v>
          </cell>
          <cell r="AE35">
            <v>0</v>
          </cell>
          <cell r="AF35">
            <v>1046.71</v>
          </cell>
          <cell r="AG35">
            <v>0</v>
          </cell>
          <cell r="AH35">
            <v>656.97350000000006</v>
          </cell>
          <cell r="AI35">
            <v>278.81280000000004</v>
          </cell>
          <cell r="AJ35">
            <v>341.52000000000004</v>
          </cell>
          <cell r="AK35">
            <v>790.9</v>
          </cell>
          <cell r="AL35">
            <v>0</v>
          </cell>
          <cell r="AM35">
            <v>1619.0779999999997</v>
          </cell>
          <cell r="AN35">
            <v>0</v>
          </cell>
          <cell r="AO35">
            <v>789.67</v>
          </cell>
          <cell r="AP35">
            <v>0</v>
          </cell>
          <cell r="AQ35">
            <v>0</v>
          </cell>
          <cell r="AR35">
            <v>850.31939999999997</v>
          </cell>
          <cell r="AS35">
            <v>493.3</v>
          </cell>
          <cell r="AT35">
            <v>1126</v>
          </cell>
          <cell r="AU35">
            <v>0</v>
          </cell>
          <cell r="AV35">
            <v>1991.8969999999997</v>
          </cell>
          <cell r="AW35">
            <v>0</v>
          </cell>
          <cell r="AX35">
            <v>1068.8999999999999</v>
          </cell>
          <cell r="AY35">
            <v>0</v>
          </cell>
          <cell r="AZ35">
            <v>445.2</v>
          </cell>
          <cell r="BA35">
            <v>414.11250000000001</v>
          </cell>
          <cell r="BB35">
            <v>493.3</v>
          </cell>
          <cell r="BC35">
            <v>1082.9000000000001</v>
          </cell>
          <cell r="BD35">
            <v>0</v>
          </cell>
          <cell r="BE35">
            <v>2203.808</v>
          </cell>
          <cell r="BF35">
            <v>0</v>
          </cell>
          <cell r="BG35">
            <v>838.83999999999992</v>
          </cell>
          <cell r="BH35">
            <v>0</v>
          </cell>
          <cell r="BI35">
            <v>98.4</v>
          </cell>
          <cell r="BJ35">
            <v>1206.67</v>
          </cell>
          <cell r="BK35">
            <v>80.240000000000009</v>
          </cell>
          <cell r="BL35">
            <v>943.09999999999991</v>
          </cell>
          <cell r="BM35">
            <v>0</v>
          </cell>
          <cell r="BN35">
            <v>1246.183</v>
          </cell>
          <cell r="BO35">
            <v>0</v>
          </cell>
          <cell r="BP35">
            <v>838.85</v>
          </cell>
          <cell r="BQ35">
            <v>0</v>
          </cell>
          <cell r="BR35">
            <v>0</v>
          </cell>
          <cell r="BS35">
            <v>954.68999999999994</v>
          </cell>
          <cell r="BT35">
            <v>80.240000000000009</v>
          </cell>
          <cell r="BU35">
            <v>368.6</v>
          </cell>
          <cell r="BV35">
            <v>0</v>
          </cell>
          <cell r="BW35">
            <v>1274.4849999999999</v>
          </cell>
          <cell r="BX35">
            <v>0</v>
          </cell>
          <cell r="BY35">
            <v>774.67</v>
          </cell>
          <cell r="BZ35">
            <v>0</v>
          </cell>
          <cell r="CA35">
            <v>0</v>
          </cell>
          <cell r="CB35">
            <v>0</v>
          </cell>
          <cell r="CC35">
            <v>44.53</v>
          </cell>
          <cell r="CD35">
            <v>1061.5</v>
          </cell>
          <cell r="CE35">
            <v>0</v>
          </cell>
          <cell r="CF35">
            <v>1089.6859999999999</v>
          </cell>
          <cell r="CG35">
            <v>0</v>
          </cell>
          <cell r="CH35">
            <v>734.35</v>
          </cell>
          <cell r="CI35">
            <v>0</v>
          </cell>
          <cell r="CJ35">
            <v>0</v>
          </cell>
          <cell r="CK35">
            <v>128.44980000000001</v>
          </cell>
          <cell r="CL35">
            <v>40.11</v>
          </cell>
          <cell r="CM35">
            <v>541</v>
          </cell>
          <cell r="CN35">
            <v>0</v>
          </cell>
          <cell r="CO35">
            <v>782.22499999999991</v>
          </cell>
          <cell r="CP35">
            <v>0</v>
          </cell>
          <cell r="CQ35">
            <v>933.29</v>
          </cell>
          <cell r="CR35">
            <v>0</v>
          </cell>
          <cell r="CS35">
            <v>0</v>
          </cell>
          <cell r="CT35">
            <v>254.4264</v>
          </cell>
          <cell r="CU35">
            <v>228.75599999999997</v>
          </cell>
          <cell r="CV35">
            <v>262.39999999999998</v>
          </cell>
          <cell r="CW35">
            <v>0</v>
          </cell>
          <cell r="CX35">
            <v>932.73900000000003</v>
          </cell>
          <cell r="CY35">
            <v>0</v>
          </cell>
          <cell r="CZ35">
            <v>887</v>
          </cell>
          <cell r="DA35">
            <v>0</v>
          </cell>
          <cell r="DB35">
            <v>0</v>
          </cell>
          <cell r="DC35">
            <v>156.65940000000003</v>
          </cell>
          <cell r="DD35">
            <v>44.53</v>
          </cell>
          <cell r="DE35">
            <v>486.29999999999995</v>
          </cell>
          <cell r="DF35">
            <v>0</v>
          </cell>
          <cell r="DG35">
            <v>1067.5230000000001</v>
          </cell>
          <cell r="DH35">
            <v>0</v>
          </cell>
          <cell r="DI35">
            <v>901.9799999999999</v>
          </cell>
          <cell r="DJ35">
            <v>0</v>
          </cell>
          <cell r="DK35">
            <v>31.2</v>
          </cell>
          <cell r="DL35">
            <v>470.08980000000008</v>
          </cell>
          <cell r="DM35">
            <v>40.11</v>
          </cell>
          <cell r="DN35">
            <v>542.5</v>
          </cell>
          <cell r="DO35">
            <v>0</v>
          </cell>
          <cell r="DP35">
            <v>1404.7820000000002</v>
          </cell>
          <cell r="DQ35">
            <v>0</v>
          </cell>
          <cell r="DR35">
            <v>1410.4099999999999</v>
          </cell>
          <cell r="DS35">
            <v>0</v>
          </cell>
          <cell r="DT35">
            <v>164.4</v>
          </cell>
          <cell r="DU35">
            <v>803.23649999999998</v>
          </cell>
          <cell r="DV35">
            <v>44.53</v>
          </cell>
          <cell r="DW35">
            <v>1241.4000000000001</v>
          </cell>
          <cell r="DX35">
            <v>0</v>
          </cell>
          <cell r="DY35">
            <v>1460.87</v>
          </cell>
          <cell r="DZ35">
            <v>0</v>
          </cell>
          <cell r="EA35">
            <v>787.24</v>
          </cell>
          <cell r="EB35">
            <v>0</v>
          </cell>
          <cell r="EC35">
            <v>0</v>
          </cell>
          <cell r="ED35">
            <v>1107.7739999999999</v>
          </cell>
          <cell r="EE35">
            <v>44.53</v>
          </cell>
          <cell r="EF35">
            <v>262.10000000000002</v>
          </cell>
          <cell r="EG35">
            <v>0</v>
          </cell>
          <cell r="EH35">
            <v>1172.954</v>
          </cell>
          <cell r="EI35">
            <v>0</v>
          </cell>
          <cell r="EJ35">
            <v>900.3</v>
          </cell>
          <cell r="EK35">
            <v>0</v>
          </cell>
          <cell r="EL35">
            <v>0</v>
          </cell>
          <cell r="EM35">
            <v>364.73399999999998</v>
          </cell>
          <cell r="EN35">
            <v>44.53</v>
          </cell>
          <cell r="EO35">
            <v>652.20000000000005</v>
          </cell>
          <cell r="EP35">
            <v>0</v>
          </cell>
          <cell r="EQ35">
            <v>1583.066</v>
          </cell>
          <cell r="ER35">
            <v>0</v>
          </cell>
          <cell r="ES35">
            <v>1016.81</v>
          </cell>
          <cell r="ET35">
            <v>0</v>
          </cell>
          <cell r="EU35">
            <v>0</v>
          </cell>
          <cell r="EV35">
            <v>572.44949999999994</v>
          </cell>
          <cell r="EW35">
            <v>44.53</v>
          </cell>
          <cell r="EX35">
            <v>127.9</v>
          </cell>
          <cell r="EY35">
            <v>0</v>
          </cell>
          <cell r="EZ35">
            <v>1557.018</v>
          </cell>
          <cell r="FA35">
            <v>0</v>
          </cell>
          <cell r="FB35">
            <v>905.57999999999993</v>
          </cell>
          <cell r="FC35">
            <v>0</v>
          </cell>
          <cell r="FD35">
            <v>14</v>
          </cell>
          <cell r="FE35">
            <v>539.51760000000002</v>
          </cell>
          <cell r="FF35">
            <v>44.53</v>
          </cell>
          <cell r="FG35">
            <v>572.79999999999995</v>
          </cell>
          <cell r="FH35">
            <v>0</v>
          </cell>
          <cell r="FI35">
            <v>2028.1399999999999</v>
          </cell>
          <cell r="FJ35">
            <v>0</v>
          </cell>
          <cell r="FK35">
            <v>1501.22</v>
          </cell>
          <cell r="FL35">
            <v>0</v>
          </cell>
          <cell r="FM35">
            <v>260.77499999999998</v>
          </cell>
          <cell r="FN35">
            <v>390.65219999999999</v>
          </cell>
          <cell r="FO35">
            <v>44.53</v>
          </cell>
          <cell r="FP35">
            <v>489.63600000000008</v>
          </cell>
          <cell r="FQ35">
            <v>0</v>
          </cell>
          <cell r="FR35">
            <v>2159.915</v>
          </cell>
          <cell r="FS35">
            <v>0</v>
          </cell>
          <cell r="FT35">
            <v>1675.41</v>
          </cell>
          <cell r="FU35">
            <v>0</v>
          </cell>
          <cell r="FV35">
            <v>260.77499999999998</v>
          </cell>
          <cell r="FW35">
            <v>602.77</v>
          </cell>
          <cell r="FX35">
            <v>44.53</v>
          </cell>
          <cell r="FY35">
            <v>487.80899999999991</v>
          </cell>
          <cell r="FZ35">
            <v>0</v>
          </cell>
          <cell r="GA35">
            <v>2190.0079999999998</v>
          </cell>
          <cell r="GB35">
            <v>0</v>
          </cell>
          <cell r="GC35">
            <v>1593.54</v>
          </cell>
          <cell r="GD35">
            <v>0</v>
          </cell>
          <cell r="GE35">
            <v>260.77499999999998</v>
          </cell>
          <cell r="GF35">
            <v>477.33659999999998</v>
          </cell>
          <cell r="GG35">
            <v>44.53</v>
          </cell>
          <cell r="GH35">
            <v>241.16399999999999</v>
          </cell>
          <cell r="GI35">
            <v>0</v>
          </cell>
          <cell r="GJ35">
            <v>2092.473</v>
          </cell>
          <cell r="GK35">
            <v>0</v>
          </cell>
          <cell r="GL35">
            <v>1717.05</v>
          </cell>
          <cell r="GM35">
            <v>0</v>
          </cell>
          <cell r="GN35">
            <v>7</v>
          </cell>
          <cell r="GO35">
            <v>809.52660000000003</v>
          </cell>
          <cell r="GP35">
            <v>44.53</v>
          </cell>
          <cell r="GQ35">
            <v>670.94399999999996</v>
          </cell>
          <cell r="GR35">
            <v>36.920999999999999</v>
          </cell>
          <cell r="GS35">
            <v>1824.4180000000001</v>
          </cell>
          <cell r="GT35">
            <v>0</v>
          </cell>
          <cell r="GU35">
            <v>1805.5400000000002</v>
          </cell>
          <cell r="GV35">
            <v>0</v>
          </cell>
        </row>
        <row r="36">
          <cell r="A36" t="str">
            <v>IN-PROCESS FATTY ACIDS</v>
          </cell>
        </row>
        <row r="37">
          <cell r="A37">
            <v>29</v>
          </cell>
          <cell r="B37" t="str">
            <v>IPRM</v>
          </cell>
          <cell r="C37" t="str">
            <v>FM</v>
          </cell>
          <cell r="D37" t="str">
            <v>B/PSCPKO&gt;C14</v>
          </cell>
          <cell r="E37" t="str">
            <v xml:space="preserve">B/P PKO </v>
          </cell>
          <cell r="G37">
            <v>375.83460000000002</v>
          </cell>
          <cell r="O37">
            <v>375.83460000000002</v>
          </cell>
          <cell r="Q37">
            <v>323.50319999999999</v>
          </cell>
          <cell r="S37">
            <v>71.7</v>
          </cell>
          <cell r="Y37">
            <v>22.463999999999999</v>
          </cell>
          <cell r="Z37">
            <v>581.98860000000013</v>
          </cell>
          <cell r="AB37">
            <v>364.2</v>
          </cell>
          <cell r="AF37">
            <v>86.1</v>
          </cell>
          <cell r="AI37">
            <v>943.55</v>
          </cell>
          <cell r="AK37">
            <v>509.5</v>
          </cell>
          <cell r="AR37">
            <v>567.71640000000002</v>
          </cell>
          <cell r="AT37">
            <v>261.2</v>
          </cell>
          <cell r="BA37">
            <v>516.97080000000005</v>
          </cell>
          <cell r="BC37">
            <v>390</v>
          </cell>
          <cell r="BJ37">
            <v>599.43240000000003</v>
          </cell>
          <cell r="BL37">
            <v>460</v>
          </cell>
          <cell r="BS37">
            <v>1029.18</v>
          </cell>
          <cell r="BU37">
            <v>384.4</v>
          </cell>
          <cell r="CB37">
            <v>1678.97</v>
          </cell>
          <cell r="CD37">
            <v>440.5</v>
          </cell>
          <cell r="CH37">
            <v>14.64</v>
          </cell>
          <cell r="CK37">
            <v>1780.86</v>
          </cell>
          <cell r="CM37">
            <v>730.1</v>
          </cell>
          <cell r="CT37">
            <v>1510.63</v>
          </cell>
          <cell r="CV37">
            <v>946.2</v>
          </cell>
          <cell r="DC37">
            <v>961.31</v>
          </cell>
          <cell r="DL37">
            <v>912.58</v>
          </cell>
          <cell r="DU37">
            <v>748.67</v>
          </cell>
          <cell r="DW37">
            <v>114.7</v>
          </cell>
          <cell r="EC37">
            <v>71.28</v>
          </cell>
          <cell r="ED37">
            <v>1010.04</v>
          </cell>
          <cell r="EF37">
            <v>138</v>
          </cell>
          <cell r="EJ37">
            <v>30.69</v>
          </cell>
          <cell r="EM37">
            <v>447.43</v>
          </cell>
          <cell r="EO37">
            <v>328.8</v>
          </cell>
          <cell r="EV37">
            <v>248.08</v>
          </cell>
          <cell r="EX37">
            <v>389.2</v>
          </cell>
          <cell r="FB37">
            <v>30.33</v>
          </cell>
          <cell r="FD37">
            <v>82.367999999999995</v>
          </cell>
          <cell r="FE37">
            <v>292.38</v>
          </cell>
          <cell r="FG37">
            <v>614.6</v>
          </cell>
          <cell r="FM37">
            <v>12.48</v>
          </cell>
          <cell r="FN37">
            <v>141.76</v>
          </cell>
          <cell r="FP37">
            <v>195.9</v>
          </cell>
          <cell r="FW37">
            <v>8.86</v>
          </cell>
          <cell r="FY37">
            <v>235.44685714285714</v>
          </cell>
          <cell r="GE37">
            <v>130.185</v>
          </cell>
          <cell r="GF37">
            <v>15.505000000000001</v>
          </cell>
          <cell r="GH37">
            <v>73.57714285714286</v>
          </cell>
          <cell r="GN37">
            <v>1.98</v>
          </cell>
          <cell r="GO37">
            <v>17.72</v>
          </cell>
          <cell r="GQ37">
            <v>112.20514285714287</v>
          </cell>
          <cell r="GU37">
            <v>15.34</v>
          </cell>
        </row>
        <row r="38">
          <cell r="A38">
            <v>30</v>
          </cell>
          <cell r="B38" t="str">
            <v>IPRM</v>
          </cell>
          <cell r="C38" t="str">
            <v>FM</v>
          </cell>
          <cell r="D38" t="str">
            <v>B/P CNO&gt;C14</v>
          </cell>
          <cell r="E38" t="str">
            <v>B/P CNO&gt;C14</v>
          </cell>
          <cell r="O38">
            <v>0</v>
          </cell>
        </row>
        <row r="39">
          <cell r="A39">
            <v>31</v>
          </cell>
          <cell r="B39" t="str">
            <v>IPRM</v>
          </cell>
          <cell r="C39" t="str">
            <v>FM</v>
          </cell>
          <cell r="D39" t="str">
            <v>SB/PSCPKO&gt;C14</v>
          </cell>
          <cell r="E39" t="str">
            <v>S B/P PKO</v>
          </cell>
          <cell r="O39">
            <v>0</v>
          </cell>
          <cell r="P39">
            <v>99.18</v>
          </cell>
          <cell r="Y39">
            <v>97.47</v>
          </cell>
          <cell r="AH39">
            <v>411.255</v>
          </cell>
          <cell r="AQ39">
            <v>366.79500000000002</v>
          </cell>
          <cell r="AR39">
            <v>480.49740000000003</v>
          </cell>
          <cell r="AZ39">
            <v>446.31</v>
          </cell>
          <cell r="BA39">
            <v>634.32000000000005</v>
          </cell>
          <cell r="BI39">
            <v>448.02</v>
          </cell>
          <cell r="BJ39">
            <v>526.48560000000009</v>
          </cell>
          <cell r="BR39">
            <v>451.2</v>
          </cell>
          <cell r="CA39">
            <v>306</v>
          </cell>
          <cell r="CJ39">
            <v>274.8</v>
          </cell>
          <cell r="CS39">
            <v>121.2</v>
          </cell>
        </row>
        <row r="40">
          <cell r="A40">
            <v>32</v>
          </cell>
          <cell r="B40" t="str">
            <v>IPRM</v>
          </cell>
          <cell r="C40" t="str">
            <v>FM</v>
          </cell>
          <cell r="D40" t="str">
            <v>B/PSCNO&gt;C14</v>
          </cell>
          <cell r="E40" t="str">
            <v>S B/P CNO</v>
          </cell>
          <cell r="O40">
            <v>0</v>
          </cell>
        </row>
        <row r="41">
          <cell r="A41">
            <v>33</v>
          </cell>
          <cell r="B41" t="str">
            <v>IPRM</v>
          </cell>
          <cell r="C41" t="str">
            <v>SM</v>
          </cell>
          <cell r="D41" t="str">
            <v>B/PSCPKO&gt;C16</v>
          </cell>
          <cell r="E41" t="str">
            <v>B/P&gt;C16 - OLEIC K</v>
          </cell>
          <cell r="O41">
            <v>0</v>
          </cell>
          <cell r="AQ41">
            <v>26.207999999999998</v>
          </cell>
          <cell r="AR41">
            <v>99.905400000000014</v>
          </cell>
          <cell r="AZ41">
            <v>6.24</v>
          </cell>
          <cell r="BA41">
            <v>296.54460000000006</v>
          </cell>
          <cell r="DC41">
            <v>214.08300000000003</v>
          </cell>
          <cell r="DE41">
            <v>254</v>
          </cell>
          <cell r="DL41">
            <v>592.29630000000009</v>
          </cell>
          <cell r="DT41">
            <v>159.88499999999999</v>
          </cell>
          <cell r="DU41">
            <v>183.95280000000002</v>
          </cell>
          <cell r="EC41">
            <v>20.233880000000003</v>
          </cell>
        </row>
        <row r="42">
          <cell r="A42">
            <v>34</v>
          </cell>
          <cell r="B42" t="str">
            <v>IPRM</v>
          </cell>
          <cell r="C42" t="str">
            <v>SM</v>
          </cell>
          <cell r="D42" t="str">
            <v>HYD C16/C18 FOR DTP-7</v>
          </cell>
          <cell r="E42" t="str">
            <v>HYD C16/C18 FOR DTP-7</v>
          </cell>
          <cell r="O42">
            <v>0</v>
          </cell>
        </row>
        <row r="43">
          <cell r="A43">
            <v>35</v>
          </cell>
          <cell r="B43" t="str">
            <v>IPRM</v>
          </cell>
          <cell r="C43" t="str">
            <v>NM</v>
          </cell>
          <cell r="D43" t="str">
            <v>L/E PKO(C6-C8)-C6@65%</v>
          </cell>
          <cell r="E43" t="str">
            <v>C6&gt;50%</v>
          </cell>
          <cell r="O43">
            <v>0</v>
          </cell>
        </row>
        <row r="44">
          <cell r="A44">
            <v>36</v>
          </cell>
          <cell r="B44" t="str">
            <v>IPRM</v>
          </cell>
          <cell r="C44" t="str">
            <v>FM</v>
          </cell>
          <cell r="D44" t="str">
            <v>L/E PKO(C6-C12)</v>
          </cell>
          <cell r="E44" t="str">
            <v>TALOJA</v>
          </cell>
          <cell r="O44">
            <v>0</v>
          </cell>
          <cell r="P44">
            <v>17.737969999999997</v>
          </cell>
          <cell r="S44">
            <v>85.6</v>
          </cell>
          <cell r="Y44">
            <v>17.737969999999997</v>
          </cell>
          <cell r="Z44">
            <v>217.6</v>
          </cell>
          <cell r="AB44">
            <v>53.3</v>
          </cell>
          <cell r="AH44">
            <v>19.388670000000001</v>
          </cell>
          <cell r="AI44">
            <v>58.65</v>
          </cell>
          <cell r="AK44">
            <v>76.7</v>
          </cell>
          <cell r="AQ44">
            <v>17.388669999999998</v>
          </cell>
          <cell r="AT44">
            <v>240.7</v>
          </cell>
          <cell r="AZ44">
            <v>40.71</v>
          </cell>
          <cell r="BC44">
            <v>139.80000000000001</v>
          </cell>
          <cell r="BI44">
            <v>17.388669999999998</v>
          </cell>
          <cell r="BJ44">
            <v>546.3930600000001</v>
          </cell>
          <cell r="BL44">
            <v>25.9</v>
          </cell>
          <cell r="BR44">
            <v>17.388669999999998</v>
          </cell>
          <cell r="BS44">
            <v>543.84696000000008</v>
          </cell>
          <cell r="BU44">
            <v>137.30000000000001</v>
          </cell>
          <cell r="CA44">
            <v>17.388669999999998</v>
          </cell>
          <cell r="CB44">
            <v>672.84935999999993</v>
          </cell>
          <cell r="CD44">
            <v>199.5</v>
          </cell>
          <cell r="CJ44">
            <v>17.388669999999998</v>
          </cell>
          <cell r="CK44">
            <v>664.36235999999997</v>
          </cell>
          <cell r="CM44">
            <v>105.8</v>
          </cell>
          <cell r="CT44">
            <v>662.66496000000006</v>
          </cell>
          <cell r="CU44">
            <v>339.24</v>
          </cell>
          <cell r="DC44">
            <v>671.15196000000003</v>
          </cell>
          <cell r="DD44">
            <v>414.62</v>
          </cell>
          <cell r="DL44">
            <v>671.15196000000003</v>
          </cell>
          <cell r="DM44">
            <v>485.3</v>
          </cell>
          <cell r="DU44">
            <v>660.96756000000005</v>
          </cell>
          <cell r="DV44">
            <v>531.08000000000004</v>
          </cell>
          <cell r="DW44">
            <v>32.299999999999997</v>
          </cell>
          <cell r="EV44">
            <v>484.43796000000003</v>
          </cell>
          <cell r="FE44">
            <v>413.99586000000005</v>
          </cell>
          <cell r="FF44">
            <v>831.39</v>
          </cell>
          <cell r="FG44">
            <v>151</v>
          </cell>
          <cell r="FM44">
            <v>25.2075</v>
          </cell>
          <cell r="FN44">
            <v>414.84456</v>
          </cell>
          <cell r="FO44">
            <v>831.39</v>
          </cell>
          <cell r="FP44">
            <v>102.80789999999999</v>
          </cell>
          <cell r="FV44">
            <v>22.98</v>
          </cell>
          <cell r="FW44">
            <v>248.49936000000002</v>
          </cell>
          <cell r="FX44">
            <v>831.39</v>
          </cell>
          <cell r="FY44">
            <v>141.375</v>
          </cell>
          <cell r="GE44">
            <v>3.2174999999999998</v>
          </cell>
          <cell r="GF44">
            <v>68.574960000000004</v>
          </cell>
          <cell r="GG44">
            <v>831.39</v>
          </cell>
          <cell r="GH44">
            <v>121.5825</v>
          </cell>
          <cell r="GN44">
            <v>2.97</v>
          </cell>
          <cell r="GO44">
            <v>211.15655999999998</v>
          </cell>
          <cell r="GP44">
            <v>724.32</v>
          </cell>
          <cell r="GQ44">
            <v>174.90915000000001</v>
          </cell>
          <cell r="GU44">
            <v>65.05</v>
          </cell>
        </row>
        <row r="45">
          <cell r="A45">
            <v>37</v>
          </cell>
          <cell r="B45" t="str">
            <v>IPRM</v>
          </cell>
          <cell r="C45" t="str">
            <v>FM</v>
          </cell>
          <cell r="D45" t="str">
            <v>HYD.L/EPKO(C6-C12)</v>
          </cell>
          <cell r="E45" t="str">
            <v>H L/E PKO</v>
          </cell>
          <cell r="F45">
            <v>101.4</v>
          </cell>
          <cell r="G45">
            <v>100.3</v>
          </cell>
          <cell r="H45">
            <v>381.61</v>
          </cell>
          <cell r="O45">
            <v>583.30999999999995</v>
          </cell>
          <cell r="R45">
            <v>230</v>
          </cell>
          <cell r="AH45">
            <v>63.384999999999998</v>
          </cell>
          <cell r="AI45">
            <v>218.65140000000002</v>
          </cell>
          <cell r="FM45">
            <v>63.005000000000003</v>
          </cell>
          <cell r="FV45">
            <v>182.29999999999998</v>
          </cell>
        </row>
        <row r="46">
          <cell r="A46">
            <v>38</v>
          </cell>
          <cell r="B46" t="str">
            <v>IPRM</v>
          </cell>
          <cell r="C46" t="str">
            <v>FM</v>
          </cell>
          <cell r="D46" t="str">
            <v>L/E PKO(C8-C12)</v>
          </cell>
          <cell r="E46" t="str">
            <v>L/E PKO</v>
          </cell>
          <cell r="O46">
            <v>0</v>
          </cell>
          <cell r="P46">
            <v>7.4249999999999998</v>
          </cell>
          <cell r="Y46">
            <v>8.4149999999999991</v>
          </cell>
          <cell r="AQ46">
            <v>1.2375</v>
          </cell>
          <cell r="BI46">
            <v>8.1675000000000004</v>
          </cell>
          <cell r="BR46">
            <v>10.89</v>
          </cell>
          <cell r="CA46">
            <v>16.829999999999998</v>
          </cell>
          <cell r="CL46">
            <v>227.7</v>
          </cell>
          <cell r="DK46">
            <v>13.365</v>
          </cell>
          <cell r="ED46">
            <v>664.36235999999997</v>
          </cell>
          <cell r="EE46">
            <v>546.02</v>
          </cell>
          <cell r="EF46">
            <v>175.3</v>
          </cell>
          <cell r="EM46">
            <v>663.51366000000007</v>
          </cell>
          <cell r="EN46">
            <v>721.09</v>
          </cell>
          <cell r="EO46">
            <v>66.900000000000006</v>
          </cell>
          <cell r="ES46">
            <v>29.59</v>
          </cell>
          <cell r="EU46">
            <v>59.622499999999995</v>
          </cell>
          <cell r="EW46">
            <v>831.39</v>
          </cell>
          <cell r="EX46">
            <v>150</v>
          </cell>
          <cell r="FD46">
            <v>11.137499999999999</v>
          </cell>
        </row>
        <row r="47">
          <cell r="A47">
            <v>39</v>
          </cell>
          <cell r="B47" t="str">
            <v>IPRM</v>
          </cell>
          <cell r="C47" t="str">
            <v>FM</v>
          </cell>
          <cell r="D47" t="str">
            <v>L/E PKO(C10-C12)</v>
          </cell>
          <cell r="E47" t="str">
            <v>B/P OF C8 H</v>
          </cell>
          <cell r="G47">
            <v>1217.6179999999999</v>
          </cell>
          <cell r="O47">
            <v>1217.6179999999999</v>
          </cell>
          <cell r="P47">
            <v>50.54</v>
          </cell>
          <cell r="Q47">
            <v>1401.57</v>
          </cell>
          <cell r="Z47">
            <v>1612.48</v>
          </cell>
          <cell r="AH47">
            <v>58.968000000000004</v>
          </cell>
          <cell r="AI47">
            <v>1612.48</v>
          </cell>
          <cell r="AQ47">
            <v>18.408000000000001</v>
          </cell>
          <cell r="AR47">
            <v>1896.66</v>
          </cell>
          <cell r="AZ47">
            <v>27.14</v>
          </cell>
          <cell r="BA47">
            <v>2097.5700000000002</v>
          </cell>
          <cell r="BI47">
            <v>174.31</v>
          </cell>
          <cell r="BJ47">
            <v>1808.09</v>
          </cell>
          <cell r="BS47">
            <v>1808.57</v>
          </cell>
          <cell r="CA47">
            <v>94.66</v>
          </cell>
          <cell r="CB47">
            <v>1807.78</v>
          </cell>
          <cell r="CK47">
            <v>1598.14</v>
          </cell>
          <cell r="CT47">
            <v>1534.27</v>
          </cell>
          <cell r="DC47">
            <v>1587.41</v>
          </cell>
          <cell r="DK47">
            <v>51.167999999999999</v>
          </cell>
          <cell r="DL47">
            <v>1337.71</v>
          </cell>
          <cell r="DU47">
            <v>1240.8399999999999</v>
          </cell>
          <cell r="ED47">
            <v>1249.8399999999999</v>
          </cell>
          <cell r="EL47">
            <v>97.656000000000006</v>
          </cell>
          <cell r="EM47">
            <v>1142</v>
          </cell>
          <cell r="EV47">
            <v>705.43</v>
          </cell>
          <cell r="FE47">
            <v>703.14</v>
          </cell>
          <cell r="FN47">
            <v>704.73</v>
          </cell>
          <cell r="FV47">
            <v>34.631999999999998</v>
          </cell>
          <cell r="FW47">
            <v>740.18</v>
          </cell>
          <cell r="GF47">
            <v>1081.08</v>
          </cell>
          <cell r="GO47">
            <v>1101.69</v>
          </cell>
        </row>
        <row r="48">
          <cell r="A48">
            <v>40</v>
          </cell>
          <cell r="B48" t="str">
            <v>IPRM</v>
          </cell>
          <cell r="C48" t="str">
            <v>FM</v>
          </cell>
          <cell r="D48" t="str">
            <v>C12+C14+C16-PKO/CNO</v>
          </cell>
          <cell r="E48" t="str">
            <v>C12+C14+C16-PKO/CNO</v>
          </cell>
          <cell r="O48">
            <v>0</v>
          </cell>
        </row>
        <row r="49">
          <cell r="A49">
            <v>41</v>
          </cell>
          <cell r="B49" t="str">
            <v>IPRM</v>
          </cell>
          <cell r="C49" t="str">
            <v>FM</v>
          </cell>
          <cell r="D49" t="str">
            <v>C14+C16(C14~60)</v>
          </cell>
          <cell r="E49" t="str">
            <v>C14+C16(C14~60)</v>
          </cell>
          <cell r="O49">
            <v>0</v>
          </cell>
        </row>
        <row r="50">
          <cell r="A50">
            <v>42</v>
          </cell>
          <cell r="B50" t="str">
            <v>IPRM</v>
          </cell>
          <cell r="C50" t="str">
            <v>FM</v>
          </cell>
          <cell r="D50" t="str">
            <v>C14+C16+C18(C16@65%)</v>
          </cell>
          <cell r="E50" t="str">
            <v>C14+C16+C18(C16@65%)</v>
          </cell>
          <cell r="O50">
            <v>0</v>
          </cell>
        </row>
        <row r="51">
          <cell r="A51">
            <v>43</v>
          </cell>
          <cell r="B51" t="str">
            <v>IPRM</v>
          </cell>
          <cell r="C51" t="str">
            <v>FM</v>
          </cell>
          <cell r="D51" t="str">
            <v>C16+C18-PFAD/PKO(C16@80%)</v>
          </cell>
          <cell r="E51" t="str">
            <v>C16+C18-PFAD/PKO(C16@80%)</v>
          </cell>
          <cell r="O51">
            <v>0</v>
          </cell>
        </row>
        <row r="52">
          <cell r="A52">
            <v>44</v>
          </cell>
          <cell r="B52" t="str">
            <v>IPRM</v>
          </cell>
          <cell r="C52" t="str">
            <v>NM</v>
          </cell>
          <cell r="D52" t="str">
            <v>L/E'S OF  S.B</v>
          </cell>
          <cell r="E52" t="str">
            <v>L/E'S OF  S.B</v>
          </cell>
          <cell r="F52">
            <v>10.548500000000001</v>
          </cell>
          <cell r="H52">
            <v>14.59</v>
          </cell>
          <cell r="I52">
            <v>58</v>
          </cell>
          <cell r="O52">
            <v>83.138499999999993</v>
          </cell>
          <cell r="P52">
            <v>10.548500000000001</v>
          </cell>
          <cell r="R52">
            <v>14.59</v>
          </cell>
          <cell r="S52">
            <v>73.5</v>
          </cell>
          <cell r="Y52">
            <v>10.548500000000001</v>
          </cell>
          <cell r="AA52">
            <v>14.59</v>
          </cell>
          <cell r="AB52">
            <v>77</v>
          </cell>
          <cell r="AH52">
            <v>10.548500000000001</v>
          </cell>
          <cell r="AJ52">
            <v>14.59</v>
          </cell>
          <cell r="AK52">
            <v>75</v>
          </cell>
          <cell r="AQ52">
            <v>10.548500000000001</v>
          </cell>
          <cell r="AS52">
            <v>14.59</v>
          </cell>
          <cell r="AT52">
            <v>77</v>
          </cell>
          <cell r="AZ52">
            <v>10.548500000000001</v>
          </cell>
          <cell r="BB52">
            <v>14.59</v>
          </cell>
          <cell r="BC52">
            <v>92.5</v>
          </cell>
          <cell r="BI52">
            <v>10.548500000000001</v>
          </cell>
          <cell r="BK52">
            <v>14.59</v>
          </cell>
          <cell r="BL52">
            <v>92.5</v>
          </cell>
          <cell r="BT52">
            <v>14.59</v>
          </cell>
          <cell r="BU52">
            <v>67</v>
          </cell>
          <cell r="CA52">
            <v>10.548500000000001</v>
          </cell>
          <cell r="CC52">
            <v>14.59</v>
          </cell>
          <cell r="CD52">
            <v>83</v>
          </cell>
          <cell r="CJ52">
            <v>10.548500000000001</v>
          </cell>
          <cell r="CL52">
            <v>14.59</v>
          </cell>
          <cell r="CM52">
            <v>95</v>
          </cell>
          <cell r="CS52">
            <v>10.548500000000001</v>
          </cell>
          <cell r="CU52">
            <v>14.59</v>
          </cell>
          <cell r="CV52">
            <v>76.5</v>
          </cell>
          <cell r="DB52">
            <v>10.548500000000001</v>
          </cell>
          <cell r="DD52">
            <v>14.59</v>
          </cell>
          <cell r="DE52">
            <v>85.5</v>
          </cell>
          <cell r="DK52">
            <v>10.548500000000001</v>
          </cell>
          <cell r="DM52">
            <v>14.59</v>
          </cell>
          <cell r="DN52">
            <v>73.5</v>
          </cell>
          <cell r="DT52">
            <v>10.548500000000001</v>
          </cell>
          <cell r="DV52">
            <v>14.59</v>
          </cell>
          <cell r="DW52">
            <v>83.5</v>
          </cell>
          <cell r="EC52">
            <v>10.548500000000001</v>
          </cell>
          <cell r="EE52">
            <v>14.59</v>
          </cell>
          <cell r="EF52">
            <v>102</v>
          </cell>
          <cell r="EL52">
            <v>10.548500000000001</v>
          </cell>
          <cell r="EN52">
            <v>14.59</v>
          </cell>
          <cell r="EO52">
            <v>80.5</v>
          </cell>
          <cell r="EU52">
            <v>10.548500000000001</v>
          </cell>
          <cell r="EW52">
            <v>14.59</v>
          </cell>
          <cell r="EX52">
            <v>103.5</v>
          </cell>
          <cell r="FD52">
            <v>10.548500000000001</v>
          </cell>
          <cell r="FF52">
            <v>14.59</v>
          </cell>
          <cell r="FM52">
            <v>8.3975000000000009</v>
          </cell>
          <cell r="FO52">
            <v>14.59</v>
          </cell>
          <cell r="FV52">
            <v>8.3975000000000009</v>
          </cell>
          <cell r="FX52">
            <v>14.59</v>
          </cell>
          <cell r="GE52">
            <v>8.3975000000000009</v>
          </cell>
          <cell r="GG52">
            <v>14.59</v>
          </cell>
          <cell r="GN52">
            <v>8.3975000000000009</v>
          </cell>
          <cell r="GP52">
            <v>14.59</v>
          </cell>
        </row>
        <row r="53">
          <cell r="A53">
            <v>45</v>
          </cell>
          <cell r="B53" t="str">
            <v>IPRM</v>
          </cell>
          <cell r="C53" t="str">
            <v>NM</v>
          </cell>
          <cell r="D53" t="str">
            <v>BAD C8/C10</v>
          </cell>
          <cell r="E53" t="str">
            <v>BAD C8/C10</v>
          </cell>
          <cell r="G53">
            <v>1124.01</v>
          </cell>
          <cell r="O53">
            <v>1124.01</v>
          </cell>
          <cell r="Q53">
            <v>1152.72</v>
          </cell>
          <cell r="Z53">
            <v>1136.28</v>
          </cell>
          <cell r="AI53">
            <v>1138.24</v>
          </cell>
          <cell r="AR53">
            <v>1140.78</v>
          </cell>
          <cell r="AZ53">
            <v>10</v>
          </cell>
          <cell r="BA53">
            <v>985.13</v>
          </cell>
          <cell r="BB53">
            <v>37.07</v>
          </cell>
          <cell r="BJ53">
            <v>905.73900000000003</v>
          </cell>
          <cell r="BR53">
            <v>10.548500000000001</v>
          </cell>
          <cell r="BS53">
            <v>902.87</v>
          </cell>
          <cell r="CB53">
            <v>903.97199999999998</v>
          </cell>
          <cell r="CJ53">
            <v>3.96</v>
          </cell>
          <cell r="CK53">
            <v>903.97</v>
          </cell>
          <cell r="CS53">
            <v>19.940000000000001</v>
          </cell>
          <cell r="CT53">
            <v>852.07</v>
          </cell>
          <cell r="DB53">
            <v>64.347499999999997</v>
          </cell>
          <cell r="DC53">
            <v>732.81</v>
          </cell>
          <cell r="DK53">
            <v>498.36699999999996</v>
          </cell>
          <cell r="DL53">
            <v>556.12</v>
          </cell>
          <cell r="DT53">
            <v>97.515000000000001</v>
          </cell>
          <cell r="DU53">
            <v>383.85</v>
          </cell>
          <cell r="EC53">
            <v>99.99</v>
          </cell>
          <cell r="ED53">
            <v>211.58</v>
          </cell>
          <cell r="EL53">
            <v>31.945</v>
          </cell>
          <cell r="EM53">
            <v>32.680199999999999</v>
          </cell>
          <cell r="EU53">
            <v>28</v>
          </cell>
          <cell r="EV53">
            <v>17.2192525</v>
          </cell>
          <cell r="FD53">
            <v>34.671999999999997</v>
          </cell>
          <cell r="FE53">
            <v>17.22</v>
          </cell>
          <cell r="FM53">
            <v>32.76</v>
          </cell>
          <cell r="FN53">
            <v>17.2192525</v>
          </cell>
          <cell r="FV53">
            <v>18.43657</v>
          </cell>
          <cell r="FW53">
            <v>17.890202499999997</v>
          </cell>
          <cell r="GF53">
            <v>17.890202499999997</v>
          </cell>
          <cell r="GN53">
            <v>14.943569999999999</v>
          </cell>
          <cell r="GO53">
            <v>17.890202499999997</v>
          </cell>
        </row>
        <row r="54">
          <cell r="A54">
            <v>46</v>
          </cell>
          <cell r="B54" t="str">
            <v>IPRM</v>
          </cell>
          <cell r="C54" t="str">
            <v>FM</v>
          </cell>
          <cell r="D54" t="str">
            <v>L/E PKO(C12@80%)</v>
          </cell>
          <cell r="E54" t="str">
            <v>B/P OF C10</v>
          </cell>
          <cell r="G54">
            <v>45.988200000000006</v>
          </cell>
          <cell r="O54">
            <v>45.988200000000006</v>
          </cell>
          <cell r="AZ54">
            <v>98.01</v>
          </cell>
          <cell r="BR54">
            <v>100.57</v>
          </cell>
          <cell r="CA54">
            <v>103.584</v>
          </cell>
          <cell r="DK54">
            <v>80.685000000000002</v>
          </cell>
          <cell r="EU54">
            <v>173.43</v>
          </cell>
        </row>
        <row r="55">
          <cell r="A55">
            <v>47</v>
          </cell>
          <cell r="B55" t="str">
            <v>IPRM</v>
          </cell>
          <cell r="C55" t="str">
            <v>NM</v>
          </cell>
          <cell r="D55" t="str">
            <v>DAG-MCT</v>
          </cell>
          <cell r="E55" t="str">
            <v>HYD DEAC MCT</v>
          </cell>
          <cell r="G55">
            <v>568.79</v>
          </cell>
          <cell r="H55">
            <v>26.38</v>
          </cell>
          <cell r="O55">
            <v>595.16999999999996</v>
          </cell>
          <cell r="Q55">
            <v>568.79</v>
          </cell>
          <cell r="R55">
            <v>26.38</v>
          </cell>
          <cell r="Z55">
            <v>568.79</v>
          </cell>
          <cell r="AA55">
            <v>26.38</v>
          </cell>
          <cell r="AI55">
            <v>568.79</v>
          </cell>
          <cell r="AJ55">
            <v>26.38</v>
          </cell>
          <cell r="AR55">
            <v>574.96400000000006</v>
          </cell>
          <cell r="AS55">
            <v>26.38</v>
          </cell>
          <cell r="AZ55">
            <v>21</v>
          </cell>
          <cell r="BA55">
            <v>652.83799999999997</v>
          </cell>
          <cell r="BB55">
            <v>26.38</v>
          </cell>
          <cell r="BI55">
            <v>24.335999999999999</v>
          </cell>
          <cell r="BJ55">
            <v>515.06784000000005</v>
          </cell>
          <cell r="BK55">
            <v>26.38</v>
          </cell>
          <cell r="BS55">
            <v>448.78140000000002</v>
          </cell>
          <cell r="BT55">
            <v>26.38</v>
          </cell>
          <cell r="CC55">
            <v>26.38</v>
          </cell>
          <cell r="CL55">
            <v>26.38</v>
          </cell>
          <cell r="CU55">
            <v>26.38</v>
          </cell>
          <cell r="DB55">
            <v>21</v>
          </cell>
          <cell r="DC55">
            <v>166.51</v>
          </cell>
          <cell r="DD55">
            <v>26.38</v>
          </cell>
          <cell r="DM55">
            <v>26.38</v>
          </cell>
          <cell r="DT55">
            <v>98.56</v>
          </cell>
          <cell r="DU55">
            <v>255.31380000000001</v>
          </cell>
          <cell r="DV55">
            <v>26.38</v>
          </cell>
          <cell r="EC55">
            <v>95.85</v>
          </cell>
          <cell r="ED55">
            <v>255.31380000000001</v>
          </cell>
          <cell r="EE55">
            <v>26.38</v>
          </cell>
          <cell r="EL55">
            <v>176.41</v>
          </cell>
          <cell r="EM55">
            <v>256.10669999999999</v>
          </cell>
          <cell r="EN55">
            <v>26.38</v>
          </cell>
          <cell r="EV55">
            <v>467.81100000000004</v>
          </cell>
          <cell r="EW55">
            <v>26.38</v>
          </cell>
          <cell r="FE55">
            <v>464.63940000000002</v>
          </cell>
          <cell r="FF55">
            <v>26.38</v>
          </cell>
          <cell r="FN55">
            <v>464.63940000000002</v>
          </cell>
          <cell r="FO55">
            <v>26.38</v>
          </cell>
          <cell r="FW55">
            <v>463.05360000000002</v>
          </cell>
          <cell r="FX55">
            <v>26.38</v>
          </cell>
          <cell r="GF55">
            <v>463.05360000000002</v>
          </cell>
          <cell r="GG55">
            <v>26.38</v>
          </cell>
          <cell r="GO55">
            <v>463.05360000000002</v>
          </cell>
          <cell r="GP55">
            <v>26.38</v>
          </cell>
        </row>
        <row r="56">
          <cell r="A56">
            <v>247</v>
          </cell>
          <cell r="B56" t="str">
            <v>IPRM</v>
          </cell>
          <cell r="C56" t="str">
            <v>NM</v>
          </cell>
          <cell r="D56" t="str">
            <v>D ACIDIFIED MCT</v>
          </cell>
          <cell r="E56" t="str">
            <v>D ACIDIFIED MCT</v>
          </cell>
          <cell r="O56">
            <v>0</v>
          </cell>
          <cell r="DT56">
            <v>100.8</v>
          </cell>
          <cell r="EC56">
            <v>98.1</v>
          </cell>
          <cell r="EL56">
            <v>10.8</v>
          </cell>
        </row>
        <row r="57">
          <cell r="A57">
            <v>48</v>
          </cell>
          <cell r="B57" t="str">
            <v>IPRM</v>
          </cell>
          <cell r="C57" t="str">
            <v>SM</v>
          </cell>
          <cell r="D57" t="str">
            <v>PKORESIDUE</v>
          </cell>
          <cell r="E57" t="str">
            <v>PKORESIDUE</v>
          </cell>
          <cell r="H57">
            <v>339.47</v>
          </cell>
          <cell r="I57">
            <v>10.8</v>
          </cell>
          <cell r="O57">
            <v>350.27000000000004</v>
          </cell>
          <cell r="R57">
            <v>365.49</v>
          </cell>
          <cell r="Y57">
            <v>11.456</v>
          </cell>
          <cell r="Z57">
            <v>177.20856000000001</v>
          </cell>
          <cell r="AS57">
            <v>28.22</v>
          </cell>
          <cell r="BB57">
            <v>43.93</v>
          </cell>
          <cell r="BK57">
            <v>165.14</v>
          </cell>
          <cell r="BR57">
            <v>48.844999999999999</v>
          </cell>
          <cell r="BT57">
            <v>277.43</v>
          </cell>
          <cell r="CC57">
            <v>425.03000000000003</v>
          </cell>
          <cell r="CL57">
            <v>636.01</v>
          </cell>
          <cell r="CS57">
            <v>15.683467999999998</v>
          </cell>
          <cell r="CU57">
            <v>671.1</v>
          </cell>
          <cell r="DB57">
            <v>6.9510679999999976</v>
          </cell>
          <cell r="DD57">
            <v>685.02</v>
          </cell>
          <cell r="DK57">
            <v>6.9020000000000001</v>
          </cell>
          <cell r="DM57">
            <v>653.22</v>
          </cell>
          <cell r="DV57">
            <v>756.56000000000006</v>
          </cell>
          <cell r="EC57">
            <v>46.54</v>
          </cell>
          <cell r="EE57">
            <v>936.92000000000007</v>
          </cell>
          <cell r="EL57">
            <v>12.92</v>
          </cell>
          <cell r="EM57">
            <v>514.60380000000009</v>
          </cell>
          <cell r="EN57">
            <v>503.81</v>
          </cell>
          <cell r="EU57">
            <v>10.919</v>
          </cell>
          <cell r="EV57">
            <v>474.84900000000005</v>
          </cell>
          <cell r="EW57">
            <v>211.54</v>
          </cell>
          <cell r="FD57">
            <v>3.4289999999999998</v>
          </cell>
          <cell r="FE57">
            <v>459.38880000000006</v>
          </cell>
          <cell r="FM57">
            <v>11.92</v>
          </cell>
          <cell r="FN57">
            <v>532.27260000000001</v>
          </cell>
          <cell r="FW57">
            <v>454.97160000000002</v>
          </cell>
          <cell r="GE57">
            <v>15.683467999999998</v>
          </cell>
          <cell r="GF57">
            <v>459.38880000000006</v>
          </cell>
          <cell r="GN57">
            <v>11.681118</v>
          </cell>
          <cell r="GO57">
            <v>633.86820000000012</v>
          </cell>
        </row>
        <row r="58">
          <cell r="A58">
            <v>49</v>
          </cell>
          <cell r="B58" t="str">
            <v>IPRM</v>
          </cell>
          <cell r="C58" t="str">
            <v>SM</v>
          </cell>
          <cell r="D58" t="str">
            <v>SPKORESIDUE</v>
          </cell>
          <cell r="E58" t="str">
            <v>SPKORESIDUE</v>
          </cell>
          <cell r="G58">
            <v>100.0818</v>
          </cell>
          <cell r="O58">
            <v>100.0818</v>
          </cell>
          <cell r="Q58">
            <v>153.3168</v>
          </cell>
          <cell r="Z58">
            <v>198.0342</v>
          </cell>
          <cell r="BS58">
            <v>385.42140000000001</v>
          </cell>
          <cell r="DU58">
            <v>464.20920000000001</v>
          </cell>
          <cell r="EM58">
            <v>199.124</v>
          </cell>
          <cell r="EO58">
            <v>36.799999999999997</v>
          </cell>
          <cell r="ES58">
            <v>30.7</v>
          </cell>
          <cell r="EV58">
            <v>449.73</v>
          </cell>
          <cell r="FE58">
            <v>619.6</v>
          </cell>
          <cell r="FN58">
            <v>464.45</v>
          </cell>
          <cell r="FP58">
            <v>90.131999999999977</v>
          </cell>
          <cell r="FW58">
            <v>387.75</v>
          </cell>
          <cell r="FY58">
            <v>203.25685714285714</v>
          </cell>
          <cell r="GF58">
            <v>523.98</v>
          </cell>
          <cell r="GH58">
            <v>203.25685714285714</v>
          </cell>
          <cell r="GO58">
            <v>619.79999999999995</v>
          </cell>
        </row>
        <row r="59">
          <cell r="A59">
            <v>50</v>
          </cell>
          <cell r="B59" t="str">
            <v>IPRM</v>
          </cell>
          <cell r="C59" t="str">
            <v>SM</v>
          </cell>
          <cell r="D59" t="str">
            <v>DPKORESIDUE</v>
          </cell>
          <cell r="E59" t="str">
            <v>DPKORESIDUE</v>
          </cell>
          <cell r="O59">
            <v>0</v>
          </cell>
          <cell r="CJ59">
            <v>41.183999999999997</v>
          </cell>
          <cell r="CS59">
            <v>40.56</v>
          </cell>
          <cell r="DB59">
            <v>40.869999999999997</v>
          </cell>
          <cell r="DK59">
            <v>40.872</v>
          </cell>
          <cell r="DT59">
            <v>5.2495000000000003</v>
          </cell>
          <cell r="EC59">
            <v>13.365</v>
          </cell>
          <cell r="GQ59">
            <v>223.8075</v>
          </cell>
        </row>
        <row r="60">
          <cell r="A60">
            <v>51</v>
          </cell>
          <cell r="B60" t="str">
            <v>IPRM</v>
          </cell>
          <cell r="C60" t="str">
            <v>FM</v>
          </cell>
          <cell r="D60" t="str">
            <v>SPFAD+DPKORESIDUE-DSB FEED</v>
          </cell>
          <cell r="E60" t="str">
            <v>SPFAD+DPKORESIDUE-DSB FEED</v>
          </cell>
          <cell r="G60">
            <v>618.40800000000002</v>
          </cell>
          <cell r="H60">
            <v>190.7</v>
          </cell>
          <cell r="I60">
            <v>465.4</v>
          </cell>
          <cell r="O60">
            <v>1274.5079999999998</v>
          </cell>
          <cell r="R60">
            <v>122.16</v>
          </cell>
          <cell r="S60">
            <v>386.3</v>
          </cell>
          <cell r="W60">
            <v>140</v>
          </cell>
          <cell r="Z60">
            <v>516.81240000000003</v>
          </cell>
          <cell r="AA60">
            <v>5.74</v>
          </cell>
          <cell r="AB60">
            <v>142.69999999999999</v>
          </cell>
          <cell r="AI60">
            <v>600.5</v>
          </cell>
          <cell r="AJ60">
            <v>5.74</v>
          </cell>
          <cell r="AO60">
            <v>178.04999999999998</v>
          </cell>
          <cell r="AR60">
            <v>291.7278</v>
          </cell>
          <cell r="AS60">
            <v>67.73</v>
          </cell>
          <cell r="AT60">
            <v>248</v>
          </cell>
          <cell r="AX60">
            <v>118.54</v>
          </cell>
          <cell r="BA60">
            <v>307.69829999999996</v>
          </cell>
          <cell r="BB60">
            <v>67.73</v>
          </cell>
          <cell r="BJ60">
            <v>649.83699999999999</v>
          </cell>
          <cell r="BK60">
            <v>284.14999999999998</v>
          </cell>
          <cell r="BS60">
            <v>117.0558</v>
          </cell>
          <cell r="BT60">
            <v>229.09</v>
          </cell>
          <cell r="BU60">
            <v>180.3</v>
          </cell>
          <cell r="BY60">
            <v>101.64</v>
          </cell>
          <cell r="CB60">
            <v>794.82100000000003</v>
          </cell>
          <cell r="CC60">
            <v>105.99</v>
          </cell>
          <cell r="CK60">
            <v>420.33920000000001</v>
          </cell>
          <cell r="CM60">
            <v>82.8</v>
          </cell>
          <cell r="CT60">
            <v>231.2278</v>
          </cell>
          <cell r="CV60">
            <v>71.7</v>
          </cell>
          <cell r="CZ60">
            <v>95.83</v>
          </cell>
          <cell r="DC60">
            <v>134.15220000000002</v>
          </cell>
          <cell r="DL60">
            <v>194.84010000000001</v>
          </cell>
          <cell r="EC60">
            <v>399.28500000000003</v>
          </cell>
          <cell r="ED60">
            <v>196.96950000000001</v>
          </cell>
          <cell r="EF60">
            <v>183.9</v>
          </cell>
          <cell r="EJ60">
            <v>30.21</v>
          </cell>
          <cell r="EM60">
            <v>26.958600000000001</v>
          </cell>
          <cell r="EV60">
            <v>150.65100000000001</v>
          </cell>
          <cell r="FE60">
            <v>3.1716000000000002</v>
          </cell>
          <cell r="FN60">
            <v>386.94</v>
          </cell>
          <cell r="FW60">
            <v>409.93</v>
          </cell>
        </row>
        <row r="61">
          <cell r="A61">
            <v>52</v>
          </cell>
          <cell r="B61" t="str">
            <v>IPRM</v>
          </cell>
          <cell r="C61" t="str">
            <v>FM</v>
          </cell>
          <cell r="D61" t="str">
            <v>SRBDPS/CPS+SCPO-JBS FEED</v>
          </cell>
          <cell r="E61" t="str">
            <v>SRBDPS/CPS+SCPO-JBS FEED</v>
          </cell>
          <cell r="O61">
            <v>0</v>
          </cell>
          <cell r="BC61">
            <v>3.7</v>
          </cell>
          <cell r="CT61">
            <v>0.27</v>
          </cell>
          <cell r="DW61">
            <v>165.5</v>
          </cell>
          <cell r="EA61">
            <v>63.12</v>
          </cell>
        </row>
        <row r="62">
          <cell r="A62">
            <v>53</v>
          </cell>
          <cell r="B62" t="str">
            <v>IPRM</v>
          </cell>
          <cell r="C62" t="str">
            <v>FM</v>
          </cell>
          <cell r="D62" t="str">
            <v>SRBDPS/CPS+B/PPKO-JBS FEED</v>
          </cell>
          <cell r="E62" t="str">
            <v>SRBDPS/CPS+B/PPKO-JBS FEED</v>
          </cell>
          <cell r="O62">
            <v>0</v>
          </cell>
          <cell r="Q62">
            <v>294.04599999999999</v>
          </cell>
          <cell r="Z62">
            <v>17.196000000000002</v>
          </cell>
          <cell r="AI62">
            <v>344.91149999999999</v>
          </cell>
          <cell r="AR62">
            <v>470.18970000000002</v>
          </cell>
          <cell r="CC62">
            <v>0.37</v>
          </cell>
          <cell r="CD62">
            <v>40.5</v>
          </cell>
          <cell r="CH62">
            <v>13.78</v>
          </cell>
          <cell r="CT62">
            <v>374.24880000000007</v>
          </cell>
          <cell r="DB62">
            <v>244.8</v>
          </cell>
          <cell r="DT62">
            <v>43.604999999999997</v>
          </cell>
          <cell r="EL62">
            <v>507.6</v>
          </cell>
          <cell r="EU62">
            <v>406.8</v>
          </cell>
          <cell r="FD62">
            <v>67.2</v>
          </cell>
          <cell r="FE62">
            <v>212.49720000000002</v>
          </cell>
        </row>
        <row r="63">
          <cell r="A63">
            <v>54</v>
          </cell>
          <cell r="B63" t="str">
            <v>IPRM</v>
          </cell>
          <cell r="C63" t="str">
            <v>FM</v>
          </cell>
          <cell r="D63" t="str">
            <v>SPFAD&gt;C16(C16@15-25%)</v>
          </cell>
          <cell r="E63" t="str">
            <v>D B/P&gt;C16 FOR ALC</v>
          </cell>
          <cell r="O63">
            <v>0</v>
          </cell>
        </row>
        <row r="64">
          <cell r="A64">
            <v>55</v>
          </cell>
          <cell r="B64" t="str">
            <v>IPRM</v>
          </cell>
          <cell r="C64" t="str">
            <v>FM</v>
          </cell>
          <cell r="D64" t="str">
            <v>SPFAD&gt;C16(C16@15-25%)</v>
          </cell>
          <cell r="E64" t="str">
            <v>B/P&gt;C16 FOR ALC</v>
          </cell>
          <cell r="O64">
            <v>0</v>
          </cell>
        </row>
        <row r="65">
          <cell r="A65">
            <v>56</v>
          </cell>
          <cell r="B65" t="str">
            <v>IPRM</v>
          </cell>
          <cell r="C65" t="str">
            <v>SM</v>
          </cell>
          <cell r="D65" t="str">
            <v>MIX RESIDUE</v>
          </cell>
          <cell r="E65" t="str">
            <v>MIX RESIDUE</v>
          </cell>
          <cell r="H65">
            <v>493.72</v>
          </cell>
          <cell r="I65">
            <v>33.299999999999997</v>
          </cell>
          <cell r="O65">
            <v>527.02</v>
          </cell>
          <cell r="P65">
            <v>1.6109999999999998</v>
          </cell>
          <cell r="R65">
            <v>493.72</v>
          </cell>
          <cell r="S65">
            <v>34.1</v>
          </cell>
          <cell r="AA65">
            <v>1042.74</v>
          </cell>
          <cell r="AB65">
            <v>105</v>
          </cell>
          <cell r="AF65">
            <v>14.79</v>
          </cell>
          <cell r="AH65">
            <v>10.74</v>
          </cell>
          <cell r="AJ65">
            <v>1139.08</v>
          </cell>
          <cell r="AK65">
            <v>123.2</v>
          </cell>
          <cell r="AS65">
            <v>1308.3400000000001</v>
          </cell>
          <cell r="AT65">
            <v>82.8</v>
          </cell>
          <cell r="BB65">
            <v>1336.21</v>
          </cell>
          <cell r="BC65">
            <v>147.4</v>
          </cell>
          <cell r="BI65">
            <v>5.7279999999999998</v>
          </cell>
          <cell r="BK65">
            <v>1443.74</v>
          </cell>
          <cell r="BL65">
            <v>97</v>
          </cell>
          <cell r="BT65">
            <v>1000.51</v>
          </cell>
          <cell r="BU65">
            <v>41.6</v>
          </cell>
          <cell r="CB65">
            <v>779.63580000000002</v>
          </cell>
          <cell r="CC65">
            <v>983.31</v>
          </cell>
          <cell r="CD65">
            <v>20.8</v>
          </cell>
          <cell r="CJ65">
            <v>41.545999999999999</v>
          </cell>
          <cell r="CK65">
            <v>828.22500000000002</v>
          </cell>
          <cell r="CL65">
            <v>983.31</v>
          </cell>
          <cell r="CM65">
            <v>59.1</v>
          </cell>
          <cell r="CS65">
            <v>31.225999999999999</v>
          </cell>
          <cell r="CT65">
            <v>866.87549999999999</v>
          </cell>
          <cell r="CU65">
            <v>983.31</v>
          </cell>
          <cell r="CV65">
            <v>81.599999999999994</v>
          </cell>
          <cell r="DB65">
            <v>18.437000000000001</v>
          </cell>
          <cell r="DC65">
            <v>885.6486000000001</v>
          </cell>
          <cell r="DD65">
            <v>1062.8399999999999</v>
          </cell>
          <cell r="DE65">
            <v>176.5</v>
          </cell>
          <cell r="DL65">
            <v>803.93040000000008</v>
          </cell>
          <cell r="DM65">
            <v>1394</v>
          </cell>
          <cell r="DN65">
            <v>14.2</v>
          </cell>
          <cell r="DU65">
            <v>337.91580000000005</v>
          </cell>
          <cell r="DV65">
            <v>1394</v>
          </cell>
          <cell r="DW65">
            <v>21.7</v>
          </cell>
          <cell r="DX65">
            <v>14.218</v>
          </cell>
          <cell r="EA65">
            <v>28.11</v>
          </cell>
          <cell r="ED65">
            <v>348.95880000000005</v>
          </cell>
          <cell r="EE65">
            <v>1095.17</v>
          </cell>
          <cell r="EF65">
            <v>48.3</v>
          </cell>
          <cell r="EG65">
            <v>14.218</v>
          </cell>
          <cell r="EM65">
            <v>154.602</v>
          </cell>
          <cell r="EN65">
            <v>991.36</v>
          </cell>
          <cell r="EP65">
            <v>16.395</v>
          </cell>
          <cell r="ES65">
            <v>9.02</v>
          </cell>
          <cell r="EV65">
            <v>377.67060000000004</v>
          </cell>
          <cell r="EW65">
            <v>991.36</v>
          </cell>
          <cell r="EX65">
            <v>12.1</v>
          </cell>
          <cell r="EY65">
            <v>38.115000000000002</v>
          </cell>
          <cell r="FD65">
            <v>10.202999999999999</v>
          </cell>
          <cell r="FE65">
            <v>538.89840000000004</v>
          </cell>
          <cell r="FF65">
            <v>991.36</v>
          </cell>
          <cell r="FG65">
            <v>47.5</v>
          </cell>
          <cell r="FM65">
            <v>5.5490000000000004</v>
          </cell>
          <cell r="FN65">
            <v>702.33480000000009</v>
          </cell>
          <cell r="FO65">
            <v>976.88</v>
          </cell>
          <cell r="FP65">
            <v>41.635714285714286</v>
          </cell>
          <cell r="FQ65">
            <v>16.940000000000001</v>
          </cell>
          <cell r="FV65">
            <v>20.047999999999998</v>
          </cell>
          <cell r="FW65">
            <v>753.13260000000014</v>
          </cell>
          <cell r="FX65">
            <v>976.88</v>
          </cell>
          <cell r="FY65">
            <v>16.654285714285713</v>
          </cell>
          <cell r="GE65">
            <v>5.5490000000000004</v>
          </cell>
          <cell r="GF65">
            <v>568.71450000000004</v>
          </cell>
          <cell r="GG65">
            <v>976.88</v>
          </cell>
          <cell r="GH65">
            <v>105.75471428571429</v>
          </cell>
          <cell r="GO65">
            <v>150.18480000000002</v>
          </cell>
          <cell r="GP65">
            <v>976.88</v>
          </cell>
          <cell r="GQ65">
            <v>59.95542857142857</v>
          </cell>
          <cell r="GU65">
            <v>19.760000000000002</v>
          </cell>
        </row>
        <row r="66">
          <cell r="A66">
            <v>57</v>
          </cell>
          <cell r="B66" t="str">
            <v>IPRM</v>
          </cell>
          <cell r="C66" t="str">
            <v>SM</v>
          </cell>
          <cell r="D66" t="str">
            <v>SMIX RESIDUE</v>
          </cell>
          <cell r="E66" t="str">
            <v>SMIX RESIDUE</v>
          </cell>
          <cell r="O66">
            <v>0</v>
          </cell>
          <cell r="BS66">
            <v>600.7392000000001</v>
          </cell>
          <cell r="DL66">
            <v>81.71820000000001</v>
          </cell>
          <cell r="DT66">
            <v>39.624000000000002</v>
          </cell>
          <cell r="DU66">
            <v>355.58460000000002</v>
          </cell>
          <cell r="EC66">
            <v>66.456000000000003</v>
          </cell>
          <cell r="ED66">
            <v>290.43090000000001</v>
          </cell>
          <cell r="EM66">
            <v>69.775200000000012</v>
          </cell>
          <cell r="GF66">
            <v>107.8344</v>
          </cell>
          <cell r="GO66">
            <v>325.089</v>
          </cell>
        </row>
        <row r="67">
          <cell r="A67">
            <v>58</v>
          </cell>
          <cell r="B67" t="str">
            <v>IPRM</v>
          </cell>
          <cell r="C67" t="str">
            <v>FM</v>
          </cell>
          <cell r="D67" t="str">
            <v>DMIX RESIDUE</v>
          </cell>
          <cell r="E67" t="str">
            <v>DMIX RESIDUE</v>
          </cell>
          <cell r="F67">
            <v>5.2495000000000003</v>
          </cell>
          <cell r="G67">
            <v>370</v>
          </cell>
          <cell r="I67">
            <v>260.7</v>
          </cell>
          <cell r="O67">
            <v>635.94949999999994</v>
          </cell>
          <cell r="P67">
            <v>24.47</v>
          </cell>
          <cell r="S67">
            <v>260.7</v>
          </cell>
          <cell r="Y67">
            <v>3.33</v>
          </cell>
          <cell r="Z67">
            <v>245</v>
          </cell>
          <cell r="AB67">
            <v>260.7</v>
          </cell>
          <cell r="AH67">
            <v>5.7350000000000003</v>
          </cell>
          <cell r="AI67">
            <v>267.5</v>
          </cell>
          <cell r="AK67">
            <v>260.7</v>
          </cell>
          <cell r="AQ67">
            <v>19</v>
          </cell>
          <cell r="AR67">
            <v>121.25</v>
          </cell>
          <cell r="AT67">
            <v>194</v>
          </cell>
          <cell r="BA67">
            <v>16.25</v>
          </cell>
          <cell r="BI67">
            <v>9.25</v>
          </cell>
          <cell r="BR67">
            <v>2.4049999999999998</v>
          </cell>
          <cell r="CJ67">
            <v>4.07</v>
          </cell>
          <cell r="CS67">
            <v>4.8099999999999996</v>
          </cell>
          <cell r="DB67">
            <v>1.48</v>
          </cell>
          <cell r="DK67">
            <v>3.5150000000000001</v>
          </cell>
          <cell r="DT67">
            <v>6.66</v>
          </cell>
          <cell r="DU67">
            <v>155</v>
          </cell>
          <cell r="EC67">
            <v>8.3249999999999993</v>
          </cell>
          <cell r="ED67">
            <v>297.5</v>
          </cell>
          <cell r="EF67">
            <v>119.5</v>
          </cell>
          <cell r="EL67">
            <v>7.4249999999999998</v>
          </cell>
          <cell r="EM67">
            <v>375</v>
          </cell>
          <cell r="EO67">
            <v>37.1</v>
          </cell>
          <cell r="ES67">
            <v>29.18</v>
          </cell>
          <cell r="EU67">
            <v>10.175000000000001</v>
          </cell>
          <cell r="EV67">
            <v>148.75</v>
          </cell>
          <cell r="EX67">
            <v>201.5</v>
          </cell>
          <cell r="FD67">
            <v>2.0350000000000001</v>
          </cell>
          <cell r="FE67">
            <v>148.75</v>
          </cell>
          <cell r="FG67">
            <v>200.1</v>
          </cell>
          <cell r="FM67">
            <v>3.7</v>
          </cell>
          <cell r="FN67">
            <v>147.5</v>
          </cell>
          <cell r="FP67">
            <v>200.1</v>
          </cell>
          <cell r="FV67">
            <v>11.1</v>
          </cell>
          <cell r="FW67">
            <v>150</v>
          </cell>
          <cell r="FY67">
            <v>200.1</v>
          </cell>
          <cell r="GE67">
            <v>26.92</v>
          </cell>
          <cell r="GF67">
            <v>187.5</v>
          </cell>
          <cell r="GH67">
            <v>193.14</v>
          </cell>
          <cell r="GN67">
            <v>8.14</v>
          </cell>
          <cell r="GO67">
            <v>225</v>
          </cell>
        </row>
        <row r="68">
          <cell r="A68">
            <v>59</v>
          </cell>
          <cell r="B68" t="str">
            <v>IPRM</v>
          </cell>
          <cell r="C68" t="str">
            <v>FM</v>
          </cell>
          <cell r="D68" t="str">
            <v>HYD D RFA</v>
          </cell>
          <cell r="E68" t="str">
            <v>HYD D RFA</v>
          </cell>
          <cell r="O68">
            <v>0</v>
          </cell>
          <cell r="AQ68">
            <v>2.5</v>
          </cell>
          <cell r="AT68">
            <v>17.899999999999999</v>
          </cell>
          <cell r="EO68">
            <v>53.9</v>
          </cell>
          <cell r="EX68">
            <v>8.5</v>
          </cell>
        </row>
        <row r="69">
          <cell r="A69">
            <v>60</v>
          </cell>
          <cell r="B69" t="str">
            <v>IPRM</v>
          </cell>
          <cell r="C69" t="str">
            <v>FM</v>
          </cell>
          <cell r="D69" t="str">
            <v>B/P SMUSTARD&gt;C18</v>
          </cell>
          <cell r="E69" t="str">
            <v>B/P SMUSTARD&gt;C18</v>
          </cell>
          <cell r="O69">
            <v>0</v>
          </cell>
        </row>
        <row r="70">
          <cell r="A70">
            <v>61</v>
          </cell>
          <cell r="B70" t="str">
            <v>IPRM</v>
          </cell>
          <cell r="C70" t="str">
            <v>FM</v>
          </cell>
          <cell r="D70" t="str">
            <v>B/P SMUSTARD&gt;C20</v>
          </cell>
          <cell r="E70" t="str">
            <v>B/P SMUSTARD&gt;C20</v>
          </cell>
          <cell r="G70">
            <v>120</v>
          </cell>
          <cell r="O70">
            <v>120</v>
          </cell>
          <cell r="Q70">
            <v>120</v>
          </cell>
          <cell r="Z70">
            <v>120</v>
          </cell>
          <cell r="AI70">
            <v>120</v>
          </cell>
          <cell r="AK70">
            <v>544.4</v>
          </cell>
          <cell r="AR70">
            <v>120</v>
          </cell>
          <cell r="BA70">
            <v>120</v>
          </cell>
          <cell r="BJ70">
            <v>120</v>
          </cell>
          <cell r="BL70">
            <v>147.4</v>
          </cell>
          <cell r="BS70">
            <v>120</v>
          </cell>
          <cell r="BU70">
            <v>147.4</v>
          </cell>
          <cell r="CB70">
            <v>120</v>
          </cell>
          <cell r="CD70">
            <v>147.4</v>
          </cell>
          <cell r="CK70">
            <v>120</v>
          </cell>
          <cell r="CM70">
            <v>118.8</v>
          </cell>
          <cell r="CT70">
            <v>120</v>
          </cell>
          <cell r="CV70">
            <v>197.3</v>
          </cell>
          <cell r="DC70">
            <v>120</v>
          </cell>
          <cell r="DE70">
            <v>206.5</v>
          </cell>
          <cell r="DL70">
            <v>120</v>
          </cell>
          <cell r="DN70">
            <v>84</v>
          </cell>
          <cell r="DU70">
            <v>120</v>
          </cell>
          <cell r="ED70">
            <v>120</v>
          </cell>
          <cell r="EF70">
            <v>257.60000000000002</v>
          </cell>
          <cell r="EM70">
            <v>120</v>
          </cell>
          <cell r="EO70">
            <v>237.5</v>
          </cell>
          <cell r="EV70">
            <v>120</v>
          </cell>
          <cell r="EX70">
            <v>400.5</v>
          </cell>
          <cell r="FE70">
            <v>120</v>
          </cell>
          <cell r="FG70">
            <v>204.6</v>
          </cell>
          <cell r="FN70">
            <v>120</v>
          </cell>
          <cell r="FW70">
            <v>120</v>
          </cell>
          <cell r="FY70">
            <v>65.77200000000002</v>
          </cell>
          <cell r="GF70">
            <v>120</v>
          </cell>
          <cell r="GO70">
            <v>120</v>
          </cell>
          <cell r="GQ70">
            <v>65.77200000000002</v>
          </cell>
        </row>
        <row r="71">
          <cell r="A71">
            <v>62</v>
          </cell>
          <cell r="B71" t="str">
            <v>IPRM</v>
          </cell>
          <cell r="C71" t="str">
            <v>SM</v>
          </cell>
          <cell r="D71" t="str">
            <v>DFA C18+22(20@50%)</v>
          </cell>
          <cell r="E71" t="str">
            <v>DFA C18+22(20@50%)</v>
          </cell>
          <cell r="O71">
            <v>0</v>
          </cell>
        </row>
        <row r="72">
          <cell r="A72">
            <v>63</v>
          </cell>
          <cell r="B72" t="str">
            <v>IPRM</v>
          </cell>
          <cell r="C72" t="str">
            <v>NM</v>
          </cell>
          <cell r="D72" t="str">
            <v>MUSTARD RESIDUE</v>
          </cell>
          <cell r="E72" t="str">
            <v>MUSTARD RESIDUE</v>
          </cell>
          <cell r="F72">
            <v>48.61</v>
          </cell>
          <cell r="H72">
            <v>589.66</v>
          </cell>
          <cell r="L72">
            <v>4.5</v>
          </cell>
          <cell r="O72">
            <v>642.77</v>
          </cell>
          <cell r="P72">
            <v>42.52</v>
          </cell>
          <cell r="R72">
            <v>693.52</v>
          </cell>
          <cell r="S72">
            <v>281.39999999999998</v>
          </cell>
          <cell r="V72">
            <v>4.5</v>
          </cell>
          <cell r="Y72">
            <v>42.52</v>
          </cell>
          <cell r="AA72">
            <v>693.52</v>
          </cell>
          <cell r="AB72">
            <v>142.30000000000001</v>
          </cell>
          <cell r="AE72">
            <v>4.5</v>
          </cell>
          <cell r="AH72">
            <v>42.52</v>
          </cell>
          <cell r="AJ72">
            <v>693.52</v>
          </cell>
          <cell r="AK72">
            <v>106.6</v>
          </cell>
          <cell r="AN72">
            <v>4.5</v>
          </cell>
          <cell r="AQ72">
            <v>42.52</v>
          </cell>
          <cell r="AS72">
            <v>775.72</v>
          </cell>
          <cell r="AT72">
            <v>142</v>
          </cell>
          <cell r="AW72">
            <v>4.5</v>
          </cell>
          <cell r="AZ72">
            <v>42.52</v>
          </cell>
          <cell r="BB72">
            <v>791.07</v>
          </cell>
          <cell r="BC72">
            <v>142</v>
          </cell>
          <cell r="BF72">
            <v>4.5</v>
          </cell>
          <cell r="BI72">
            <v>42.52</v>
          </cell>
          <cell r="BK72">
            <v>876.78</v>
          </cell>
          <cell r="BL72">
            <v>114.9</v>
          </cell>
          <cell r="BO72">
            <v>4.5</v>
          </cell>
          <cell r="BR72">
            <v>42.52</v>
          </cell>
          <cell r="BT72">
            <v>876.78</v>
          </cell>
          <cell r="BU72">
            <v>153.19999999999999</v>
          </cell>
          <cell r="BX72">
            <v>4.5</v>
          </cell>
          <cell r="CA72">
            <v>42.52</v>
          </cell>
          <cell r="CC72">
            <v>1057.8200000000002</v>
          </cell>
          <cell r="CD72">
            <v>122.4</v>
          </cell>
          <cell r="CF72">
            <v>4.5</v>
          </cell>
          <cell r="CJ72">
            <v>42.52</v>
          </cell>
          <cell r="CL72">
            <v>1057.8200000000002</v>
          </cell>
          <cell r="CM72">
            <v>143.19999999999999</v>
          </cell>
          <cell r="CP72">
            <v>4.5</v>
          </cell>
          <cell r="CS72">
            <v>42.52</v>
          </cell>
          <cell r="CU72">
            <v>1157.75</v>
          </cell>
          <cell r="CV72">
            <v>43.2</v>
          </cell>
          <cell r="CY72">
            <v>4.5</v>
          </cell>
          <cell r="DB72">
            <v>42.52</v>
          </cell>
          <cell r="DD72">
            <v>1173.21</v>
          </cell>
          <cell r="DE72">
            <v>102</v>
          </cell>
          <cell r="DH72">
            <v>4.5</v>
          </cell>
          <cell r="DK72">
            <v>42.52</v>
          </cell>
          <cell r="DM72">
            <v>1173.21</v>
          </cell>
          <cell r="DN72">
            <v>185.7</v>
          </cell>
          <cell r="DQ72">
            <v>4.5</v>
          </cell>
          <cell r="DT72">
            <v>42.52</v>
          </cell>
          <cell r="DU72">
            <v>106.24860000000001</v>
          </cell>
          <cell r="DV72">
            <v>1761.33</v>
          </cell>
          <cell r="DW72">
            <v>101.6</v>
          </cell>
          <cell r="DZ72">
            <v>4.5</v>
          </cell>
          <cell r="EC72">
            <v>42.52</v>
          </cell>
          <cell r="EE72">
            <v>1362.7</v>
          </cell>
          <cell r="EF72">
            <v>123.2</v>
          </cell>
          <cell r="EI72">
            <v>4.5</v>
          </cell>
          <cell r="EL72">
            <v>61.93</v>
          </cell>
          <cell r="EN72">
            <v>1662.41</v>
          </cell>
          <cell r="EO72">
            <v>53.7</v>
          </cell>
          <cell r="ER72">
            <v>4.5</v>
          </cell>
          <cell r="EU72">
            <v>41.99</v>
          </cell>
          <cell r="EW72">
            <v>1568.83</v>
          </cell>
          <cell r="EX72">
            <v>65</v>
          </cell>
          <cell r="FA72">
            <v>4.5</v>
          </cell>
          <cell r="FD72">
            <v>41.99</v>
          </cell>
          <cell r="FF72">
            <v>1568.83</v>
          </cell>
          <cell r="FG72">
            <v>161.5</v>
          </cell>
          <cell r="FJ72">
            <v>4.5</v>
          </cell>
          <cell r="FM72">
            <v>41.99</v>
          </cell>
          <cell r="FO72">
            <v>1568.83</v>
          </cell>
          <cell r="FP72">
            <v>179.86628571428574</v>
          </cell>
          <cell r="FV72">
            <v>41.99</v>
          </cell>
          <cell r="FX72">
            <v>1664.95</v>
          </cell>
          <cell r="FY72">
            <v>114.91457142857143</v>
          </cell>
          <cell r="GA72">
            <v>4.5</v>
          </cell>
          <cell r="GE72">
            <v>41.99</v>
          </cell>
          <cell r="GG72">
            <v>1832.63</v>
          </cell>
          <cell r="GH72">
            <v>33.724928571428578</v>
          </cell>
          <cell r="GK72">
            <v>4.5</v>
          </cell>
          <cell r="GN72">
            <v>40.9</v>
          </cell>
          <cell r="GP72">
            <v>1832.63</v>
          </cell>
          <cell r="GQ72">
            <v>37.472142857142856</v>
          </cell>
          <cell r="GT72">
            <v>4.5</v>
          </cell>
        </row>
        <row r="73">
          <cell r="A73">
            <v>64</v>
          </cell>
          <cell r="B73" t="str">
            <v>IPRM</v>
          </cell>
          <cell r="C73" t="str">
            <v>NM</v>
          </cell>
          <cell r="D73" t="str">
            <v>SMUSTARD RESIDUE</v>
          </cell>
          <cell r="E73" t="str">
            <v>SMUSTARD RESIDUE</v>
          </cell>
          <cell r="G73">
            <v>662.24340000000007</v>
          </cell>
          <cell r="H73">
            <v>1216.57</v>
          </cell>
          <cell r="O73">
            <v>1878.8134</v>
          </cell>
          <cell r="Q73">
            <v>763.38990000000001</v>
          </cell>
          <cell r="R73">
            <v>1216.57</v>
          </cell>
          <cell r="Z73">
            <v>764.45460000000003</v>
          </cell>
          <cell r="AA73">
            <v>1216.57</v>
          </cell>
          <cell r="AI73">
            <v>777.23099999999999</v>
          </cell>
          <cell r="AJ73">
            <v>1216.57</v>
          </cell>
          <cell r="AR73">
            <v>349.22159999999997</v>
          </cell>
          <cell r="AS73">
            <v>925.4</v>
          </cell>
          <cell r="BA73">
            <v>494.02080000000001</v>
          </cell>
          <cell r="BB73">
            <v>648.51</v>
          </cell>
          <cell r="BJ73">
            <v>487.63259999999997</v>
          </cell>
          <cell r="BK73">
            <v>648.51</v>
          </cell>
          <cell r="BS73">
            <v>485.50319999999999</v>
          </cell>
          <cell r="BT73">
            <v>648.51</v>
          </cell>
          <cell r="CB73">
            <v>506.79720000000003</v>
          </cell>
          <cell r="CC73">
            <v>648.51</v>
          </cell>
          <cell r="CK73">
            <v>523.83240000000001</v>
          </cell>
          <cell r="CL73">
            <v>648.51</v>
          </cell>
          <cell r="CT73">
            <v>523.83240000000001</v>
          </cell>
          <cell r="CU73">
            <v>648.51</v>
          </cell>
          <cell r="DC73">
            <v>532.35</v>
          </cell>
          <cell r="DD73">
            <v>648.51</v>
          </cell>
          <cell r="DL73">
            <v>530.22059999999999</v>
          </cell>
          <cell r="DM73">
            <v>648.51</v>
          </cell>
          <cell r="DU73">
            <v>530.22059999999999</v>
          </cell>
          <cell r="DV73">
            <v>141.79</v>
          </cell>
          <cell r="ED73">
            <v>538.73820000000001</v>
          </cell>
          <cell r="EE73">
            <v>648.51</v>
          </cell>
          <cell r="EM73">
            <v>555.77340000000004</v>
          </cell>
          <cell r="EN73">
            <v>506.72</v>
          </cell>
          <cell r="EV73">
            <v>692.05499999999995</v>
          </cell>
          <cell r="EW73">
            <v>498.73</v>
          </cell>
          <cell r="FE73">
            <v>685.66680000000008</v>
          </cell>
          <cell r="FF73">
            <v>498.73</v>
          </cell>
          <cell r="FN73">
            <v>685.66680000000008</v>
          </cell>
          <cell r="FO73">
            <v>498.73</v>
          </cell>
          <cell r="FW73">
            <v>685.66680000000008</v>
          </cell>
          <cell r="FX73">
            <v>498.73</v>
          </cell>
          <cell r="GF73">
            <v>708.02549999999997</v>
          </cell>
          <cell r="GG73">
            <v>498.73</v>
          </cell>
          <cell r="GO73">
            <v>704.83140000000003</v>
          </cell>
          <cell r="GP73">
            <v>498.73</v>
          </cell>
        </row>
        <row r="74">
          <cell r="A74">
            <v>65</v>
          </cell>
          <cell r="B74" t="str">
            <v>IPRM</v>
          </cell>
          <cell r="C74" t="str">
            <v>NM</v>
          </cell>
          <cell r="D74" t="str">
            <v>DMUSTARD RESIDUE</v>
          </cell>
          <cell r="E74" t="str">
            <v>DMUSTARD RESIDUE</v>
          </cell>
          <cell r="F74">
            <v>225.29999999999998</v>
          </cell>
          <cell r="I74">
            <v>29.2</v>
          </cell>
          <cell r="O74">
            <v>254.49999999999997</v>
          </cell>
          <cell r="P74">
            <v>196.82000000000002</v>
          </cell>
          <cell r="Q74">
            <v>254.38</v>
          </cell>
          <cell r="Y74">
            <v>24.11</v>
          </cell>
          <cell r="Z74">
            <v>32.116002400000006</v>
          </cell>
          <cell r="AH74">
            <v>15.683467999999998</v>
          </cell>
          <cell r="AI74">
            <v>32.116002400000006</v>
          </cell>
          <cell r="AQ74">
            <v>15.683467999999998</v>
          </cell>
          <cell r="AR74">
            <v>31.414982400000007</v>
          </cell>
          <cell r="AZ74">
            <v>15.683467999999998</v>
          </cell>
          <cell r="BA74">
            <v>31.414982400000007</v>
          </cell>
          <cell r="BI74">
            <v>22.68</v>
          </cell>
          <cell r="BJ74">
            <v>31.414982400000007</v>
          </cell>
          <cell r="BR74">
            <v>29.68</v>
          </cell>
          <cell r="BS74">
            <v>31.414982400000007</v>
          </cell>
          <cell r="CA74">
            <v>35.8645</v>
          </cell>
          <cell r="CB74">
            <v>31.414982400000007</v>
          </cell>
          <cell r="CK74">
            <v>31.765492400000007</v>
          </cell>
          <cell r="CT74">
            <v>31.765492400000007</v>
          </cell>
          <cell r="DC74">
            <v>31.765492400000007</v>
          </cell>
          <cell r="DL74">
            <v>31.765492400000007</v>
          </cell>
          <cell r="DU74">
            <v>31.765492400000007</v>
          </cell>
          <cell r="ED74">
            <v>31.765492400000007</v>
          </cell>
          <cell r="EM74">
            <v>31.765492400000007</v>
          </cell>
          <cell r="EV74">
            <v>31.765492400000007</v>
          </cell>
          <cell r="FE74">
            <v>31.765492400000007</v>
          </cell>
          <cell r="FN74">
            <v>31.765492400000007</v>
          </cell>
          <cell r="FW74">
            <v>33.518042400000006</v>
          </cell>
          <cell r="GF74">
            <v>33.518042400000006</v>
          </cell>
          <cell r="GO74">
            <v>33.518042400000006</v>
          </cell>
        </row>
        <row r="75">
          <cell r="A75">
            <v>66</v>
          </cell>
          <cell r="B75" t="str">
            <v>IPRM</v>
          </cell>
          <cell r="C75" t="str">
            <v>NM</v>
          </cell>
          <cell r="D75" t="str">
            <v>CONTAMINATED MUST</v>
          </cell>
          <cell r="E75" t="str">
            <v>CONTAMINATED MUST</v>
          </cell>
          <cell r="O75">
            <v>0</v>
          </cell>
        </row>
        <row r="76">
          <cell r="A76">
            <v>67</v>
          </cell>
          <cell r="B76" t="str">
            <v>IPRM</v>
          </cell>
          <cell r="C76" t="str">
            <v>NM</v>
          </cell>
          <cell r="D76" t="str">
            <v>HYD SPFAD</v>
          </cell>
          <cell r="E76" t="str">
            <v>HYD SPFAD</v>
          </cell>
          <cell r="I76">
            <v>207.3</v>
          </cell>
          <cell r="O76">
            <v>207.3</v>
          </cell>
          <cell r="S76">
            <v>47.5</v>
          </cell>
          <cell r="Y76">
            <v>7</v>
          </cell>
          <cell r="AB76">
            <v>36.200000000000003</v>
          </cell>
          <cell r="AH76">
            <v>30.195</v>
          </cell>
          <cell r="AK76">
            <v>228.8</v>
          </cell>
          <cell r="AT76">
            <v>117.7</v>
          </cell>
          <cell r="BC76">
            <v>256.2</v>
          </cell>
          <cell r="BL76">
            <v>406.5</v>
          </cell>
          <cell r="BU76">
            <v>185.5</v>
          </cell>
          <cell r="CD76">
            <v>419.6</v>
          </cell>
          <cell r="CM76">
            <v>525.20000000000005</v>
          </cell>
          <cell r="CS76">
            <v>33.97</v>
          </cell>
          <cell r="CV76">
            <v>701.7</v>
          </cell>
          <cell r="DE76">
            <v>255</v>
          </cell>
          <cell r="DN76">
            <v>419.3</v>
          </cell>
          <cell r="DW76">
            <v>35.1</v>
          </cell>
          <cell r="EF76">
            <v>4.8</v>
          </cell>
          <cell r="EJ76">
            <v>12.88</v>
          </cell>
          <cell r="EU76">
            <v>37.996000000000002</v>
          </cell>
          <cell r="FD76">
            <v>64.209000000000003</v>
          </cell>
          <cell r="FG76">
            <v>29.8</v>
          </cell>
          <cell r="FM76">
            <v>16.283999999999999</v>
          </cell>
          <cell r="FP76">
            <v>54.635999999999996</v>
          </cell>
          <cell r="FT76">
            <v>30.46</v>
          </cell>
          <cell r="FV76">
            <v>4.0709999999999997</v>
          </cell>
          <cell r="GN76">
            <v>48.155000000000001</v>
          </cell>
        </row>
        <row r="77">
          <cell r="A77">
            <v>68</v>
          </cell>
          <cell r="B77" t="str">
            <v>IPRM</v>
          </cell>
          <cell r="C77" t="str">
            <v>NM</v>
          </cell>
          <cell r="D77" t="str">
            <v>C16 RICH (FOR SB)</v>
          </cell>
          <cell r="E77" t="str">
            <v>C16 RICH (FOR SB)</v>
          </cell>
          <cell r="G77">
            <v>364.73399999999998</v>
          </cell>
          <cell r="O77">
            <v>364.73399999999998</v>
          </cell>
          <cell r="Q77">
            <v>198.22499999999999</v>
          </cell>
          <cell r="CA77">
            <v>326.61</v>
          </cell>
          <cell r="CJ77">
            <v>242.82</v>
          </cell>
          <cell r="CS77">
            <v>90.63</v>
          </cell>
          <cell r="DB77">
            <v>162.44999999999999</v>
          </cell>
          <cell r="EC77">
            <v>66</v>
          </cell>
          <cell r="FD77">
            <v>3.4649999999999999</v>
          </cell>
          <cell r="FM77">
            <v>280.8</v>
          </cell>
          <cell r="FV77">
            <v>320.39999999999998</v>
          </cell>
          <cell r="GE77">
            <v>342</v>
          </cell>
          <cell r="GN77">
            <v>126</v>
          </cell>
        </row>
        <row r="78">
          <cell r="A78">
            <v>69</v>
          </cell>
          <cell r="B78" t="str">
            <v>IPRM</v>
          </cell>
          <cell r="C78" t="str">
            <v>NM</v>
          </cell>
          <cell r="D78" t="str">
            <v>B/P PFAD (FOR C16/C18)</v>
          </cell>
          <cell r="E78" t="str">
            <v>B/P PFAD (FOR C16/C18)</v>
          </cell>
          <cell r="O78">
            <v>0</v>
          </cell>
        </row>
        <row r="79">
          <cell r="A79">
            <v>70</v>
          </cell>
          <cell r="B79" t="str">
            <v>IPRM</v>
          </cell>
          <cell r="C79" t="str">
            <v>NM</v>
          </cell>
          <cell r="D79" t="str">
            <v>DFA C8&gt;90%</v>
          </cell>
          <cell r="E79" t="str">
            <v>DFA C8&gt;90%</v>
          </cell>
          <cell r="O79">
            <v>0</v>
          </cell>
        </row>
        <row r="80">
          <cell r="A80">
            <v>71</v>
          </cell>
          <cell r="B80" t="str">
            <v>IPRM</v>
          </cell>
          <cell r="C80" t="str">
            <v>NM</v>
          </cell>
          <cell r="D80" t="str">
            <v>FEED FOR DTP-CT</v>
          </cell>
          <cell r="E80" t="str">
            <v>FEED FOR DTP-CT</v>
          </cell>
          <cell r="F80">
            <v>49.57</v>
          </cell>
          <cell r="O80">
            <v>49.57</v>
          </cell>
        </row>
        <row r="81">
          <cell r="A81">
            <v>72</v>
          </cell>
          <cell r="B81" t="str">
            <v>IPRM</v>
          </cell>
          <cell r="C81" t="str">
            <v>NM</v>
          </cell>
          <cell r="D81" t="str">
            <v>C16 RICH FROM PFAD</v>
          </cell>
          <cell r="E81" t="str">
            <v>C16 RICH FROM PFAD</v>
          </cell>
          <cell r="O81">
            <v>0</v>
          </cell>
          <cell r="BI81">
            <v>405.9</v>
          </cell>
          <cell r="BR81">
            <v>311.39999999999998</v>
          </cell>
        </row>
        <row r="82">
          <cell r="A82">
            <v>73</v>
          </cell>
          <cell r="B82" t="str">
            <v>IPRM</v>
          </cell>
          <cell r="C82" t="str">
            <v>NM</v>
          </cell>
          <cell r="D82" t="str">
            <v>FEED FOR P-12</v>
          </cell>
          <cell r="E82" t="str">
            <v>FEED FOR P-12</v>
          </cell>
          <cell r="O82">
            <v>0</v>
          </cell>
          <cell r="P82">
            <v>18</v>
          </cell>
          <cell r="BR82">
            <v>266.18018000000001</v>
          </cell>
          <cell r="CA82">
            <v>221</v>
          </cell>
          <cell r="CJ82">
            <v>189</v>
          </cell>
        </row>
        <row r="83">
          <cell r="A83">
            <v>74</v>
          </cell>
          <cell r="B83" t="str">
            <v>IPRM</v>
          </cell>
          <cell r="C83" t="str">
            <v>NM</v>
          </cell>
          <cell r="D83" t="str">
            <v>HYD P-12</v>
          </cell>
          <cell r="E83" t="str">
            <v>HYD P-12</v>
          </cell>
          <cell r="O83">
            <v>0</v>
          </cell>
          <cell r="P83">
            <v>7</v>
          </cell>
          <cell r="CA83">
            <v>14</v>
          </cell>
          <cell r="CS83">
            <v>30.6</v>
          </cell>
        </row>
        <row r="84">
          <cell r="A84">
            <v>75</v>
          </cell>
          <cell r="B84" t="str">
            <v>IPRM</v>
          </cell>
          <cell r="C84" t="str">
            <v>NM</v>
          </cell>
          <cell r="D84" t="str">
            <v>D HYD P-12</v>
          </cell>
          <cell r="E84" t="str">
            <v>D HYD P-12</v>
          </cell>
          <cell r="O84">
            <v>0</v>
          </cell>
        </row>
        <row r="85">
          <cell r="A85">
            <v>76</v>
          </cell>
          <cell r="B85" t="str">
            <v>IPRM</v>
          </cell>
          <cell r="C85" t="str">
            <v>NM</v>
          </cell>
          <cell r="D85" t="str">
            <v>DFA C16/18  FOR TRANSLUCENT</v>
          </cell>
          <cell r="E85" t="str">
            <v>DFA C16/18  FOR TRANSLUCENT</v>
          </cell>
          <cell r="G85">
            <v>285.44400000000002</v>
          </cell>
          <cell r="O85">
            <v>285.44400000000002</v>
          </cell>
          <cell r="Q85">
            <v>294.95880000000005</v>
          </cell>
          <cell r="Y85">
            <v>1.98</v>
          </cell>
          <cell r="Z85">
            <v>56.466000000000001</v>
          </cell>
          <cell r="BI85">
            <v>60.352779999999996</v>
          </cell>
          <cell r="BR85">
            <v>204.345</v>
          </cell>
          <cell r="DC85">
            <v>245.15460000000002</v>
          </cell>
          <cell r="DK85">
            <v>117.04253</v>
          </cell>
          <cell r="DT85">
            <v>20.233880000000003</v>
          </cell>
        </row>
        <row r="86">
          <cell r="A86">
            <v>77</v>
          </cell>
          <cell r="B86" t="str">
            <v>IPRM</v>
          </cell>
          <cell r="C86" t="str">
            <v>NM</v>
          </cell>
          <cell r="D86" t="str">
            <v>GLY RES</v>
          </cell>
          <cell r="E86" t="str">
            <v>GLY RES</v>
          </cell>
          <cell r="F86">
            <v>31.5</v>
          </cell>
          <cell r="O86">
            <v>31.5</v>
          </cell>
          <cell r="P86">
            <v>35</v>
          </cell>
          <cell r="Y86">
            <v>33.25</v>
          </cell>
          <cell r="AH86">
            <v>14.875</v>
          </cell>
          <cell r="AQ86">
            <v>8.75</v>
          </cell>
          <cell r="AZ86">
            <v>24.5</v>
          </cell>
          <cell r="BI86">
            <v>29.75</v>
          </cell>
          <cell r="BR86">
            <v>28.524999999999999</v>
          </cell>
          <cell r="CJ86">
            <v>5.25</v>
          </cell>
          <cell r="CS86">
            <v>7.52</v>
          </cell>
          <cell r="DB86">
            <v>14.57</v>
          </cell>
          <cell r="EL86">
            <v>38.5</v>
          </cell>
          <cell r="EU86">
            <v>38.5</v>
          </cell>
          <cell r="FD86">
            <v>38.5</v>
          </cell>
          <cell r="FM86">
            <v>38.5</v>
          </cell>
          <cell r="FV86">
            <v>38.5</v>
          </cell>
          <cell r="GE86">
            <v>38.5</v>
          </cell>
          <cell r="GN86">
            <v>38.5</v>
          </cell>
        </row>
        <row r="87">
          <cell r="A87">
            <v>78</v>
          </cell>
          <cell r="B87" t="str">
            <v>IPRM</v>
          </cell>
          <cell r="C87" t="str">
            <v>NM</v>
          </cell>
          <cell r="D87" t="str">
            <v>D B/P PKO</v>
          </cell>
          <cell r="E87" t="str">
            <v>D B/P PKO</v>
          </cell>
          <cell r="F87">
            <v>20</v>
          </cell>
          <cell r="G87">
            <v>125.63</v>
          </cell>
          <cell r="O87">
            <v>145.63</v>
          </cell>
          <cell r="Q87">
            <v>304.13</v>
          </cell>
          <cell r="EU87">
            <v>280.8</v>
          </cell>
          <cell r="FD87">
            <v>313.2</v>
          </cell>
          <cell r="FM87">
            <v>218.7</v>
          </cell>
          <cell r="FP87">
            <v>529.83000000000004</v>
          </cell>
          <cell r="FV87">
            <v>187.2</v>
          </cell>
          <cell r="FY87">
            <v>582.89700000000005</v>
          </cell>
          <cell r="GC87">
            <v>52.58</v>
          </cell>
          <cell r="GH87">
            <v>259.40999999999997</v>
          </cell>
        </row>
        <row r="88">
          <cell r="A88">
            <v>79</v>
          </cell>
          <cell r="B88" t="str">
            <v>IPRM</v>
          </cell>
          <cell r="C88" t="str">
            <v>NM</v>
          </cell>
          <cell r="D88" t="str">
            <v>FOR NEEM SOAP</v>
          </cell>
          <cell r="E88" t="str">
            <v>FOR NEEM SOAP</v>
          </cell>
          <cell r="J88">
            <v>31.86</v>
          </cell>
          <cell r="O88">
            <v>31.86</v>
          </cell>
          <cell r="T88">
            <v>122.91</v>
          </cell>
          <cell r="W88">
            <v>19.489999999999998</v>
          </cell>
          <cell r="AC88">
            <v>148.4</v>
          </cell>
          <cell r="AL88">
            <v>191.95800000000003</v>
          </cell>
          <cell r="AU88">
            <v>174.29400000000001</v>
          </cell>
          <cell r="BD88">
            <v>174.29400000000001</v>
          </cell>
          <cell r="BM88">
            <v>174.29400000000001</v>
          </cell>
          <cell r="BV88">
            <v>174.29400000000001</v>
          </cell>
          <cell r="CE88">
            <v>44.16</v>
          </cell>
          <cell r="CN88">
            <v>1.242</v>
          </cell>
          <cell r="CW88">
            <v>3.8319999999999999</v>
          </cell>
          <cell r="DT88">
            <v>67.08</v>
          </cell>
          <cell r="DX88">
            <v>58.591999999999999</v>
          </cell>
          <cell r="EG88">
            <v>1.9319999999999999</v>
          </cell>
          <cell r="EH88">
            <v>400.09</v>
          </cell>
          <cell r="EJ88">
            <v>37.450000000000003</v>
          </cell>
          <cell r="EP88">
            <v>42.78</v>
          </cell>
          <cell r="EY88">
            <v>59.201999999999998</v>
          </cell>
          <cell r="FG88">
            <v>59.201999999999998</v>
          </cell>
          <cell r="FQ88">
            <v>59.201999999999998</v>
          </cell>
          <cell r="FZ88">
            <v>59.201999999999998</v>
          </cell>
          <cell r="GI88">
            <v>59.201999999999998</v>
          </cell>
          <cell r="GR88">
            <v>114.092</v>
          </cell>
        </row>
        <row r="89">
          <cell r="A89">
            <v>239</v>
          </cell>
          <cell r="B89" t="str">
            <v>IPRM</v>
          </cell>
          <cell r="C89" t="str">
            <v>NM</v>
          </cell>
          <cell r="D89" t="str">
            <v>FEED FOR ITC</v>
          </cell>
          <cell r="E89" t="str">
            <v>FEED FOR ITC</v>
          </cell>
          <cell r="O89">
            <v>0</v>
          </cell>
          <cell r="Z89">
            <v>509.83</v>
          </cell>
          <cell r="AI89">
            <v>133.976</v>
          </cell>
          <cell r="CK89">
            <v>247.38480000000001</v>
          </cell>
        </row>
        <row r="90">
          <cell r="A90">
            <v>240</v>
          </cell>
          <cell r="B90" t="str">
            <v>IPRM</v>
          </cell>
          <cell r="C90" t="str">
            <v>NM</v>
          </cell>
          <cell r="D90" t="str">
            <v>MUSTARD-MCT</v>
          </cell>
          <cell r="E90" t="str">
            <v>MUSTARD-MCT</v>
          </cell>
          <cell r="O90">
            <v>0</v>
          </cell>
          <cell r="Y90">
            <v>172.34</v>
          </cell>
          <cell r="AH90">
            <v>182.13</v>
          </cell>
          <cell r="AQ90">
            <v>236.41</v>
          </cell>
          <cell r="AZ90">
            <v>201.9</v>
          </cell>
          <cell r="BI90">
            <v>201.9</v>
          </cell>
          <cell r="BJ90">
            <v>65.810700000000011</v>
          </cell>
          <cell r="BR90">
            <v>220.85</v>
          </cell>
          <cell r="BS90">
            <v>293.37299999999999</v>
          </cell>
          <cell r="CA90">
            <v>309.113</v>
          </cell>
          <cell r="CB90">
            <v>228.36</v>
          </cell>
          <cell r="CJ90">
            <v>199.01</v>
          </cell>
          <cell r="CK90">
            <v>352.84399999999999</v>
          </cell>
          <cell r="CS90">
            <v>351.5</v>
          </cell>
          <cell r="CT90">
            <v>235.28</v>
          </cell>
          <cell r="DB90">
            <v>137.1</v>
          </cell>
          <cell r="DC90">
            <v>523.31020000000001</v>
          </cell>
          <cell r="DK90">
            <v>29.8935</v>
          </cell>
          <cell r="DL90">
            <v>161.75200000000001</v>
          </cell>
          <cell r="DR90">
            <v>16.100000000000001</v>
          </cell>
          <cell r="DT90">
            <v>29.8935</v>
          </cell>
          <cell r="DU90">
            <v>102.315</v>
          </cell>
          <cell r="EC90">
            <v>29.8935</v>
          </cell>
          <cell r="ED90">
            <v>108.8202</v>
          </cell>
          <cell r="EL90">
            <v>29.8935</v>
          </cell>
          <cell r="EM90">
            <v>108.8202</v>
          </cell>
          <cell r="EU90">
            <v>29.8935</v>
          </cell>
          <cell r="EV90">
            <v>125.08319999999999</v>
          </cell>
          <cell r="FD90">
            <v>29.8935</v>
          </cell>
          <cell r="FE90">
            <v>120.2043</v>
          </cell>
          <cell r="FM90">
            <v>29.8935</v>
          </cell>
          <cell r="FN90">
            <v>120.2043</v>
          </cell>
          <cell r="FV90">
            <v>29.8935</v>
          </cell>
          <cell r="FW90">
            <v>126.70950000000001</v>
          </cell>
          <cell r="GE90">
            <v>29.8935</v>
          </cell>
          <cell r="GF90">
            <v>118.578</v>
          </cell>
          <cell r="GN90">
            <v>29.3825</v>
          </cell>
          <cell r="GO90">
            <v>118.578</v>
          </cell>
        </row>
        <row r="91">
          <cell r="A91">
            <v>242</v>
          </cell>
          <cell r="B91" t="str">
            <v>IPRM</v>
          </cell>
          <cell r="C91" t="str">
            <v>NM</v>
          </cell>
          <cell r="D91" t="str">
            <v>HYD STEARIC-90</v>
          </cell>
          <cell r="E91" t="str">
            <v>HYD STEARIC-90</v>
          </cell>
          <cell r="CJ91">
            <v>86.563000000000002</v>
          </cell>
          <cell r="CS91">
            <v>28.955380000000002</v>
          </cell>
        </row>
        <row r="92">
          <cell r="D92" t="str">
            <v>IPRM TOTAL</v>
          </cell>
          <cell r="F92">
            <v>492.17799999999994</v>
          </cell>
          <cell r="G92">
            <v>6079.0820000000012</v>
          </cell>
          <cell r="H92">
            <v>3252.7</v>
          </cell>
          <cell r="I92">
            <v>1064.6999999999998</v>
          </cell>
          <cell r="J92">
            <v>31.86</v>
          </cell>
          <cell r="K92">
            <v>0</v>
          </cell>
          <cell r="L92">
            <v>4.5</v>
          </cell>
          <cell r="M92">
            <v>0</v>
          </cell>
          <cell r="N92">
            <v>0</v>
          </cell>
          <cell r="O92">
            <v>10925.019999999999</v>
          </cell>
          <cell r="P92">
            <v>510.85247000000004</v>
          </cell>
          <cell r="Q92">
            <v>5829.029700000001</v>
          </cell>
          <cell r="R92">
            <v>3162.4300000000003</v>
          </cell>
          <cell r="S92">
            <v>1240.8000000000002</v>
          </cell>
          <cell r="T92">
            <v>122.91</v>
          </cell>
          <cell r="U92">
            <v>0</v>
          </cell>
          <cell r="V92">
            <v>4.5</v>
          </cell>
          <cell r="W92">
            <v>159.49</v>
          </cell>
          <cell r="X92">
            <v>0</v>
          </cell>
          <cell r="Y92">
            <v>452.62147000000004</v>
          </cell>
          <cell r="Z92">
            <v>6754.2563624000004</v>
          </cell>
          <cell r="AA92">
            <v>2999.54</v>
          </cell>
          <cell r="AB92">
            <v>1181.4000000000001</v>
          </cell>
          <cell r="AC92">
            <v>148.4</v>
          </cell>
          <cell r="AD92">
            <v>0</v>
          </cell>
          <cell r="AE92">
            <v>4.5</v>
          </cell>
          <cell r="AF92">
            <v>100.88999999999999</v>
          </cell>
          <cell r="AG92">
            <v>0</v>
          </cell>
          <cell r="AH92">
            <v>865.42363799999998</v>
          </cell>
          <cell r="AI92">
            <v>6816.5959023999994</v>
          </cell>
          <cell r="AJ92">
            <v>3095.88</v>
          </cell>
          <cell r="AK92">
            <v>1924.8999999999999</v>
          </cell>
          <cell r="AL92">
            <v>191.95800000000003</v>
          </cell>
          <cell r="AM92">
            <v>0</v>
          </cell>
          <cell r="AN92">
            <v>4.5</v>
          </cell>
          <cell r="AO92">
            <v>178.04999999999998</v>
          </cell>
          <cell r="AP92">
            <v>0</v>
          </cell>
          <cell r="AQ92">
            <v>765.44913799999995</v>
          </cell>
          <cell r="AR92">
            <v>6144.3272823999987</v>
          </cell>
          <cell r="AS92">
            <v>3146.3800000000006</v>
          </cell>
          <cell r="AT92">
            <v>1381.3</v>
          </cell>
          <cell r="AU92">
            <v>174.29400000000001</v>
          </cell>
          <cell r="AV92">
            <v>0</v>
          </cell>
          <cell r="AW92">
            <v>4.5</v>
          </cell>
          <cell r="AX92">
            <v>118.54</v>
          </cell>
          <cell r="AY92">
            <v>0</v>
          </cell>
          <cell r="AZ92">
            <v>944.56196799999987</v>
          </cell>
          <cell r="BA92">
            <v>6152.7574824000003</v>
          </cell>
          <cell r="BB92">
            <v>2965.49</v>
          </cell>
          <cell r="BC92">
            <v>1171.5999999999999</v>
          </cell>
          <cell r="BD92">
            <v>174.29400000000001</v>
          </cell>
          <cell r="BE92">
            <v>0</v>
          </cell>
          <cell r="BF92">
            <v>4.5</v>
          </cell>
          <cell r="BG92">
            <v>0</v>
          </cell>
          <cell r="BH92">
            <v>0</v>
          </cell>
          <cell r="BI92">
            <v>1460.8514499999999</v>
          </cell>
          <cell r="BJ92">
            <v>6255.9031823999985</v>
          </cell>
          <cell r="BK92">
            <v>3459.29</v>
          </cell>
          <cell r="BL92">
            <v>1344.1999999999998</v>
          </cell>
          <cell r="BM92">
            <v>174.29400000000001</v>
          </cell>
          <cell r="BN92">
            <v>0</v>
          </cell>
          <cell r="BO92">
            <v>4.5</v>
          </cell>
          <cell r="BP92">
            <v>0</v>
          </cell>
          <cell r="BQ92">
            <v>0</v>
          </cell>
          <cell r="BR92">
            <v>1745.34735</v>
          </cell>
          <cell r="BS92">
            <v>6766.7559423999992</v>
          </cell>
          <cell r="BT92">
            <v>3073.29</v>
          </cell>
          <cell r="BU92">
            <v>1296.7</v>
          </cell>
          <cell r="BV92">
            <v>174.29400000000001</v>
          </cell>
          <cell r="BW92">
            <v>0</v>
          </cell>
          <cell r="BX92">
            <v>4.5</v>
          </cell>
          <cell r="BY92">
            <v>101.64</v>
          </cell>
          <cell r="BZ92">
            <v>0</v>
          </cell>
          <cell r="CA92">
            <v>1498.1186700000001</v>
          </cell>
          <cell r="CB92">
            <v>7524.6003423999991</v>
          </cell>
          <cell r="CC92">
            <v>3262</v>
          </cell>
          <cell r="CD92">
            <v>1473.6999999999998</v>
          </cell>
          <cell r="CE92">
            <v>44.16</v>
          </cell>
          <cell r="CF92">
            <v>4.5</v>
          </cell>
          <cell r="CG92">
            <v>0</v>
          </cell>
          <cell r="CH92">
            <v>28.42</v>
          </cell>
          <cell r="CI92">
            <v>0</v>
          </cell>
          <cell r="CJ92">
            <v>1158.6601700000001</v>
          </cell>
          <cell r="CK92">
            <v>7471.723252400001</v>
          </cell>
          <cell r="CL92">
            <v>3594.3200000000006</v>
          </cell>
          <cell r="CM92">
            <v>1860</v>
          </cell>
          <cell r="CN92">
            <v>1.242</v>
          </cell>
          <cell r="CO92">
            <v>0</v>
          </cell>
          <cell r="CP92">
            <v>4.5</v>
          </cell>
          <cell r="CQ92">
            <v>0</v>
          </cell>
          <cell r="CR92">
            <v>0</v>
          </cell>
          <cell r="CS92">
            <v>829.66334800000004</v>
          </cell>
          <cell r="CT92">
            <v>6943.1349524000007</v>
          </cell>
          <cell r="CU92">
            <v>3840.88</v>
          </cell>
          <cell r="CV92">
            <v>2118.1999999999998</v>
          </cell>
          <cell r="CW92">
            <v>3.8319999999999999</v>
          </cell>
          <cell r="CX92">
            <v>0</v>
          </cell>
          <cell r="CY92">
            <v>4.5</v>
          </cell>
          <cell r="CZ92">
            <v>95.83</v>
          </cell>
          <cell r="DA92">
            <v>0</v>
          </cell>
          <cell r="DB92">
            <v>765.07406800000012</v>
          </cell>
          <cell r="DC92">
            <v>6805.6560524000015</v>
          </cell>
          <cell r="DD92">
            <v>4025.17</v>
          </cell>
          <cell r="DE92">
            <v>1079.5</v>
          </cell>
          <cell r="DF92">
            <v>0</v>
          </cell>
          <cell r="DG92">
            <v>0</v>
          </cell>
          <cell r="DH92">
            <v>4.5</v>
          </cell>
          <cell r="DI92">
            <v>0</v>
          </cell>
          <cell r="DJ92">
            <v>0</v>
          </cell>
          <cell r="DK92">
            <v>894.87852999999984</v>
          </cell>
          <cell r="DL92">
            <v>5994.0850524000007</v>
          </cell>
          <cell r="DM92">
            <v>4395.21</v>
          </cell>
          <cell r="DN92">
            <v>776.7</v>
          </cell>
          <cell r="DO92">
            <v>0</v>
          </cell>
          <cell r="DP92">
            <v>0</v>
          </cell>
          <cell r="DQ92">
            <v>4.5</v>
          </cell>
          <cell r="DR92">
            <v>16.100000000000001</v>
          </cell>
          <cell r="DS92">
            <v>0</v>
          </cell>
          <cell r="DT92">
            <v>722.17438000000004</v>
          </cell>
          <cell r="DU92">
            <v>5676.8534523999988</v>
          </cell>
          <cell r="DV92">
            <v>4625.7300000000005</v>
          </cell>
          <cell r="DW92">
            <v>554.4</v>
          </cell>
          <cell r="DX92">
            <v>72.81</v>
          </cell>
          <cell r="DY92">
            <v>0</v>
          </cell>
          <cell r="DZ92">
            <v>4.5</v>
          </cell>
          <cell r="EA92">
            <v>91.22999999999999</v>
          </cell>
          <cell r="EB92">
            <v>0</v>
          </cell>
          <cell r="EC92">
            <v>1068.38688</v>
          </cell>
          <cell r="ED92">
            <v>5324.3192523999996</v>
          </cell>
          <cell r="EE92">
            <v>4630.29</v>
          </cell>
          <cell r="EF92">
            <v>1152.5999999999999</v>
          </cell>
          <cell r="EG92">
            <v>16.149999999999999</v>
          </cell>
          <cell r="EH92">
            <v>400.09</v>
          </cell>
          <cell r="EI92">
            <v>4.5</v>
          </cell>
          <cell r="EJ92">
            <v>111.23</v>
          </cell>
          <cell r="EK92">
            <v>0</v>
          </cell>
          <cell r="EL92">
            <v>985.62799999999993</v>
          </cell>
          <cell r="EM92">
            <v>4698.1532523999995</v>
          </cell>
          <cell r="EN92">
            <v>4426.3600000000006</v>
          </cell>
          <cell r="EO92">
            <v>895.2</v>
          </cell>
          <cell r="EP92">
            <v>59.174999999999997</v>
          </cell>
          <cell r="EQ92">
            <v>0</v>
          </cell>
          <cell r="ER92">
            <v>4.5</v>
          </cell>
          <cell r="ES92">
            <v>98.490000000000009</v>
          </cell>
          <cell r="ET92">
            <v>0</v>
          </cell>
          <cell r="EU92">
            <v>1128.6744999999999</v>
          </cell>
          <cell r="EV92">
            <v>4493.5325049000003</v>
          </cell>
          <cell r="EW92">
            <v>4142.82</v>
          </cell>
          <cell r="EX92">
            <v>1330.3000000000002</v>
          </cell>
          <cell r="EY92">
            <v>97.317000000000007</v>
          </cell>
          <cell r="EZ92">
            <v>0</v>
          </cell>
          <cell r="FA92">
            <v>4.5</v>
          </cell>
          <cell r="FB92">
            <v>30.33</v>
          </cell>
          <cell r="FC92">
            <v>0</v>
          </cell>
          <cell r="FD92">
            <v>712.85050000000001</v>
          </cell>
          <cell r="FE92">
            <v>4831.3178524000004</v>
          </cell>
          <cell r="FF92">
            <v>3931.28</v>
          </cell>
          <cell r="FG92">
            <v>1468.3019999999999</v>
          </cell>
          <cell r="FH92">
            <v>0</v>
          </cell>
          <cell r="FI92">
            <v>0</v>
          </cell>
          <cell r="FJ92">
            <v>4.5</v>
          </cell>
          <cell r="FK92">
            <v>0</v>
          </cell>
          <cell r="FL92">
            <v>0</v>
          </cell>
          <cell r="FM92">
            <v>789.18649999999991</v>
          </cell>
          <cell r="FN92">
            <v>4934.3272049000007</v>
          </cell>
          <cell r="FO92">
            <v>3916.7999999999997</v>
          </cell>
          <cell r="FP92">
            <v>1394.9078999999999</v>
          </cell>
          <cell r="FQ92">
            <v>76.141999999999996</v>
          </cell>
          <cell r="FR92">
            <v>0</v>
          </cell>
          <cell r="FS92">
            <v>0</v>
          </cell>
          <cell r="FT92">
            <v>30.46</v>
          </cell>
          <cell r="FU92">
            <v>0</v>
          </cell>
          <cell r="FV92">
            <v>919.94857000000013</v>
          </cell>
          <cell r="FW92">
            <v>4600.1617048999997</v>
          </cell>
          <cell r="FX92">
            <v>4012.92</v>
          </cell>
          <cell r="FY92">
            <v>1560.4165714285716</v>
          </cell>
          <cell r="FZ92">
            <v>59.201999999999998</v>
          </cell>
          <cell r="GA92">
            <v>4.5</v>
          </cell>
          <cell r="GB92">
            <v>0</v>
          </cell>
          <cell r="GC92">
            <v>52.58</v>
          </cell>
          <cell r="GD92">
            <v>0</v>
          </cell>
          <cell r="GE92">
            <v>642.33596799999998</v>
          </cell>
          <cell r="GF92">
            <v>4473.643004900001</v>
          </cell>
          <cell r="GG92">
            <v>4180.6000000000004</v>
          </cell>
          <cell r="GH92">
            <v>990.44614285714272</v>
          </cell>
          <cell r="GI92">
            <v>59.201999999999998</v>
          </cell>
          <cell r="GJ92">
            <v>0</v>
          </cell>
          <cell r="GK92">
            <v>4.5</v>
          </cell>
          <cell r="GL92">
            <v>0</v>
          </cell>
          <cell r="GM92">
            <v>0</v>
          </cell>
          <cell r="GN92">
            <v>331.049688</v>
          </cell>
          <cell r="GO92">
            <v>4742.3798049000006</v>
          </cell>
          <cell r="GP92">
            <v>4073.53</v>
          </cell>
          <cell r="GQ92">
            <v>674.12136428571444</v>
          </cell>
          <cell r="GR92">
            <v>114.092</v>
          </cell>
          <cell r="GS92">
            <v>0</v>
          </cell>
          <cell r="GT92">
            <v>4.5</v>
          </cell>
          <cell r="GU92">
            <v>100.15</v>
          </cell>
          <cell r="GV92">
            <v>0</v>
          </cell>
        </row>
        <row r="93">
          <cell r="A93" t="str">
            <v>FATTY ACID FINISHED PRODUCTS</v>
          </cell>
        </row>
        <row r="94">
          <cell r="A94">
            <v>80</v>
          </cell>
          <cell r="B94" t="str">
            <v>FG</v>
          </cell>
          <cell r="C94" t="str">
            <v>FM</v>
          </cell>
          <cell r="D94" t="str">
            <v>CPKO/MUSTO/MIX II RESIDUE</v>
          </cell>
          <cell r="E94" t="str">
            <v>PITCH</v>
          </cell>
          <cell r="F94">
            <v>151.6275</v>
          </cell>
          <cell r="H94">
            <v>1381.27</v>
          </cell>
          <cell r="O94">
            <v>1532.8975</v>
          </cell>
          <cell r="P94">
            <v>152.946</v>
          </cell>
          <cell r="R94">
            <v>1365.27</v>
          </cell>
          <cell r="Y94">
            <v>152.946</v>
          </cell>
          <cell r="AA94">
            <v>1365.27</v>
          </cell>
          <cell r="AH94">
            <v>150.309</v>
          </cell>
          <cell r="AJ94">
            <v>1365.27</v>
          </cell>
          <cell r="AQ94">
            <v>208.32</v>
          </cell>
          <cell r="AS94">
            <v>1545.69</v>
          </cell>
          <cell r="AZ94">
            <v>222.82650000000001</v>
          </cell>
          <cell r="BB94">
            <v>1582.56</v>
          </cell>
          <cell r="BI94">
            <v>222.82650000000001</v>
          </cell>
          <cell r="BK94">
            <v>1404.9499999999998</v>
          </cell>
          <cell r="BR94">
            <v>210.96</v>
          </cell>
          <cell r="BT94">
            <v>1379.07</v>
          </cell>
          <cell r="CA94">
            <v>131.85</v>
          </cell>
          <cell r="CC94">
            <v>1140.2199999999998</v>
          </cell>
          <cell r="CJ94">
            <v>102.843</v>
          </cell>
          <cell r="CL94">
            <v>972.09999999999991</v>
          </cell>
          <cell r="CS94">
            <v>179.316</v>
          </cell>
          <cell r="CU94">
            <v>696.49</v>
          </cell>
          <cell r="DB94">
            <v>102.843</v>
          </cell>
          <cell r="DD94">
            <v>193.81200000000001</v>
          </cell>
          <cell r="DK94">
            <v>11.8665</v>
          </cell>
          <cell r="DT94">
            <v>163.494</v>
          </cell>
          <cell r="EC94">
            <v>255.149</v>
          </cell>
          <cell r="EL94">
            <v>280.92</v>
          </cell>
          <cell r="EU94">
            <v>224.14500000000001</v>
          </cell>
          <cell r="FD94">
            <v>192.501</v>
          </cell>
          <cell r="FM94">
            <v>179.316</v>
          </cell>
          <cell r="FV94">
            <v>177.9975</v>
          </cell>
          <cell r="GE94">
            <v>220.66</v>
          </cell>
          <cell r="GN94">
            <v>322.45999999999998</v>
          </cell>
        </row>
        <row r="95">
          <cell r="A95">
            <v>81</v>
          </cell>
          <cell r="B95" t="str">
            <v>FG</v>
          </cell>
          <cell r="C95" t="str">
            <v>FM</v>
          </cell>
          <cell r="D95" t="str">
            <v>JBS(80:20)</v>
          </cell>
          <cell r="E95" t="str">
            <v>JBS(80:20)</v>
          </cell>
          <cell r="O95">
            <v>0</v>
          </cell>
          <cell r="S95">
            <v>0</v>
          </cell>
          <cell r="AB95">
            <v>262.2</v>
          </cell>
          <cell r="AK95">
            <v>217.4</v>
          </cell>
          <cell r="BC95">
            <v>377.3</v>
          </cell>
          <cell r="BL95">
            <v>179</v>
          </cell>
          <cell r="BU95">
            <v>44.8</v>
          </cell>
          <cell r="CD95">
            <v>153.5</v>
          </cell>
          <cell r="CM95">
            <v>121.5</v>
          </cell>
          <cell r="CW95">
            <v>40</v>
          </cell>
          <cell r="DE95">
            <v>16</v>
          </cell>
          <cell r="DN95">
            <v>48.6</v>
          </cell>
          <cell r="DW95">
            <v>88.9</v>
          </cell>
          <cell r="EF95">
            <v>112.5</v>
          </cell>
          <cell r="EO95">
            <v>272.10000000000002</v>
          </cell>
          <cell r="EX95">
            <v>236</v>
          </cell>
          <cell r="FD95">
            <v>133.613</v>
          </cell>
          <cell r="FG95">
            <v>54.4</v>
          </cell>
          <cell r="FK95">
            <v>15</v>
          </cell>
          <cell r="FM95">
            <v>81.284379999999999</v>
          </cell>
          <cell r="FP95">
            <v>97.835849999999994</v>
          </cell>
          <cell r="FV95">
            <v>81.284379999999999</v>
          </cell>
          <cell r="FY95">
            <v>97.196399999999997</v>
          </cell>
          <cell r="GH95">
            <v>179.68545000000003</v>
          </cell>
        </row>
        <row r="96">
          <cell r="A96">
            <v>82</v>
          </cell>
          <cell r="B96" t="str">
            <v>FG</v>
          </cell>
          <cell r="C96" t="str">
            <v>FM</v>
          </cell>
          <cell r="D96" t="str">
            <v>TRANSLUCENT</v>
          </cell>
          <cell r="E96" t="str">
            <v>TRANSLUCENT</v>
          </cell>
          <cell r="J96">
            <v>51.58</v>
          </cell>
          <cell r="O96">
            <v>51.58</v>
          </cell>
          <cell r="T96">
            <v>2.198</v>
          </cell>
          <cell r="AC96">
            <v>1.02</v>
          </cell>
          <cell r="AI96">
            <v>98.965999999999994</v>
          </cell>
          <cell r="AL96">
            <v>96.29</v>
          </cell>
          <cell r="AR96">
            <v>206.661</v>
          </cell>
          <cell r="AU96">
            <v>96.29</v>
          </cell>
          <cell r="BA96">
            <v>117.241</v>
          </cell>
          <cell r="BD96">
            <v>75.959999999999994</v>
          </cell>
          <cell r="BJ96">
            <v>44.140999999999998</v>
          </cell>
          <cell r="BM96">
            <v>60.06</v>
          </cell>
          <cell r="BV96">
            <v>46.86</v>
          </cell>
          <cell r="CA96">
            <v>76.23</v>
          </cell>
          <cell r="CE96">
            <v>96.91</v>
          </cell>
          <cell r="CJ96">
            <v>28.71</v>
          </cell>
          <cell r="CN96">
            <v>96.91</v>
          </cell>
          <cell r="DX96">
            <v>5.22</v>
          </cell>
          <cell r="EG96">
            <v>5.22</v>
          </cell>
          <cell r="EP96">
            <v>5.22</v>
          </cell>
          <cell r="FG96">
            <v>12.72</v>
          </cell>
          <cell r="FQ96">
            <v>82.27</v>
          </cell>
          <cell r="FZ96">
            <v>82.27</v>
          </cell>
          <cell r="GI96">
            <v>82.27</v>
          </cell>
          <cell r="GN96">
            <v>45</v>
          </cell>
          <cell r="GR96">
            <v>6.96</v>
          </cell>
        </row>
        <row r="97">
          <cell r="A97">
            <v>83</v>
          </cell>
          <cell r="B97" t="str">
            <v>FG</v>
          </cell>
          <cell r="C97" t="str">
            <v>FM</v>
          </cell>
          <cell r="D97" t="str">
            <v>D.S.B</v>
          </cell>
          <cell r="E97" t="str">
            <v>DPFAD 70% + SDD PKO RES 30%</v>
          </cell>
          <cell r="I97">
            <v>21.8</v>
          </cell>
          <cell r="O97">
            <v>21.8</v>
          </cell>
          <cell r="S97">
            <v>35.200000000000003</v>
          </cell>
          <cell r="AB97">
            <v>44.8</v>
          </cell>
          <cell r="AI97">
            <v>97.266000000000005</v>
          </cell>
          <cell r="AT97">
            <v>168.8</v>
          </cell>
          <cell r="BC97">
            <v>7.7</v>
          </cell>
          <cell r="CD97">
            <v>63.9</v>
          </cell>
          <cell r="CM97">
            <v>153.5</v>
          </cell>
          <cell r="CV97">
            <v>166.3</v>
          </cell>
          <cell r="EF97">
            <v>262.2</v>
          </cell>
          <cell r="EO97">
            <v>281.39999999999998</v>
          </cell>
          <cell r="FG97">
            <v>44.8</v>
          </cell>
          <cell r="FK97">
            <v>60</v>
          </cell>
          <cell r="FM97">
            <v>94.545000000000002</v>
          </cell>
          <cell r="FP97">
            <v>338.9</v>
          </cell>
          <cell r="FT97">
            <v>30.99</v>
          </cell>
          <cell r="FV97">
            <v>76.23</v>
          </cell>
          <cell r="FY97">
            <v>402.9</v>
          </cell>
          <cell r="GC97">
            <v>64.88</v>
          </cell>
          <cell r="GE97">
            <v>36.134999999999998</v>
          </cell>
          <cell r="GH97">
            <v>274.96350000000001</v>
          </cell>
          <cell r="GL97">
            <v>34</v>
          </cell>
          <cell r="GQ97">
            <v>161.78085000000002</v>
          </cell>
        </row>
        <row r="98">
          <cell r="A98">
            <v>84</v>
          </cell>
          <cell r="B98" t="str">
            <v>FG</v>
          </cell>
          <cell r="C98" t="str">
            <v>FM</v>
          </cell>
          <cell r="D98" t="str">
            <v>JO BLEND</v>
          </cell>
          <cell r="E98" t="str">
            <v>JO BLEND</v>
          </cell>
          <cell r="J98">
            <v>143.51</v>
          </cell>
          <cell r="O98">
            <v>143.51</v>
          </cell>
          <cell r="T98">
            <v>3.992</v>
          </cell>
          <cell r="AC98">
            <v>118.97199999999999</v>
          </cell>
          <cell r="AF98">
            <v>115.07000000000001</v>
          </cell>
          <cell r="AL98">
            <v>2.198</v>
          </cell>
          <cell r="AU98">
            <v>92.304000000000002</v>
          </cell>
          <cell r="BD98">
            <v>37.119999999999997</v>
          </cell>
          <cell r="BG98">
            <v>14.54</v>
          </cell>
          <cell r="BI98">
            <v>71.28</v>
          </cell>
          <cell r="DK98">
            <v>34.155000000000001</v>
          </cell>
          <cell r="DN98">
            <v>172.7</v>
          </cell>
          <cell r="DR98">
            <v>49.78</v>
          </cell>
          <cell r="EX98">
            <v>249.4</v>
          </cell>
          <cell r="FG98">
            <v>409.2</v>
          </cell>
        </row>
        <row r="99">
          <cell r="A99">
            <v>85</v>
          </cell>
          <cell r="B99" t="str">
            <v>FG</v>
          </cell>
          <cell r="C99" t="str">
            <v>FM</v>
          </cell>
          <cell r="D99" t="str">
            <v>ITC</v>
          </cell>
          <cell r="E99" t="str">
            <v>DPFAD 70% + DCPS 30%</v>
          </cell>
          <cell r="O99">
            <v>0</v>
          </cell>
          <cell r="AK99">
            <v>40.299999999999997</v>
          </cell>
          <cell r="CV99">
            <v>1.3</v>
          </cell>
        </row>
        <row r="100">
          <cell r="A100">
            <v>86</v>
          </cell>
          <cell r="B100" t="str">
            <v>FG</v>
          </cell>
          <cell r="C100" t="str">
            <v>FM</v>
          </cell>
          <cell r="D100" t="str">
            <v>DDPKORESIDUEFA</v>
          </cell>
          <cell r="E100" t="str">
            <v>S DD PKO RES</v>
          </cell>
          <cell r="O100">
            <v>0</v>
          </cell>
        </row>
        <row r="101">
          <cell r="A101">
            <v>87</v>
          </cell>
          <cell r="B101" t="str">
            <v>FG</v>
          </cell>
          <cell r="C101" t="str">
            <v>FM</v>
          </cell>
          <cell r="D101" t="str">
            <v>DRBDPS FOR P-12</v>
          </cell>
          <cell r="E101" t="str">
            <v>DRBDPS/CPS 65%+B/P PKO 35%</v>
          </cell>
          <cell r="O101">
            <v>0</v>
          </cell>
        </row>
        <row r="102">
          <cell r="A102">
            <v>88</v>
          </cell>
          <cell r="B102" t="str">
            <v>FG</v>
          </cell>
          <cell r="C102" t="str">
            <v>FM</v>
          </cell>
          <cell r="D102" t="str">
            <v>DPKO</v>
          </cell>
          <cell r="E102" t="str">
            <v>D C12-C18</v>
          </cell>
          <cell r="I102">
            <v>100.4</v>
          </cell>
          <cell r="O102">
            <v>100.4</v>
          </cell>
          <cell r="Q102">
            <v>82.816000000000003</v>
          </cell>
          <cell r="S102">
            <v>99.8</v>
          </cell>
          <cell r="Z102">
            <v>61.566000000000003</v>
          </cell>
          <cell r="AB102">
            <v>99.8</v>
          </cell>
          <cell r="AI102">
            <v>93.866</v>
          </cell>
          <cell r="AK102">
            <v>166.3</v>
          </cell>
          <cell r="AR102">
            <v>24.591000000000001</v>
          </cell>
          <cell r="AT102">
            <v>9.6</v>
          </cell>
          <cell r="BA102">
            <v>119.366</v>
          </cell>
          <cell r="BC102">
            <v>150.9</v>
          </cell>
          <cell r="BJ102">
            <v>8.016</v>
          </cell>
          <cell r="BL102">
            <v>63.3</v>
          </cell>
          <cell r="BU102">
            <v>88.9</v>
          </cell>
          <cell r="CA102">
            <v>12.375</v>
          </cell>
          <cell r="CD102">
            <v>130.4</v>
          </cell>
          <cell r="CM102">
            <v>74.8</v>
          </cell>
          <cell r="CV102">
            <v>2.6</v>
          </cell>
          <cell r="DB102">
            <v>37.619999999999997</v>
          </cell>
          <cell r="DE102">
            <v>35.799999999999997</v>
          </cell>
          <cell r="DK102">
            <v>16.335000000000001</v>
          </cell>
          <cell r="DN102">
            <v>279.39999999999998</v>
          </cell>
          <cell r="DT102">
            <v>12.375</v>
          </cell>
          <cell r="DW102">
            <v>108.7</v>
          </cell>
          <cell r="EF102">
            <v>82.5</v>
          </cell>
          <cell r="EL102">
            <v>94.545000000000002</v>
          </cell>
          <cell r="EO102">
            <v>154.1</v>
          </cell>
          <cell r="EU102">
            <v>77.715000000000003</v>
          </cell>
          <cell r="EX102">
            <v>70.3</v>
          </cell>
          <cell r="FD102">
            <v>30.195</v>
          </cell>
          <cell r="FG102">
            <v>87</v>
          </cell>
          <cell r="FM102">
            <v>126.72</v>
          </cell>
          <cell r="FP102">
            <v>163.69919999999999</v>
          </cell>
          <cell r="FV102">
            <v>126.22499999999999</v>
          </cell>
          <cell r="FY102">
            <v>163.05975000000001</v>
          </cell>
          <cell r="GE102">
            <v>55.44</v>
          </cell>
          <cell r="GH102">
            <v>221.88915</v>
          </cell>
          <cell r="GN102">
            <v>10.89</v>
          </cell>
          <cell r="GQ102">
            <v>102.31200000000001</v>
          </cell>
        </row>
        <row r="103">
          <cell r="A103">
            <v>89</v>
          </cell>
          <cell r="B103" t="str">
            <v>FG</v>
          </cell>
          <cell r="C103" t="str">
            <v>FM</v>
          </cell>
          <cell r="D103" t="str">
            <v>DPFAD</v>
          </cell>
          <cell r="E103" t="str">
            <v>DPFAD</v>
          </cell>
          <cell r="O103">
            <v>0</v>
          </cell>
          <cell r="Z103">
            <v>23.741</v>
          </cell>
          <cell r="AK103">
            <v>230.2</v>
          </cell>
          <cell r="BA103">
            <v>50.405000000000001</v>
          </cell>
          <cell r="BC103">
            <v>38.4</v>
          </cell>
          <cell r="BG103">
            <v>14.53</v>
          </cell>
          <cell r="BL103">
            <v>377.3</v>
          </cell>
          <cell r="BU103">
            <v>227</v>
          </cell>
          <cell r="CD103">
            <v>7.7</v>
          </cell>
          <cell r="DB103">
            <v>119.295</v>
          </cell>
          <cell r="DE103">
            <v>12.8</v>
          </cell>
          <cell r="DI103">
            <v>146.30000000000001</v>
          </cell>
          <cell r="DN103">
            <v>441.2</v>
          </cell>
          <cell r="DW103">
            <v>63.9</v>
          </cell>
          <cell r="EP103">
            <v>37.206000000000003</v>
          </cell>
          <cell r="EY103">
            <v>113.328</v>
          </cell>
          <cell r="FG103">
            <v>145.005</v>
          </cell>
          <cell r="FQ103">
            <v>73.325999999999993</v>
          </cell>
          <cell r="FZ103">
            <v>91.906999999999996</v>
          </cell>
          <cell r="GI103">
            <v>108.52500000000001</v>
          </cell>
          <cell r="GR103">
            <v>140.52600000000001</v>
          </cell>
        </row>
        <row r="104">
          <cell r="A104">
            <v>90</v>
          </cell>
          <cell r="B104" t="str">
            <v>FG</v>
          </cell>
          <cell r="C104" t="str">
            <v>NM</v>
          </cell>
          <cell r="D104" t="str">
            <v>C6&gt;98%</v>
          </cell>
          <cell r="E104" t="str">
            <v>C6&gt;98%</v>
          </cell>
          <cell r="F104">
            <v>50.282000000000004</v>
          </cell>
          <cell r="O104">
            <v>50.282000000000004</v>
          </cell>
          <cell r="P104">
            <v>54.152000000000001</v>
          </cell>
          <cell r="Y104">
            <v>43.832000000000001</v>
          </cell>
          <cell r="AH104">
            <v>49.637</v>
          </cell>
          <cell r="AQ104">
            <v>67.697000000000003</v>
          </cell>
          <cell r="AZ104">
            <v>7.7119999999999997</v>
          </cell>
          <cell r="BI104">
            <v>9.0020000000000007</v>
          </cell>
          <cell r="BR104">
            <v>7.7119999999999997</v>
          </cell>
          <cell r="CA104">
            <v>16.742000000000001</v>
          </cell>
          <cell r="CJ104">
            <v>16.742000000000001</v>
          </cell>
          <cell r="CS104">
            <v>16.742000000000001</v>
          </cell>
          <cell r="DB104">
            <v>16.742000000000001</v>
          </cell>
          <cell r="DK104">
            <v>16.742000000000001</v>
          </cell>
          <cell r="DT104">
            <v>16.742000000000001</v>
          </cell>
          <cell r="EC104">
            <v>16.742000000000001</v>
          </cell>
          <cell r="EL104">
            <v>16.742000000000001</v>
          </cell>
          <cell r="EU104">
            <v>16.742000000000001</v>
          </cell>
          <cell r="FD104">
            <v>16.742000000000001</v>
          </cell>
          <cell r="FM104">
            <v>16.742000000000001</v>
          </cell>
          <cell r="FV104">
            <v>21.256999999999998</v>
          </cell>
          <cell r="GE104">
            <v>61.892000000000003</v>
          </cell>
          <cell r="GN104">
            <v>2.81</v>
          </cell>
        </row>
        <row r="105">
          <cell r="A105">
            <v>91</v>
          </cell>
          <cell r="B105" t="str">
            <v>FG</v>
          </cell>
          <cell r="C105" t="str">
            <v>FM</v>
          </cell>
          <cell r="D105" t="str">
            <v>C8&gt;98%</v>
          </cell>
          <cell r="E105" t="str">
            <v>C8&gt;98%</v>
          </cell>
          <cell r="F105">
            <v>145.53</v>
          </cell>
          <cell r="G105">
            <v>33.83</v>
          </cell>
          <cell r="O105">
            <v>179.36</v>
          </cell>
          <cell r="P105">
            <v>90.584999999999994</v>
          </cell>
          <cell r="Q105">
            <v>33.83</v>
          </cell>
          <cell r="Y105">
            <v>152.46</v>
          </cell>
          <cell r="Z105">
            <v>33.83</v>
          </cell>
          <cell r="AH105">
            <v>174.24</v>
          </cell>
          <cell r="AI105">
            <v>33.83</v>
          </cell>
          <cell r="AQ105">
            <v>141.57</v>
          </cell>
          <cell r="AR105">
            <v>34.68</v>
          </cell>
          <cell r="AZ105">
            <v>141.57</v>
          </cell>
          <cell r="BA105">
            <v>35.104999999999997</v>
          </cell>
          <cell r="BI105">
            <v>133.16</v>
          </cell>
          <cell r="BJ105">
            <v>85.68</v>
          </cell>
          <cell r="BR105">
            <v>109.395</v>
          </cell>
          <cell r="CA105">
            <v>106.425</v>
          </cell>
          <cell r="CJ105">
            <v>107.41500000000001</v>
          </cell>
          <cell r="CS105">
            <v>107.41500000000001</v>
          </cell>
          <cell r="DB105">
            <v>71.28</v>
          </cell>
          <cell r="DK105">
            <v>67.814999999999998</v>
          </cell>
          <cell r="DT105">
            <v>49.5</v>
          </cell>
          <cell r="EC105">
            <v>49.5</v>
          </cell>
          <cell r="EL105">
            <v>26.234999999999999</v>
          </cell>
          <cell r="EU105">
            <v>26.234999999999999</v>
          </cell>
          <cell r="FD105">
            <v>25.74</v>
          </cell>
          <cell r="FM105">
            <v>2.4750000000000001</v>
          </cell>
          <cell r="FV105">
            <v>13.365</v>
          </cell>
          <cell r="GE105">
            <v>104.44499999999999</v>
          </cell>
          <cell r="GN105">
            <v>92.564999999999998</v>
          </cell>
        </row>
        <row r="106">
          <cell r="A106">
            <v>92</v>
          </cell>
          <cell r="B106" t="str">
            <v>FG</v>
          </cell>
          <cell r="C106" t="str">
            <v>FM</v>
          </cell>
          <cell r="D106" t="str">
            <v>C10&gt;98%</v>
          </cell>
          <cell r="E106" t="str">
            <v>C10&gt;98%</v>
          </cell>
          <cell r="F106">
            <v>167.80500000000001</v>
          </cell>
          <cell r="O106">
            <v>167.80500000000001</v>
          </cell>
          <cell r="P106">
            <v>141.07499999999999</v>
          </cell>
          <cell r="Y106">
            <v>140.08500000000001</v>
          </cell>
          <cell r="AH106">
            <v>46.53</v>
          </cell>
          <cell r="AQ106">
            <v>38.61</v>
          </cell>
          <cell r="AZ106">
            <v>143.55000000000001</v>
          </cell>
          <cell r="BI106">
            <v>168.3</v>
          </cell>
          <cell r="BR106">
            <v>153.44999999999999</v>
          </cell>
          <cell r="BS106">
            <v>9.18</v>
          </cell>
          <cell r="CA106">
            <v>133.155</v>
          </cell>
          <cell r="CJ106">
            <v>114.345</v>
          </cell>
          <cell r="CS106">
            <v>114.345</v>
          </cell>
          <cell r="DB106">
            <v>71.775000000000006</v>
          </cell>
          <cell r="DK106">
            <v>116.325</v>
          </cell>
          <cell r="DT106">
            <v>52.47</v>
          </cell>
          <cell r="EC106">
            <v>52.47</v>
          </cell>
          <cell r="EL106">
            <v>31.68</v>
          </cell>
          <cell r="EU106">
            <v>74.745000000000005</v>
          </cell>
          <cell r="FD106">
            <v>73.754999999999995</v>
          </cell>
          <cell r="FM106">
            <v>58.905000000000001</v>
          </cell>
          <cell r="FV106">
            <v>58.905000000000001</v>
          </cell>
          <cell r="GE106">
            <v>11.385</v>
          </cell>
          <cell r="GN106">
            <v>5.4450000000000003</v>
          </cell>
        </row>
        <row r="107">
          <cell r="A107">
            <v>93</v>
          </cell>
          <cell r="B107" t="str">
            <v>FG</v>
          </cell>
          <cell r="C107" t="str">
            <v>FM</v>
          </cell>
          <cell r="D107" t="str">
            <v>C8+C10&gt;98%</v>
          </cell>
          <cell r="E107" t="str">
            <v>C8+C10&gt;98%</v>
          </cell>
          <cell r="F107">
            <v>129.34299999999999</v>
          </cell>
          <cell r="O107">
            <v>129.34299999999999</v>
          </cell>
          <cell r="P107">
            <v>112.76050000000001</v>
          </cell>
          <cell r="Y107">
            <v>99.494500000000002</v>
          </cell>
          <cell r="AH107">
            <v>78.932000000000002</v>
          </cell>
          <cell r="AQ107">
            <v>65.334549999999993</v>
          </cell>
          <cell r="AZ107">
            <v>126.0265</v>
          </cell>
          <cell r="BI107">
            <v>141.61404999999999</v>
          </cell>
          <cell r="BR107">
            <v>127.3531</v>
          </cell>
          <cell r="BS107">
            <v>190.23</v>
          </cell>
          <cell r="CA107">
            <v>127.3531</v>
          </cell>
          <cell r="CB107">
            <v>237.66000000000003</v>
          </cell>
          <cell r="CJ107">
            <v>122.0467</v>
          </cell>
          <cell r="CK107">
            <v>108.63</v>
          </cell>
          <cell r="CS107">
            <v>104.8009</v>
          </cell>
          <cell r="CT107">
            <v>108.63</v>
          </cell>
          <cell r="DB107">
            <v>103.80595</v>
          </cell>
          <cell r="DC107">
            <v>108.63</v>
          </cell>
          <cell r="DK107">
            <v>46.762150000000005</v>
          </cell>
          <cell r="DL107">
            <v>108.63</v>
          </cell>
          <cell r="DT107">
            <v>123.3733</v>
          </cell>
          <cell r="DU107">
            <v>108.63</v>
          </cell>
          <cell r="EC107">
            <v>123.04164999999999</v>
          </cell>
          <cell r="ED107">
            <v>111.00999999999999</v>
          </cell>
          <cell r="EL107">
            <v>122.37835</v>
          </cell>
          <cell r="EM107">
            <v>108.63</v>
          </cell>
          <cell r="EU107">
            <v>172.78915000000001</v>
          </cell>
          <cell r="EV107">
            <v>285.26</v>
          </cell>
          <cell r="FD107">
            <v>140.95075</v>
          </cell>
          <cell r="FE107">
            <v>325.20999999999998</v>
          </cell>
          <cell r="FF107">
            <v>48.16</v>
          </cell>
          <cell r="FM107">
            <v>122.37835</v>
          </cell>
          <cell r="FN107">
            <v>60.01</v>
          </cell>
          <cell r="FO107">
            <v>505.82</v>
          </cell>
          <cell r="FV107">
            <v>122.0467</v>
          </cell>
          <cell r="FW107">
            <v>60.86</v>
          </cell>
          <cell r="GE107">
            <v>123.1953</v>
          </cell>
          <cell r="GF107">
            <v>60.86</v>
          </cell>
          <cell r="GN107">
            <v>107.952</v>
          </cell>
          <cell r="GO107">
            <v>60.86</v>
          </cell>
        </row>
        <row r="108">
          <cell r="A108">
            <v>94</v>
          </cell>
          <cell r="B108" t="str">
            <v>FG</v>
          </cell>
          <cell r="C108" t="str">
            <v>FM</v>
          </cell>
          <cell r="D108" t="str">
            <v>C12&gt;99%</v>
          </cell>
          <cell r="E108" t="str">
            <v>C12&gt;99%</v>
          </cell>
          <cell r="I108">
            <v>465.4</v>
          </cell>
          <cell r="O108">
            <v>465.4</v>
          </cell>
          <cell r="S108">
            <v>465.4</v>
          </cell>
          <cell r="AB108">
            <v>465.4</v>
          </cell>
          <cell r="AK108">
            <v>465.4</v>
          </cell>
          <cell r="AT108">
            <v>465.4</v>
          </cell>
          <cell r="BC108">
            <v>465.4</v>
          </cell>
          <cell r="BL108">
            <v>465.4</v>
          </cell>
          <cell r="BU108">
            <v>465.4</v>
          </cell>
          <cell r="CD108">
            <v>465.4</v>
          </cell>
          <cell r="CM108">
            <v>465.4</v>
          </cell>
          <cell r="CV108">
            <v>465.4</v>
          </cell>
          <cell r="DE108">
            <v>445.1</v>
          </cell>
          <cell r="DN108">
            <v>430.4</v>
          </cell>
          <cell r="DW108">
            <v>430.4</v>
          </cell>
          <cell r="EF108">
            <v>425</v>
          </cell>
          <cell r="EG108">
            <v>13.12</v>
          </cell>
          <cell r="EN108">
            <v>997.39</v>
          </cell>
          <cell r="EO108">
            <v>425</v>
          </cell>
          <cell r="EP108">
            <v>13.12</v>
          </cell>
          <cell r="EW108">
            <v>997.39</v>
          </cell>
          <cell r="EX108">
            <v>414</v>
          </cell>
          <cell r="FF108">
            <v>858.09</v>
          </cell>
          <cell r="FG108">
            <v>413.9</v>
          </cell>
          <cell r="FO108">
            <v>1.28</v>
          </cell>
          <cell r="FP108">
            <v>399.15599999999995</v>
          </cell>
          <cell r="FX108">
            <v>1.28</v>
          </cell>
          <cell r="FY108">
            <v>384.44057142857139</v>
          </cell>
          <cell r="GG108">
            <v>1.2799999999999159</v>
          </cell>
          <cell r="GH108">
            <v>367.88571428571424</v>
          </cell>
          <cell r="GL108">
            <v>15.87</v>
          </cell>
          <cell r="GP108">
            <v>1500.49</v>
          </cell>
          <cell r="GQ108">
            <v>367.88571428571424</v>
          </cell>
        </row>
        <row r="109">
          <cell r="A109">
            <v>95</v>
          </cell>
          <cell r="B109" t="str">
            <v>FG</v>
          </cell>
          <cell r="C109" t="str">
            <v>FM</v>
          </cell>
          <cell r="D109" t="str">
            <v>C14&gt;99%</v>
          </cell>
          <cell r="E109" t="str">
            <v>C14&gt;99%</v>
          </cell>
          <cell r="O109">
            <v>0</v>
          </cell>
        </row>
        <row r="110">
          <cell r="A110">
            <v>96</v>
          </cell>
          <cell r="B110" t="str">
            <v>FG</v>
          </cell>
          <cell r="C110" t="str">
            <v>FM</v>
          </cell>
          <cell r="D110" t="str">
            <v>C12+14&gt;99</v>
          </cell>
          <cell r="E110" t="str">
            <v>C12-C14</v>
          </cell>
          <cell r="I110">
            <v>208.3</v>
          </cell>
          <cell r="O110">
            <v>208.3</v>
          </cell>
          <cell r="S110">
            <v>509.7</v>
          </cell>
          <cell r="Y110">
            <v>28.8</v>
          </cell>
          <cell r="AB110">
            <v>254</v>
          </cell>
          <cell r="AF110">
            <v>19.72</v>
          </cell>
          <cell r="AH110">
            <v>36.9</v>
          </cell>
          <cell r="AK110">
            <v>268.60000000000002</v>
          </cell>
          <cell r="AO110">
            <v>52.89</v>
          </cell>
          <cell r="AT110">
            <v>36.5</v>
          </cell>
          <cell r="BC110">
            <v>174.3</v>
          </cell>
          <cell r="BL110">
            <v>18.3</v>
          </cell>
          <cell r="BU110">
            <v>54.8</v>
          </cell>
          <cell r="CD110">
            <v>79</v>
          </cell>
          <cell r="CM110">
            <v>190</v>
          </cell>
          <cell r="CV110">
            <v>11.3</v>
          </cell>
          <cell r="DE110">
            <v>97</v>
          </cell>
          <cell r="DN110">
            <v>75.900000000000006</v>
          </cell>
          <cell r="DW110">
            <v>228.4</v>
          </cell>
          <cell r="EF110">
            <v>923.2</v>
          </cell>
          <cell r="EO110">
            <v>1096.8</v>
          </cell>
          <cell r="EX110">
            <v>951.9</v>
          </cell>
          <cell r="FG110">
            <v>297.8</v>
          </cell>
          <cell r="FP110">
            <v>129.71700000000001</v>
          </cell>
          <cell r="FY110">
            <v>129.71700000000001</v>
          </cell>
          <cell r="GH110">
            <v>529.79999999999995</v>
          </cell>
          <cell r="GQ110">
            <v>627.53300000000002</v>
          </cell>
        </row>
        <row r="111">
          <cell r="A111">
            <v>248</v>
          </cell>
          <cell r="B111" t="str">
            <v>FG</v>
          </cell>
          <cell r="C111" t="str">
            <v>FM</v>
          </cell>
          <cell r="D111" t="str">
            <v>C12+14&gt;99 (IMP)</v>
          </cell>
          <cell r="E111" t="str">
            <v>C12-C14 (IMP)</v>
          </cell>
          <cell r="EE111">
            <v>997.39</v>
          </cell>
        </row>
        <row r="112">
          <cell r="A112">
            <v>97</v>
          </cell>
          <cell r="B112" t="str">
            <v>FG</v>
          </cell>
          <cell r="C112" t="str">
            <v>FM</v>
          </cell>
          <cell r="D112" t="str">
            <v>C12+C14+C16&gt;99</v>
          </cell>
          <cell r="E112" t="str">
            <v>C12-C16</v>
          </cell>
          <cell r="O112">
            <v>0</v>
          </cell>
          <cell r="AQ112">
            <v>259.2</v>
          </cell>
          <cell r="AZ112">
            <v>386.1</v>
          </cell>
          <cell r="BC112">
            <v>38.4</v>
          </cell>
          <cell r="FP112">
            <v>204.624</v>
          </cell>
          <cell r="FY112">
            <v>23.750999999999948</v>
          </cell>
          <cell r="GH112">
            <v>582.79999999999995</v>
          </cell>
          <cell r="GQ112">
            <v>1178.4000000000001</v>
          </cell>
        </row>
        <row r="113">
          <cell r="A113">
            <v>98</v>
          </cell>
          <cell r="B113" t="str">
            <v>FG</v>
          </cell>
          <cell r="C113" t="str">
            <v>FM</v>
          </cell>
          <cell r="D113" t="str">
            <v>C16&gt;90%</v>
          </cell>
          <cell r="E113" t="str">
            <v>C16&gt;90%</v>
          </cell>
          <cell r="O113">
            <v>0</v>
          </cell>
        </row>
        <row r="114">
          <cell r="A114">
            <v>99</v>
          </cell>
          <cell r="B114" t="str">
            <v>FG</v>
          </cell>
          <cell r="C114" t="str">
            <v>FM</v>
          </cell>
          <cell r="D114" t="str">
            <v>C16&gt;99%</v>
          </cell>
          <cell r="E114" t="str">
            <v>C16&gt;99%</v>
          </cell>
          <cell r="O114">
            <v>0</v>
          </cell>
          <cell r="CD114">
            <v>246.5</v>
          </cell>
          <cell r="CM114">
            <v>413.9</v>
          </cell>
          <cell r="CQ114">
            <v>120.66</v>
          </cell>
          <cell r="CV114">
            <v>516.9</v>
          </cell>
          <cell r="GL114">
            <v>19.79</v>
          </cell>
          <cell r="GQ114">
            <v>178.669725</v>
          </cell>
          <cell r="GU114">
            <v>158.6</v>
          </cell>
        </row>
        <row r="115">
          <cell r="A115">
            <v>100</v>
          </cell>
          <cell r="B115" t="str">
            <v>FG</v>
          </cell>
          <cell r="C115" t="str">
            <v>FM</v>
          </cell>
          <cell r="D115" t="str">
            <v>DFA C16/C18</v>
          </cell>
          <cell r="E115" t="str">
            <v>DFA C16/C18</v>
          </cell>
          <cell r="O115">
            <v>0</v>
          </cell>
          <cell r="CH115">
            <v>526.30999999999995</v>
          </cell>
          <cell r="CQ115">
            <v>264.77999999999997</v>
          </cell>
          <cell r="CZ115">
            <v>264.77999999999997</v>
          </cell>
          <cell r="DE115">
            <v>524.29999999999995</v>
          </cell>
          <cell r="DN115">
            <v>20.100000000000001</v>
          </cell>
        </row>
        <row r="116">
          <cell r="A116">
            <v>101</v>
          </cell>
          <cell r="B116" t="str">
            <v>FG</v>
          </cell>
          <cell r="C116" t="str">
            <v>FM</v>
          </cell>
          <cell r="D116" t="str">
            <v>C18&gt;95%</v>
          </cell>
          <cell r="E116" t="str">
            <v>C18&gt;95%</v>
          </cell>
          <cell r="I116">
            <v>242</v>
          </cell>
          <cell r="O116">
            <v>242</v>
          </cell>
          <cell r="S116">
            <v>241</v>
          </cell>
          <cell r="AB116">
            <v>241</v>
          </cell>
          <cell r="AK116">
            <v>241</v>
          </cell>
          <cell r="AT116">
            <v>241</v>
          </cell>
          <cell r="BC116">
            <v>241</v>
          </cell>
          <cell r="BL116">
            <v>241</v>
          </cell>
          <cell r="BT116">
            <v>771.77</v>
          </cell>
          <cell r="BU116">
            <v>241</v>
          </cell>
          <cell r="BY116">
            <v>46.68</v>
          </cell>
          <cell r="CC116">
            <v>905.61</v>
          </cell>
          <cell r="CD116">
            <v>223.2</v>
          </cell>
          <cell r="CL116">
            <v>905.61</v>
          </cell>
          <cell r="CM116">
            <v>126.4</v>
          </cell>
          <cell r="CU116">
            <v>905.61</v>
          </cell>
          <cell r="CV116">
            <v>153.5</v>
          </cell>
          <cell r="DD116">
            <v>1028.9000000000001</v>
          </cell>
          <cell r="DM116">
            <v>1028.9000000000001</v>
          </cell>
          <cell r="DV116">
            <v>1028.9000000000001</v>
          </cell>
          <cell r="EE116">
            <v>1028.9000000000001</v>
          </cell>
          <cell r="EN116">
            <v>1028.9000000000001</v>
          </cell>
          <cell r="GP116">
            <v>771.26</v>
          </cell>
        </row>
        <row r="117">
          <cell r="A117">
            <v>102</v>
          </cell>
          <cell r="B117" t="str">
            <v>FG</v>
          </cell>
          <cell r="C117" t="str">
            <v>FM</v>
          </cell>
          <cell r="D117" t="str">
            <v>OLEIC-K</v>
          </cell>
          <cell r="E117" t="str">
            <v>OLEIC-K</v>
          </cell>
          <cell r="F117">
            <v>188.32</v>
          </cell>
          <cell r="O117">
            <v>188.32</v>
          </cell>
          <cell r="P117">
            <v>119.84</v>
          </cell>
          <cell r="Y117">
            <v>74.900000000000006</v>
          </cell>
          <cell r="AH117">
            <v>34.24</v>
          </cell>
          <cell r="AQ117">
            <v>99.51</v>
          </cell>
          <cell r="AZ117">
            <v>11.77</v>
          </cell>
          <cell r="BC117">
            <v>546.1</v>
          </cell>
          <cell r="BI117">
            <v>179.76</v>
          </cell>
          <cell r="BR117">
            <v>119.84</v>
          </cell>
          <cell r="BY117">
            <v>15</v>
          </cell>
          <cell r="CA117">
            <v>67.41</v>
          </cell>
          <cell r="CJ117">
            <v>65.36</v>
          </cell>
          <cell r="CS117">
            <v>70.62</v>
          </cell>
          <cell r="DB117">
            <v>215.07</v>
          </cell>
          <cell r="DK117">
            <v>68.48</v>
          </cell>
          <cell r="DT117">
            <v>180.83</v>
          </cell>
          <cell r="EC117">
            <v>272.85000000000002</v>
          </cell>
          <cell r="EL117">
            <v>413.02</v>
          </cell>
          <cell r="EU117">
            <v>291.04000000000002</v>
          </cell>
          <cell r="FD117">
            <v>240.75</v>
          </cell>
          <cell r="FM117">
            <v>383.06</v>
          </cell>
          <cell r="FV117">
            <v>418.37</v>
          </cell>
          <cell r="GE117">
            <v>222.56</v>
          </cell>
          <cell r="GN117">
            <v>70.62</v>
          </cell>
          <cell r="GQ117">
            <v>468.99</v>
          </cell>
        </row>
        <row r="118">
          <cell r="A118">
            <v>103</v>
          </cell>
          <cell r="B118" t="str">
            <v>FG</v>
          </cell>
          <cell r="C118" t="str">
            <v>FM</v>
          </cell>
          <cell r="D118" t="str">
            <v>C16+C18(30:70)TA</v>
          </cell>
          <cell r="E118" t="str">
            <v>C16-C18</v>
          </cell>
          <cell r="O118">
            <v>0</v>
          </cell>
          <cell r="BJ118">
            <v>290</v>
          </cell>
          <cell r="BS118">
            <v>752.5</v>
          </cell>
          <cell r="CB118">
            <v>750</v>
          </cell>
          <cell r="CK118">
            <v>747.5</v>
          </cell>
          <cell r="CT118">
            <v>747.5</v>
          </cell>
          <cell r="DC118">
            <v>165</v>
          </cell>
          <cell r="DE118">
            <v>326.10000000000002</v>
          </cell>
        </row>
        <row r="119">
          <cell r="A119">
            <v>104</v>
          </cell>
          <cell r="B119" t="str">
            <v>FG</v>
          </cell>
          <cell r="C119" t="str">
            <v>FM</v>
          </cell>
          <cell r="D119" t="str">
            <v>HYD.RBDPS-G3</v>
          </cell>
          <cell r="E119" t="str">
            <v>HYD.RBDPS</v>
          </cell>
          <cell r="I119">
            <v>63.9</v>
          </cell>
          <cell r="O119">
            <v>63.9</v>
          </cell>
          <cell r="S119">
            <v>33</v>
          </cell>
          <cell r="AB119">
            <v>402.1</v>
          </cell>
          <cell r="AK119">
            <v>393.90000000000003</v>
          </cell>
          <cell r="AT119">
            <v>306.39999999999998</v>
          </cell>
          <cell r="BC119">
            <v>283.7</v>
          </cell>
          <cell r="BL119">
            <v>283.3</v>
          </cell>
          <cell r="BU119">
            <v>283.3</v>
          </cell>
          <cell r="CD119">
            <v>283.3</v>
          </cell>
          <cell r="CM119">
            <v>283.3</v>
          </cell>
          <cell r="CV119">
            <v>283.3</v>
          </cell>
          <cell r="DE119">
            <v>283.3</v>
          </cell>
          <cell r="DN119">
            <v>283.3</v>
          </cell>
          <cell r="DW119">
            <v>283.3</v>
          </cell>
          <cell r="EF119">
            <v>285.3</v>
          </cell>
          <cell r="EO119">
            <v>156</v>
          </cell>
          <cell r="EX119">
            <v>78.199999999999989</v>
          </cell>
          <cell r="FG119">
            <v>71.7</v>
          </cell>
          <cell r="FP119">
            <v>37.323</v>
          </cell>
          <cell r="FY119">
            <v>37.323</v>
          </cell>
          <cell r="GH119">
            <v>37.323</v>
          </cell>
          <cell r="GQ119">
            <v>38.799999999999997</v>
          </cell>
        </row>
        <row r="120">
          <cell r="A120">
            <v>105</v>
          </cell>
          <cell r="B120" t="str">
            <v>FG</v>
          </cell>
          <cell r="C120" t="str">
            <v>SM</v>
          </cell>
          <cell r="D120" t="str">
            <v>L/E MUSTARD C1820</v>
          </cell>
          <cell r="E120" t="str">
            <v>DFA C18C20 MFA</v>
          </cell>
          <cell r="G120">
            <v>116.816</v>
          </cell>
          <cell r="O120">
            <v>116.816</v>
          </cell>
          <cell r="Q120">
            <v>53.915999999999997</v>
          </cell>
          <cell r="S120">
            <v>229.1</v>
          </cell>
          <cell r="Z120">
            <v>40.741</v>
          </cell>
          <cell r="AB120">
            <v>289.3</v>
          </cell>
          <cell r="AI120">
            <v>31.815999999999999</v>
          </cell>
          <cell r="AK120">
            <v>678</v>
          </cell>
          <cell r="AR120">
            <v>13.116</v>
          </cell>
          <cell r="AT120">
            <v>705.2</v>
          </cell>
          <cell r="BA120">
            <v>12.266</v>
          </cell>
          <cell r="BL120">
            <v>190</v>
          </cell>
          <cell r="BU120">
            <v>414.7</v>
          </cell>
          <cell r="CD120">
            <v>7.3</v>
          </cell>
          <cell r="CM120">
            <v>98.1</v>
          </cell>
          <cell r="CV120">
            <v>187.3</v>
          </cell>
          <cell r="DE120">
            <v>320.2</v>
          </cell>
          <cell r="DN120">
            <v>142.80000000000001</v>
          </cell>
          <cell r="DW120">
            <v>352.3</v>
          </cell>
          <cell r="EX120">
            <v>1126.8</v>
          </cell>
          <cell r="FG120">
            <v>1180.5</v>
          </cell>
          <cell r="FP120">
            <v>1195</v>
          </cell>
          <cell r="FY120">
            <v>1175.8</v>
          </cell>
          <cell r="GH120">
            <v>1163.2</v>
          </cell>
          <cell r="GP120">
            <v>921.19</v>
          </cell>
          <cell r="GQ120">
            <v>169.01490000000001</v>
          </cell>
        </row>
        <row r="121">
          <cell r="A121">
            <v>106</v>
          </cell>
          <cell r="B121" t="str">
            <v>FG</v>
          </cell>
          <cell r="C121" t="str">
            <v>SM</v>
          </cell>
          <cell r="D121" t="str">
            <v>L/E MUSTARD UPTO C18 (OLEIC 15)</v>
          </cell>
          <cell r="E121" t="str">
            <v>DFA C18 PURE MFA (OLEIC 15)</v>
          </cell>
          <cell r="O121">
            <v>0</v>
          </cell>
          <cell r="BL121">
            <v>757.1</v>
          </cell>
          <cell r="BU121">
            <v>72</v>
          </cell>
          <cell r="CD121">
            <v>119.9</v>
          </cell>
          <cell r="CM121">
            <v>119.9</v>
          </cell>
          <cell r="CV121">
            <v>119.9</v>
          </cell>
          <cell r="DN121">
            <v>233.9</v>
          </cell>
          <cell r="EF121">
            <v>589.20000000000005</v>
          </cell>
          <cell r="EO121">
            <v>725</v>
          </cell>
          <cell r="EW121">
            <v>1028.9000000000001</v>
          </cell>
          <cell r="FF121">
            <v>1028.9000000000001</v>
          </cell>
          <cell r="FO121">
            <v>1028.9000000000001</v>
          </cell>
          <cell r="FX121">
            <v>1028.9000000000001</v>
          </cell>
          <cell r="GG121">
            <v>997.05</v>
          </cell>
          <cell r="GL121">
            <v>8.58</v>
          </cell>
        </row>
        <row r="122">
          <cell r="A122">
            <v>107</v>
          </cell>
          <cell r="B122" t="str">
            <v>FG</v>
          </cell>
          <cell r="C122" t="str">
            <v>SM</v>
          </cell>
          <cell r="D122" t="str">
            <v>DC20+22&gt;98%</v>
          </cell>
          <cell r="E122" t="str">
            <v>C20-C22</v>
          </cell>
          <cell r="G122">
            <v>6.8792824000000037</v>
          </cell>
          <cell r="O122">
            <v>6.8792824000000037</v>
          </cell>
          <cell r="BC122">
            <v>145.19999999999999</v>
          </cell>
          <cell r="BL122">
            <v>186.2</v>
          </cell>
          <cell r="BU122">
            <v>324.60000000000002</v>
          </cell>
          <cell r="CD122">
            <v>744.2</v>
          </cell>
          <cell r="CM122">
            <v>861.5</v>
          </cell>
          <cell r="CV122">
            <v>861.5</v>
          </cell>
          <cell r="DE122">
            <v>861.5</v>
          </cell>
          <cell r="DN122">
            <v>724.3</v>
          </cell>
          <cell r="DW122">
            <v>147</v>
          </cell>
          <cell r="EX122">
            <v>173</v>
          </cell>
          <cell r="FP122">
            <v>65.77200000000002</v>
          </cell>
          <cell r="GH122">
            <v>65.77200000000002</v>
          </cell>
        </row>
        <row r="123">
          <cell r="A123">
            <v>108</v>
          </cell>
          <cell r="B123" t="str">
            <v>FG</v>
          </cell>
          <cell r="C123" t="str">
            <v>FM</v>
          </cell>
          <cell r="D123" t="str">
            <v>DC22:1&gt;90%</v>
          </cell>
          <cell r="E123" t="str">
            <v>ERUCIC</v>
          </cell>
          <cell r="G123">
            <v>108.682</v>
          </cell>
          <cell r="O123">
            <v>108.682</v>
          </cell>
          <cell r="Q123">
            <v>18.216000000000001</v>
          </cell>
          <cell r="S123">
            <v>173.1</v>
          </cell>
          <cell r="Z123">
            <v>16.515999999999998</v>
          </cell>
          <cell r="AB123">
            <v>242.6</v>
          </cell>
          <cell r="AI123">
            <v>18.216000000000001</v>
          </cell>
          <cell r="AK123">
            <v>128.9</v>
          </cell>
          <cell r="AR123">
            <v>18.216000000000001</v>
          </cell>
          <cell r="AT123">
            <v>350.6</v>
          </cell>
          <cell r="BA123">
            <v>17.366</v>
          </cell>
          <cell r="BC123">
            <v>251.6</v>
          </cell>
          <cell r="BL123">
            <v>139.4</v>
          </cell>
          <cell r="BU123">
            <v>81.8</v>
          </cell>
          <cell r="CD123">
            <v>58.9</v>
          </cell>
          <cell r="CM123">
            <v>42.6</v>
          </cell>
          <cell r="CV123">
            <v>76.400000000000006</v>
          </cell>
          <cell r="DE123">
            <v>220.9</v>
          </cell>
          <cell r="DN123">
            <v>259.10000000000002</v>
          </cell>
          <cell r="DW123">
            <v>233.6</v>
          </cell>
          <cell r="EF123">
            <v>167.1</v>
          </cell>
          <cell r="EO123">
            <v>261</v>
          </cell>
          <cell r="EX123">
            <v>200.5</v>
          </cell>
          <cell r="FG123">
            <v>341.4</v>
          </cell>
          <cell r="FP123">
            <v>372.6</v>
          </cell>
          <cell r="FY123">
            <v>350.6</v>
          </cell>
          <cell r="GC123">
            <v>8</v>
          </cell>
          <cell r="GH123">
            <v>288.83999999999997</v>
          </cell>
          <cell r="GQ123">
            <v>248.82</v>
          </cell>
        </row>
        <row r="124">
          <cell r="A124">
            <v>109</v>
          </cell>
          <cell r="B124" t="str">
            <v>FG</v>
          </cell>
          <cell r="C124" t="str">
            <v>FM</v>
          </cell>
          <cell r="D124" t="str">
            <v>D C18/C22 - R</v>
          </cell>
          <cell r="E124" t="str">
            <v>D C18/C22 - R</v>
          </cell>
          <cell r="G124">
            <v>949.63040000000001</v>
          </cell>
          <cell r="I124">
            <v>97.8</v>
          </cell>
          <cell r="O124">
            <v>1047.4304</v>
          </cell>
          <cell r="Q124">
            <v>800.43740000000003</v>
          </cell>
          <cell r="Z124">
            <v>797.72479999999996</v>
          </cell>
          <cell r="AI124">
            <v>797.72479999999996</v>
          </cell>
          <cell r="AR124">
            <v>1258.8668</v>
          </cell>
          <cell r="BA124">
            <v>1345.67</v>
          </cell>
          <cell r="BJ124">
            <v>1258.8668</v>
          </cell>
          <cell r="BS124">
            <v>965.90599999999995</v>
          </cell>
          <cell r="CB124">
            <v>938.78</v>
          </cell>
          <cell r="CK124">
            <v>908.94140000000004</v>
          </cell>
          <cell r="CT124">
            <v>936.06740000000002</v>
          </cell>
          <cell r="DC124">
            <v>927.92959999999994</v>
          </cell>
          <cell r="DL124">
            <v>900.80359999999996</v>
          </cell>
          <cell r="DU124">
            <v>889.95319999999992</v>
          </cell>
          <cell r="ED124">
            <v>895.37840000000006</v>
          </cell>
          <cell r="EM124">
            <v>898.09100000000001</v>
          </cell>
          <cell r="EV124">
            <v>898.09100000000001</v>
          </cell>
          <cell r="FE124">
            <v>911.654</v>
          </cell>
          <cell r="FN124">
            <v>884.52800000000002</v>
          </cell>
          <cell r="FW124">
            <v>895.37840000000006</v>
          </cell>
          <cell r="GF124">
            <v>895.37840000000006</v>
          </cell>
          <cell r="GO124">
            <v>895.37840000000006</v>
          </cell>
        </row>
        <row r="125">
          <cell r="A125">
            <v>110</v>
          </cell>
          <cell r="B125" t="str">
            <v>FG</v>
          </cell>
          <cell r="C125" t="str">
            <v>FM</v>
          </cell>
          <cell r="D125" t="str">
            <v>BEHENIC-90</v>
          </cell>
          <cell r="E125" t="str">
            <v>BEHENIC-90</v>
          </cell>
          <cell r="O125">
            <v>0</v>
          </cell>
          <cell r="EX125">
            <v>31.3</v>
          </cell>
          <cell r="FP125">
            <v>240.8</v>
          </cell>
          <cell r="FY125">
            <v>136.99</v>
          </cell>
          <cell r="GC125">
            <v>90</v>
          </cell>
          <cell r="GH125">
            <v>239.8</v>
          </cell>
          <cell r="GQ125">
            <v>248.58199999999999</v>
          </cell>
        </row>
        <row r="126">
          <cell r="A126">
            <v>111</v>
          </cell>
          <cell r="B126" t="str">
            <v>FG</v>
          </cell>
          <cell r="C126" t="str">
            <v>FM</v>
          </cell>
          <cell r="D126" t="str">
            <v>BEHENIC-75</v>
          </cell>
          <cell r="E126" t="str">
            <v>BEHENIC-75</v>
          </cell>
          <cell r="O126">
            <v>0</v>
          </cell>
        </row>
        <row r="127">
          <cell r="A127">
            <v>112</v>
          </cell>
          <cell r="B127" t="str">
            <v>FG</v>
          </cell>
          <cell r="C127" t="str">
            <v>FM</v>
          </cell>
          <cell r="D127" t="str">
            <v>BEHENIC-85</v>
          </cell>
          <cell r="E127" t="str">
            <v>BEHENIC-85</v>
          </cell>
          <cell r="O127">
            <v>0</v>
          </cell>
        </row>
        <row r="128">
          <cell r="A128">
            <v>113</v>
          </cell>
          <cell r="B128" t="str">
            <v>FG</v>
          </cell>
          <cell r="C128" t="str">
            <v>FM</v>
          </cell>
          <cell r="D128" t="str">
            <v>UTSR</v>
          </cell>
          <cell r="E128" t="str">
            <v>UTSR</v>
          </cell>
          <cell r="F128">
            <v>91.08</v>
          </cell>
          <cell r="O128">
            <v>91.08</v>
          </cell>
          <cell r="P128">
            <v>158.52000000000001</v>
          </cell>
          <cell r="W128">
            <v>43.75</v>
          </cell>
          <cell r="AQ128">
            <v>27.225000000000001</v>
          </cell>
          <cell r="AZ128">
            <v>84.644999999999996</v>
          </cell>
          <cell r="BI128">
            <v>0.99</v>
          </cell>
          <cell r="DB128">
            <v>22.5</v>
          </cell>
          <cell r="DK128">
            <v>21.334</v>
          </cell>
          <cell r="DT128">
            <v>11.786</v>
          </cell>
          <cell r="DW128">
            <v>1.7</v>
          </cell>
          <cell r="EC128">
            <v>13.491</v>
          </cell>
          <cell r="EL128">
            <v>14.173</v>
          </cell>
          <cell r="EU128">
            <v>99</v>
          </cell>
          <cell r="GE128">
            <v>14.855</v>
          </cell>
          <cell r="GN128">
            <v>9.0579999999999998</v>
          </cell>
          <cell r="GQ128">
            <v>18.7</v>
          </cell>
        </row>
        <row r="129">
          <cell r="A129">
            <v>114</v>
          </cell>
          <cell r="B129" t="str">
            <v>FG</v>
          </cell>
          <cell r="C129" t="str">
            <v>FM</v>
          </cell>
          <cell r="D129" t="str">
            <v>P-12</v>
          </cell>
          <cell r="E129" t="str">
            <v>P-12</v>
          </cell>
          <cell r="O129">
            <v>0</v>
          </cell>
          <cell r="Y129">
            <v>139.59</v>
          </cell>
          <cell r="AO129">
            <v>23.27</v>
          </cell>
          <cell r="CJ129">
            <v>30.69</v>
          </cell>
          <cell r="CS129">
            <v>36.630000000000003</v>
          </cell>
          <cell r="CZ129">
            <v>14.77</v>
          </cell>
        </row>
        <row r="130">
          <cell r="A130">
            <v>115</v>
          </cell>
          <cell r="B130" t="str">
            <v>FG</v>
          </cell>
          <cell r="C130" t="str">
            <v>FM</v>
          </cell>
          <cell r="D130" t="str">
            <v>DTP-7</v>
          </cell>
          <cell r="E130" t="str">
            <v>DTP-7</v>
          </cell>
          <cell r="I130">
            <v>103.6</v>
          </cell>
          <cell r="O130">
            <v>103.6</v>
          </cell>
          <cell r="S130">
            <v>16.3</v>
          </cell>
          <cell r="AK130">
            <v>17.8</v>
          </cell>
          <cell r="AT130">
            <v>45.9</v>
          </cell>
          <cell r="BC130">
            <v>43.8</v>
          </cell>
          <cell r="BU130">
            <v>198.6</v>
          </cell>
          <cell r="BY130">
            <v>15.42</v>
          </cell>
          <cell r="DE130">
            <v>324.5</v>
          </cell>
          <cell r="DN130">
            <v>41.8</v>
          </cell>
          <cell r="DW130">
            <v>265.39999999999998</v>
          </cell>
          <cell r="EF130">
            <v>105.5</v>
          </cell>
          <cell r="EO130">
            <v>54.8</v>
          </cell>
          <cell r="EX130">
            <v>23.1</v>
          </cell>
          <cell r="FP130">
            <v>65.597999999999999</v>
          </cell>
          <cell r="FY130">
            <v>29.58</v>
          </cell>
        </row>
        <row r="131">
          <cell r="A131">
            <v>116</v>
          </cell>
          <cell r="B131" t="str">
            <v>FG</v>
          </cell>
          <cell r="C131" t="str">
            <v>FM</v>
          </cell>
          <cell r="D131" t="str">
            <v>DTP-CT</v>
          </cell>
          <cell r="E131" t="str">
            <v>DTP-CT</v>
          </cell>
          <cell r="O131">
            <v>0</v>
          </cell>
          <cell r="P131">
            <v>26.73</v>
          </cell>
        </row>
        <row r="132">
          <cell r="A132">
            <v>117</v>
          </cell>
          <cell r="B132" t="str">
            <v>FG</v>
          </cell>
          <cell r="C132" t="str">
            <v>FM</v>
          </cell>
          <cell r="D132" t="str">
            <v>REFINED GLYCERINE-CP</v>
          </cell>
          <cell r="E132" t="str">
            <v>REFINED GLYCERINE-CP</v>
          </cell>
          <cell r="F132">
            <v>3.5249999999999999</v>
          </cell>
          <cell r="J132">
            <v>37.061999999999998</v>
          </cell>
          <cell r="K132">
            <v>139.41999999999999</v>
          </cell>
          <cell r="O132">
            <v>180.00699999999998</v>
          </cell>
          <cell r="T132">
            <v>96.918000000000006</v>
          </cell>
          <cell r="U132">
            <v>213.53</v>
          </cell>
          <cell r="Y132">
            <v>7.99</v>
          </cell>
          <cell r="AC132">
            <v>64.262</v>
          </cell>
          <cell r="AD132">
            <v>200.03</v>
          </cell>
          <cell r="AH132">
            <v>8.23</v>
          </cell>
          <cell r="AL132">
            <v>88.218000000000004</v>
          </cell>
          <cell r="AM132">
            <v>200.03</v>
          </cell>
          <cell r="AU132">
            <v>70.8</v>
          </cell>
          <cell r="AV132">
            <v>164.10900000000001</v>
          </cell>
          <cell r="AZ132">
            <v>17.39</v>
          </cell>
          <cell r="BD132">
            <v>90.305999999999997</v>
          </cell>
          <cell r="BE132">
            <v>164.10900000000001</v>
          </cell>
          <cell r="BI132">
            <v>17.155000000000001</v>
          </cell>
          <cell r="BM132">
            <v>94.963999999999999</v>
          </cell>
          <cell r="BN132">
            <v>117.35899999999999</v>
          </cell>
          <cell r="BR132">
            <v>32.9</v>
          </cell>
          <cell r="BV132">
            <v>85.781999999999996</v>
          </cell>
          <cell r="BW132">
            <v>149.429</v>
          </cell>
          <cell r="CE132">
            <v>58.29</v>
          </cell>
          <cell r="CF132">
            <v>149.429</v>
          </cell>
          <cell r="CJ132">
            <v>2.35</v>
          </cell>
          <cell r="CN132">
            <v>85.26</v>
          </cell>
          <cell r="CO132">
            <v>103.809</v>
          </cell>
          <cell r="CW132">
            <v>40.26</v>
          </cell>
          <cell r="CX132">
            <v>88.179000000000002</v>
          </cell>
          <cell r="DF132">
            <v>25.577999999999999</v>
          </cell>
          <cell r="DG132">
            <v>25.989000000000001</v>
          </cell>
          <cell r="DK132">
            <v>11.75</v>
          </cell>
          <cell r="DO132">
            <v>25.16</v>
          </cell>
          <cell r="DP132">
            <v>25.989000000000001</v>
          </cell>
          <cell r="DY132">
            <v>25.988999999999997</v>
          </cell>
          <cell r="EH132">
            <v>25.989000000000001</v>
          </cell>
          <cell r="EL132">
            <v>3.9950000000000001</v>
          </cell>
          <cell r="EP132">
            <v>57.988999999999997</v>
          </cell>
          <cell r="EQ132">
            <v>25.989000000000001</v>
          </cell>
          <cell r="EU132">
            <v>12.925000000000001</v>
          </cell>
          <cell r="EY132">
            <v>58.167999999999999</v>
          </cell>
          <cell r="EZ132">
            <v>25.989000000000001</v>
          </cell>
          <cell r="FD132">
            <v>12.93</v>
          </cell>
          <cell r="FH132">
            <v>116.52200000000001</v>
          </cell>
          <cell r="FM132">
            <v>12.925000000000001</v>
          </cell>
          <cell r="FQ132">
            <v>51.417000000000002</v>
          </cell>
          <cell r="FV132">
            <v>12.925000000000001</v>
          </cell>
          <cell r="FZ132">
            <v>103.258</v>
          </cell>
          <cell r="GE132">
            <v>12.925000000000001</v>
          </cell>
          <cell r="GI132">
            <v>40.999000000000002</v>
          </cell>
          <cell r="GN132">
            <v>12.925000000000001</v>
          </cell>
          <cell r="GR132">
            <v>45.100999999999999</v>
          </cell>
        </row>
        <row r="133">
          <cell r="A133">
            <v>118</v>
          </cell>
          <cell r="B133" t="str">
            <v>FG</v>
          </cell>
          <cell r="C133" t="str">
            <v>FM</v>
          </cell>
          <cell r="D133" t="str">
            <v>REFINED GLYCERINE-IP</v>
          </cell>
          <cell r="E133" t="str">
            <v>REFINED GLYCERINE-IP</v>
          </cell>
          <cell r="J133">
            <v>59.296999999999997</v>
          </cell>
          <cell r="O133">
            <v>59.296999999999997</v>
          </cell>
          <cell r="T133">
            <v>42.813000000000002</v>
          </cell>
          <cell r="AC133">
            <v>41.935000000000002</v>
          </cell>
          <cell r="AL133">
            <v>48.667000000000002</v>
          </cell>
          <cell r="AU133">
            <v>106.236</v>
          </cell>
          <cell r="BD133">
            <v>63.805</v>
          </cell>
          <cell r="BM133">
            <v>105.842</v>
          </cell>
          <cell r="BV133">
            <v>99.641999999999996</v>
          </cell>
          <cell r="CE133">
            <v>33.125</v>
          </cell>
          <cell r="CN133">
            <v>3.125</v>
          </cell>
          <cell r="CW133">
            <v>18.16</v>
          </cell>
          <cell r="DF133">
            <v>86.23</v>
          </cell>
          <cell r="DO133">
            <v>45.853999999999999</v>
          </cell>
          <cell r="EP133">
            <v>42.863</v>
          </cell>
          <cell r="EY133">
            <v>12.646000000000001</v>
          </cell>
          <cell r="FH133">
            <v>32.323</v>
          </cell>
          <cell r="FQ133">
            <v>31.100999999999999</v>
          </cell>
          <cell r="FZ133">
            <v>26.100999999999999</v>
          </cell>
          <cell r="GI133">
            <v>114.31699999999999</v>
          </cell>
          <cell r="GR133">
            <v>76.763000000000005</v>
          </cell>
        </row>
        <row r="134">
          <cell r="A134">
            <v>119</v>
          </cell>
          <cell r="B134" t="str">
            <v>FG</v>
          </cell>
          <cell r="C134" t="str">
            <v>FM</v>
          </cell>
          <cell r="D134" t="str">
            <v>REFINED GLYCERINE-USP</v>
          </cell>
          <cell r="E134" t="str">
            <v>REFINED GLYCERINE-USP</v>
          </cell>
          <cell r="F134">
            <v>133.96</v>
          </cell>
          <cell r="O134">
            <v>133.96</v>
          </cell>
          <cell r="P134">
            <v>170.49</v>
          </cell>
          <cell r="Y134">
            <v>218.21</v>
          </cell>
          <cell r="AH134">
            <v>157.74</v>
          </cell>
          <cell r="AQ134">
            <v>197.42</v>
          </cell>
          <cell r="AZ134">
            <v>247.64</v>
          </cell>
          <cell r="BI134">
            <v>182.81</v>
          </cell>
          <cell r="BR134">
            <v>141.81</v>
          </cell>
          <cell r="CA134">
            <v>169.46</v>
          </cell>
          <cell r="CJ134">
            <v>168.46</v>
          </cell>
          <cell r="CS134">
            <v>168.98</v>
          </cell>
          <cell r="DB134">
            <v>124.88</v>
          </cell>
          <cell r="DK134">
            <v>26.54</v>
          </cell>
          <cell r="DT134">
            <v>21.16</v>
          </cell>
          <cell r="EC134">
            <v>18.2</v>
          </cell>
          <cell r="EL134">
            <v>37</v>
          </cell>
          <cell r="EU134">
            <v>45.07</v>
          </cell>
          <cell r="FD134">
            <v>35.5</v>
          </cell>
          <cell r="FM134">
            <v>63.82</v>
          </cell>
          <cell r="FV134">
            <v>86.16</v>
          </cell>
          <cell r="GE134">
            <v>43.33</v>
          </cell>
          <cell r="GN134">
            <v>101.47</v>
          </cell>
        </row>
        <row r="135">
          <cell r="A135">
            <v>120</v>
          </cell>
          <cell r="B135" t="str">
            <v>FG</v>
          </cell>
          <cell r="C135" t="str">
            <v>FM</v>
          </cell>
          <cell r="D135" t="str">
            <v>REFINED GLYCERINE-JP</v>
          </cell>
          <cell r="E135" t="str">
            <v>REFINED GLYCERINE-JP</v>
          </cell>
          <cell r="F135">
            <v>28</v>
          </cell>
          <cell r="O135">
            <v>28</v>
          </cell>
          <cell r="P135">
            <v>26</v>
          </cell>
          <cell r="Y135">
            <v>8</v>
          </cell>
          <cell r="AH135">
            <v>54</v>
          </cell>
          <cell r="AQ135">
            <v>25</v>
          </cell>
          <cell r="AZ135">
            <v>26</v>
          </cell>
          <cell r="BI135">
            <v>25</v>
          </cell>
          <cell r="BR135">
            <v>27</v>
          </cell>
          <cell r="CA135">
            <v>28</v>
          </cell>
          <cell r="CJ135">
            <v>26</v>
          </cell>
          <cell r="CS135">
            <v>26</v>
          </cell>
          <cell r="DB135">
            <v>27</v>
          </cell>
          <cell r="DK135">
            <v>26</v>
          </cell>
          <cell r="DT135">
            <v>6</v>
          </cell>
          <cell r="EC135">
            <v>6</v>
          </cell>
          <cell r="EL135">
            <v>5</v>
          </cell>
          <cell r="EU135">
            <v>6</v>
          </cell>
          <cell r="FD135">
            <v>6</v>
          </cell>
          <cell r="FM135">
            <v>6</v>
          </cell>
          <cell r="FV135">
            <v>7</v>
          </cell>
          <cell r="GE135">
            <v>7</v>
          </cell>
          <cell r="GN135">
            <v>6</v>
          </cell>
        </row>
        <row r="136">
          <cell r="A136">
            <v>238</v>
          </cell>
          <cell r="B136" t="str">
            <v>FG</v>
          </cell>
          <cell r="C136" t="str">
            <v>FM</v>
          </cell>
          <cell r="D136" t="str">
            <v>DFA C18/C22 C22:1</v>
          </cell>
          <cell r="E136" t="str">
            <v>DFA C18/C22 C22:1</v>
          </cell>
          <cell r="O136">
            <v>0</v>
          </cell>
        </row>
        <row r="137">
          <cell r="A137">
            <v>243</v>
          </cell>
          <cell r="B137" t="str">
            <v>FG</v>
          </cell>
          <cell r="C137" t="str">
            <v>FM</v>
          </cell>
          <cell r="D137" t="str">
            <v>STEARIC-90</v>
          </cell>
          <cell r="E137" t="str">
            <v>STEARIC-90</v>
          </cell>
          <cell r="CS137">
            <v>51.975000000000001</v>
          </cell>
        </row>
        <row r="138">
          <cell r="A138">
            <v>245</v>
          </cell>
          <cell r="B138" t="str">
            <v>FG</v>
          </cell>
          <cell r="C138" t="str">
            <v>FM</v>
          </cell>
          <cell r="D138" t="str">
            <v>HPS</v>
          </cell>
          <cell r="E138" t="str">
            <v>HPS</v>
          </cell>
        </row>
        <row r="139">
          <cell r="A139">
            <v>249</v>
          </cell>
          <cell r="B139" t="str">
            <v>FG</v>
          </cell>
          <cell r="C139" t="str">
            <v>FM</v>
          </cell>
          <cell r="D139" t="str">
            <v>OLEIC - IG</v>
          </cell>
          <cell r="E139" t="str">
            <v>OLEIC - IG</v>
          </cell>
          <cell r="FY139">
            <v>17.5</v>
          </cell>
        </row>
        <row r="140">
          <cell r="F140">
            <v>1089.4725000000001</v>
          </cell>
          <cell r="G140">
            <v>1215.8376823999999</v>
          </cell>
          <cell r="H140">
            <v>1381.27</v>
          </cell>
          <cell r="I140">
            <v>1303.2</v>
          </cell>
          <cell r="J140">
            <v>291.44899999999996</v>
          </cell>
          <cell r="K140">
            <v>139.41999999999999</v>
          </cell>
          <cell r="L140">
            <v>0</v>
          </cell>
          <cell r="M140">
            <v>0</v>
          </cell>
          <cell r="N140">
            <v>0</v>
          </cell>
          <cell r="O140">
            <v>5420.6491823999995</v>
          </cell>
          <cell r="P140">
            <v>1053.0985000000001</v>
          </cell>
          <cell r="Q140">
            <v>989.21540000000005</v>
          </cell>
          <cell r="R140">
            <v>1365.27</v>
          </cell>
          <cell r="S140">
            <v>1802.5999999999997</v>
          </cell>
          <cell r="T140">
            <v>145.92099999999999</v>
          </cell>
          <cell r="U140">
            <v>213.53</v>
          </cell>
          <cell r="V140">
            <v>0</v>
          </cell>
          <cell r="W140">
            <v>43.75</v>
          </cell>
          <cell r="X140">
            <v>0</v>
          </cell>
          <cell r="Y140">
            <v>1066.3074999999999</v>
          </cell>
          <cell r="Z140">
            <v>974.11879999999996</v>
          </cell>
          <cell r="AA140">
            <v>1365.27</v>
          </cell>
          <cell r="AB140">
            <v>2301.2000000000003</v>
          </cell>
          <cell r="AC140">
            <v>226.18899999999999</v>
          </cell>
          <cell r="AD140">
            <v>200.03</v>
          </cell>
          <cell r="AE140">
            <v>0</v>
          </cell>
          <cell r="AF140">
            <v>134.79000000000002</v>
          </cell>
          <cell r="AG140">
            <v>0</v>
          </cell>
          <cell r="AH140">
            <v>790.75800000000004</v>
          </cell>
          <cell r="AI140">
            <v>1171.6848</v>
          </cell>
          <cell r="AJ140">
            <v>1365.27</v>
          </cell>
          <cell r="AK140">
            <v>2847.8</v>
          </cell>
          <cell r="AL140">
            <v>235.37300000000002</v>
          </cell>
          <cell r="AM140">
            <v>200.03</v>
          </cell>
          <cell r="AN140">
            <v>0</v>
          </cell>
          <cell r="AO140">
            <v>76.16</v>
          </cell>
          <cell r="AP140">
            <v>0</v>
          </cell>
          <cell r="AQ140">
            <v>1129.8865499999999</v>
          </cell>
          <cell r="AR140">
            <v>1556.1307999999999</v>
          </cell>
          <cell r="AS140">
            <v>1545.69</v>
          </cell>
          <cell r="AT140">
            <v>2329.4</v>
          </cell>
          <cell r="AU140">
            <v>365.63</v>
          </cell>
          <cell r="AV140">
            <v>164.10900000000001</v>
          </cell>
          <cell r="AW140">
            <v>0</v>
          </cell>
          <cell r="AX140">
            <v>0</v>
          </cell>
          <cell r="AY140">
            <v>0</v>
          </cell>
          <cell r="AZ140">
            <v>1415.23</v>
          </cell>
          <cell r="BA140">
            <v>1697.4190000000001</v>
          </cell>
          <cell r="BB140">
            <v>1582.56</v>
          </cell>
          <cell r="BC140">
            <v>2763.7999999999997</v>
          </cell>
          <cell r="BD140">
            <v>267.19099999999997</v>
          </cell>
          <cell r="BE140">
            <v>164.10900000000001</v>
          </cell>
          <cell r="BF140">
            <v>0</v>
          </cell>
          <cell r="BG140">
            <v>29.07</v>
          </cell>
          <cell r="BH140">
            <v>0</v>
          </cell>
          <cell r="BI140">
            <v>1151.8975500000001</v>
          </cell>
          <cell r="BJ140">
            <v>1686.7038</v>
          </cell>
          <cell r="BK140">
            <v>1404.9499999999998</v>
          </cell>
          <cell r="BL140">
            <v>2900.2999999999997</v>
          </cell>
          <cell r="BM140">
            <v>260.86599999999999</v>
          </cell>
          <cell r="BN140">
            <v>117.35899999999999</v>
          </cell>
          <cell r="BO140">
            <v>0</v>
          </cell>
          <cell r="BP140">
            <v>0</v>
          </cell>
          <cell r="BQ140">
            <v>0</v>
          </cell>
          <cell r="BR140">
            <v>930.42010000000005</v>
          </cell>
          <cell r="BS140">
            <v>1917.8159999999998</v>
          </cell>
          <cell r="BT140">
            <v>2150.84</v>
          </cell>
          <cell r="BU140">
            <v>2496.9</v>
          </cell>
          <cell r="BV140">
            <v>232.28399999999999</v>
          </cell>
          <cell r="BW140">
            <v>149.429</v>
          </cell>
          <cell r="BX140">
            <v>0</v>
          </cell>
          <cell r="BY140">
            <v>77.099999999999994</v>
          </cell>
          <cell r="BZ140">
            <v>0</v>
          </cell>
          <cell r="CA140">
            <v>869.00009999999997</v>
          </cell>
          <cell r="CB140">
            <v>1926.44</v>
          </cell>
          <cell r="CC140">
            <v>2045.83</v>
          </cell>
          <cell r="CD140">
            <v>2583.2000000000003</v>
          </cell>
          <cell r="CE140">
            <v>188.32499999999999</v>
          </cell>
          <cell r="CF140">
            <v>149.429</v>
          </cell>
          <cell r="CG140">
            <v>0</v>
          </cell>
          <cell r="CH140">
            <v>526.30999999999995</v>
          </cell>
          <cell r="CI140">
            <v>0</v>
          </cell>
          <cell r="CJ140">
            <v>784.96170000000006</v>
          </cell>
          <cell r="CK140">
            <v>1765.0714</v>
          </cell>
          <cell r="CL140">
            <v>1877.71</v>
          </cell>
          <cell r="CM140">
            <v>2950.9</v>
          </cell>
          <cell r="CN140">
            <v>185.29500000000002</v>
          </cell>
          <cell r="CO140">
            <v>103.809</v>
          </cell>
          <cell r="CP140">
            <v>0</v>
          </cell>
          <cell r="CQ140">
            <v>385.43999999999994</v>
          </cell>
          <cell r="CR140">
            <v>0</v>
          </cell>
          <cell r="CS140">
            <v>876.82389999999998</v>
          </cell>
          <cell r="CT140">
            <v>1792.1974</v>
          </cell>
          <cell r="CU140">
            <v>1602.1</v>
          </cell>
          <cell r="CV140">
            <v>2845.7000000000003</v>
          </cell>
          <cell r="CW140">
            <v>98.419999999999987</v>
          </cell>
          <cell r="CX140">
            <v>88.179000000000002</v>
          </cell>
          <cell r="CY140">
            <v>0</v>
          </cell>
          <cell r="CZ140">
            <v>279.54999999999995</v>
          </cell>
          <cell r="DA140">
            <v>0</v>
          </cell>
          <cell r="DB140">
            <v>912.81094999999993</v>
          </cell>
          <cell r="DC140">
            <v>1201.5596</v>
          </cell>
          <cell r="DD140">
            <v>1222.712</v>
          </cell>
          <cell r="DE140">
            <v>3467.5</v>
          </cell>
          <cell r="DF140">
            <v>111.80800000000001</v>
          </cell>
          <cell r="DG140">
            <v>25.989000000000001</v>
          </cell>
          <cell r="DH140">
            <v>0</v>
          </cell>
          <cell r="DI140">
            <v>146.30000000000001</v>
          </cell>
          <cell r="DJ140">
            <v>0</v>
          </cell>
          <cell r="DK140">
            <v>464.10465000000005</v>
          </cell>
          <cell r="DL140">
            <v>1009.4336</v>
          </cell>
          <cell r="DM140">
            <v>1028.9000000000001</v>
          </cell>
          <cell r="DN140">
            <v>3153.4999999999995</v>
          </cell>
          <cell r="DO140">
            <v>71.013999999999996</v>
          </cell>
          <cell r="DP140">
            <v>25.989000000000001</v>
          </cell>
          <cell r="DQ140">
            <v>0</v>
          </cell>
          <cell r="DR140">
            <v>49.78</v>
          </cell>
          <cell r="DS140">
            <v>0</v>
          </cell>
          <cell r="DT140">
            <v>637.73029999999994</v>
          </cell>
          <cell r="DU140">
            <v>998.58319999999992</v>
          </cell>
          <cell r="DV140">
            <v>1028.9000000000001</v>
          </cell>
          <cell r="DW140">
            <v>2203.6</v>
          </cell>
          <cell r="DX140">
            <v>5.22</v>
          </cell>
          <cell r="DY140">
            <v>25.988999999999997</v>
          </cell>
          <cell r="DZ140">
            <v>0</v>
          </cell>
          <cell r="EA140">
            <v>0</v>
          </cell>
          <cell r="EB140">
            <v>0</v>
          </cell>
          <cell r="EC140">
            <v>807.44365000000005</v>
          </cell>
          <cell r="ED140">
            <v>1006.3884</v>
          </cell>
          <cell r="EE140">
            <v>2026.29</v>
          </cell>
          <cell r="EF140">
            <v>2952.5000000000005</v>
          </cell>
          <cell r="EG140">
            <v>18.34</v>
          </cell>
          <cell r="EH140">
            <v>25.989000000000001</v>
          </cell>
          <cell r="EI140">
            <v>0</v>
          </cell>
          <cell r="EJ140">
            <v>0</v>
          </cell>
          <cell r="EK140">
            <v>0</v>
          </cell>
          <cell r="EL140">
            <v>1045.6883499999999</v>
          </cell>
          <cell r="EM140">
            <v>1006.721</v>
          </cell>
          <cell r="EN140">
            <v>2026.29</v>
          </cell>
          <cell r="EO140">
            <v>3426.2</v>
          </cell>
          <cell r="EP140">
            <v>156.398</v>
          </cell>
          <cell r="EQ140">
            <v>25.989000000000001</v>
          </cell>
          <cell r="ER140">
            <v>0</v>
          </cell>
          <cell r="ES140">
            <v>0</v>
          </cell>
          <cell r="ET140">
            <v>0</v>
          </cell>
          <cell r="EU140">
            <v>1046.40615</v>
          </cell>
          <cell r="EV140">
            <v>1183.3510000000001</v>
          </cell>
          <cell r="EW140">
            <v>2026.29</v>
          </cell>
          <cell r="EX140">
            <v>3554.5</v>
          </cell>
          <cell r="EY140">
            <v>184.142</v>
          </cell>
          <cell r="EZ140">
            <v>25.989000000000001</v>
          </cell>
          <cell r="FA140">
            <v>0</v>
          </cell>
          <cell r="FB140">
            <v>0</v>
          </cell>
          <cell r="FC140">
            <v>0</v>
          </cell>
          <cell r="FD140">
            <v>908.67674999999997</v>
          </cell>
          <cell r="FE140">
            <v>1236.864</v>
          </cell>
          <cell r="FF140">
            <v>1935.15</v>
          </cell>
          <cell r="FG140">
            <v>3058.4250000000002</v>
          </cell>
          <cell r="FH140">
            <v>148.845</v>
          </cell>
          <cell r="FI140">
            <v>0</v>
          </cell>
          <cell r="FJ140">
            <v>0</v>
          </cell>
          <cell r="FK140">
            <v>75</v>
          </cell>
          <cell r="FL140">
            <v>0</v>
          </cell>
          <cell r="FM140">
            <v>1148.1707299999998</v>
          </cell>
          <cell r="FN140">
            <v>944.53800000000001</v>
          </cell>
          <cell r="FO140">
            <v>1536</v>
          </cell>
          <cell r="FP140">
            <v>3311.0250499999997</v>
          </cell>
          <cell r="FQ140">
            <v>238.114</v>
          </cell>
          <cell r="FR140">
            <v>0</v>
          </cell>
          <cell r="FS140">
            <v>0</v>
          </cell>
          <cell r="FT140">
            <v>30.99</v>
          </cell>
          <cell r="FU140">
            <v>0</v>
          </cell>
          <cell r="FV140">
            <v>1201.7655800000002</v>
          </cell>
          <cell r="FW140">
            <v>956.23840000000007</v>
          </cell>
          <cell r="FX140">
            <v>1030.18</v>
          </cell>
          <cell r="FY140">
            <v>2948.8577214285715</v>
          </cell>
          <cell r="FZ140">
            <v>303.536</v>
          </cell>
          <cell r="GA140">
            <v>0</v>
          </cell>
          <cell r="GB140">
            <v>0</v>
          </cell>
          <cell r="GC140">
            <v>162.88</v>
          </cell>
          <cell r="GD140">
            <v>0</v>
          </cell>
          <cell r="GE140">
            <v>913.82229999999993</v>
          </cell>
          <cell r="GF140">
            <v>956.23840000000007</v>
          </cell>
          <cell r="GG140">
            <v>998.32999999999993</v>
          </cell>
          <cell r="GH140">
            <v>3951.9588142857147</v>
          </cell>
          <cell r="GI140">
            <v>346.11099999999999</v>
          </cell>
          <cell r="GJ140">
            <v>0</v>
          </cell>
          <cell r="GK140">
            <v>0</v>
          </cell>
          <cell r="GL140">
            <v>78.239999999999995</v>
          </cell>
          <cell r="GM140">
            <v>0</v>
          </cell>
          <cell r="GN140">
            <v>787.19499999999994</v>
          </cell>
          <cell r="GO140">
            <v>956.23840000000007</v>
          </cell>
          <cell r="GP140">
            <v>3192.94</v>
          </cell>
          <cell r="GQ140">
            <v>3809.4881892857147</v>
          </cell>
          <cell r="GR140">
            <v>269.35000000000002</v>
          </cell>
          <cell r="GS140">
            <v>0</v>
          </cell>
          <cell r="GT140">
            <v>0</v>
          </cell>
          <cell r="GU140">
            <v>158.6</v>
          </cell>
          <cell r="GV140">
            <v>0</v>
          </cell>
        </row>
        <row r="141">
          <cell r="A141" t="str">
            <v>DRUMS</v>
          </cell>
        </row>
        <row r="142">
          <cell r="A142">
            <v>121</v>
          </cell>
          <cell r="B142" t="str">
            <v>FG</v>
          </cell>
          <cell r="C142" t="str">
            <v>FM</v>
          </cell>
          <cell r="D142" t="str">
            <v>REFINED GLYCERINE-CP</v>
          </cell>
          <cell r="F142">
            <v>3</v>
          </cell>
          <cell r="H142">
            <v>0.09</v>
          </cell>
          <cell r="J142">
            <v>15</v>
          </cell>
          <cell r="O142">
            <v>18.09</v>
          </cell>
          <cell r="P142">
            <v>6.75</v>
          </cell>
          <cell r="R142">
            <v>0.33999999999999997</v>
          </cell>
          <cell r="T142">
            <v>17</v>
          </cell>
          <cell r="Y142">
            <v>5.25</v>
          </cell>
          <cell r="AA142">
            <v>0.33999999999999997</v>
          </cell>
          <cell r="AC142">
            <v>55</v>
          </cell>
          <cell r="AH142">
            <v>4</v>
          </cell>
          <cell r="AJ142">
            <v>0.33999999999999997</v>
          </cell>
          <cell r="AL142">
            <v>62</v>
          </cell>
          <cell r="AQ142">
            <v>1.25</v>
          </cell>
          <cell r="AS142">
            <v>0.33999999999999997</v>
          </cell>
          <cell r="AU142">
            <v>21.5</v>
          </cell>
          <cell r="AZ142">
            <v>1.25</v>
          </cell>
          <cell r="BB142">
            <v>0.33999999999999997</v>
          </cell>
          <cell r="BD142">
            <v>44.5</v>
          </cell>
          <cell r="BI142">
            <v>6.25</v>
          </cell>
          <cell r="BK142">
            <v>0.34</v>
          </cell>
          <cell r="BM142">
            <v>40.75</v>
          </cell>
          <cell r="BR142">
            <v>5.25</v>
          </cell>
          <cell r="BT142">
            <v>0.33999999999999997</v>
          </cell>
          <cell r="BV142">
            <v>59.25</v>
          </cell>
          <cell r="CA142">
            <v>13.25</v>
          </cell>
          <cell r="CC142">
            <v>0.33999999999999997</v>
          </cell>
          <cell r="CE142">
            <v>35</v>
          </cell>
          <cell r="CJ142">
            <v>9.75</v>
          </cell>
          <cell r="CL142">
            <v>0.33999999999999997</v>
          </cell>
          <cell r="CN142">
            <v>32.75</v>
          </cell>
          <cell r="CS142">
            <v>9.75</v>
          </cell>
          <cell r="CU142">
            <v>0.33999999999999997</v>
          </cell>
          <cell r="CW142">
            <v>34.75</v>
          </cell>
          <cell r="DB142">
            <v>13.75</v>
          </cell>
          <cell r="DD142">
            <v>0.33999999999999997</v>
          </cell>
          <cell r="DF142">
            <v>38.25</v>
          </cell>
          <cell r="DK142">
            <v>3</v>
          </cell>
          <cell r="DM142">
            <v>0.33999999999999997</v>
          </cell>
          <cell r="DO142">
            <v>37</v>
          </cell>
          <cell r="DT142">
            <v>6</v>
          </cell>
          <cell r="DV142">
            <v>0.33999999999999997</v>
          </cell>
          <cell r="EC142">
            <v>3</v>
          </cell>
          <cell r="EE142">
            <v>0.33999999999999997</v>
          </cell>
          <cell r="EL142">
            <v>2</v>
          </cell>
          <cell r="EN142">
            <v>0.33999999999999997</v>
          </cell>
          <cell r="EP142">
            <v>23.25</v>
          </cell>
          <cell r="EU142">
            <v>3.5</v>
          </cell>
          <cell r="EW142">
            <v>0.34</v>
          </cell>
          <cell r="EY142">
            <v>30.75</v>
          </cell>
          <cell r="FF142">
            <v>0.34</v>
          </cell>
          <cell r="FH142">
            <v>35.75</v>
          </cell>
          <cell r="FM142">
            <v>1</v>
          </cell>
          <cell r="FO142">
            <v>0.34</v>
          </cell>
          <cell r="FQ142">
            <v>24.5</v>
          </cell>
          <cell r="FV142">
            <v>13.5</v>
          </cell>
          <cell r="FX142">
            <v>0.34</v>
          </cell>
          <cell r="FZ142">
            <v>29</v>
          </cell>
          <cell r="GE142">
            <v>4.5</v>
          </cell>
          <cell r="GG142">
            <v>0.34</v>
          </cell>
          <cell r="GI142">
            <v>43</v>
          </cell>
          <cell r="GN142">
            <v>3.5</v>
          </cell>
          <cell r="GP142">
            <v>0.34</v>
          </cell>
          <cell r="GR142">
            <v>26.5</v>
          </cell>
        </row>
        <row r="143">
          <cell r="A143">
            <v>122</v>
          </cell>
          <cell r="B143" t="str">
            <v>FG</v>
          </cell>
          <cell r="C143" t="str">
            <v>FM</v>
          </cell>
          <cell r="D143" t="str">
            <v>REFINED GLYCERINE-IP</v>
          </cell>
          <cell r="F143">
            <v>10.5</v>
          </cell>
          <cell r="J143">
            <v>18.25</v>
          </cell>
          <cell r="O143">
            <v>28.75</v>
          </cell>
          <cell r="P143">
            <v>10.5</v>
          </cell>
          <cell r="T143">
            <v>5.25</v>
          </cell>
          <cell r="Y143">
            <v>10.25</v>
          </cell>
          <cell r="AC143">
            <v>37.25</v>
          </cell>
          <cell r="AH143">
            <v>7.25</v>
          </cell>
          <cell r="AL143">
            <v>87.5</v>
          </cell>
          <cell r="AQ143">
            <v>9</v>
          </cell>
          <cell r="AU143">
            <v>11.75</v>
          </cell>
          <cell r="AZ143">
            <v>7.5</v>
          </cell>
          <cell r="BD143">
            <v>62.75</v>
          </cell>
          <cell r="BI143">
            <v>1</v>
          </cell>
          <cell r="BM143">
            <v>19.5</v>
          </cell>
          <cell r="BR143">
            <v>9</v>
          </cell>
          <cell r="BV143">
            <v>23.5</v>
          </cell>
          <cell r="CA143">
            <v>9</v>
          </cell>
          <cell r="CE143">
            <v>44</v>
          </cell>
          <cell r="CJ143">
            <v>9</v>
          </cell>
          <cell r="CN143">
            <v>48.75</v>
          </cell>
          <cell r="CS143">
            <v>9</v>
          </cell>
          <cell r="CW143">
            <v>8.75</v>
          </cell>
          <cell r="DB143">
            <v>5.75</v>
          </cell>
          <cell r="DF143">
            <v>31.25</v>
          </cell>
          <cell r="DK143">
            <v>1.5</v>
          </cell>
          <cell r="DO143">
            <v>12</v>
          </cell>
          <cell r="DT143">
            <v>2.5</v>
          </cell>
          <cell r="EC143">
            <v>2.5</v>
          </cell>
          <cell r="EL143">
            <v>5</v>
          </cell>
          <cell r="EP143">
            <v>16</v>
          </cell>
          <cell r="EU143">
            <v>4</v>
          </cell>
          <cell r="FD143">
            <v>0.5</v>
          </cell>
          <cell r="FH143">
            <v>36.75</v>
          </cell>
          <cell r="FM143">
            <v>0.5</v>
          </cell>
          <cell r="FQ143">
            <v>42.75</v>
          </cell>
          <cell r="FV143">
            <v>0.5</v>
          </cell>
          <cell r="FZ143">
            <v>32.75</v>
          </cell>
          <cell r="GE143">
            <v>0.5</v>
          </cell>
          <cell r="GI143">
            <v>0.25</v>
          </cell>
          <cell r="GN143">
            <v>4</v>
          </cell>
          <cell r="GR143">
            <v>17.75</v>
          </cell>
        </row>
        <row r="144">
          <cell r="A144">
            <v>123</v>
          </cell>
          <cell r="B144" t="str">
            <v>FG</v>
          </cell>
          <cell r="C144" t="str">
            <v>FM</v>
          </cell>
          <cell r="D144" t="str">
            <v>REFINED GLYCERINE-USP</v>
          </cell>
          <cell r="O144">
            <v>0</v>
          </cell>
          <cell r="Y144">
            <v>20</v>
          </cell>
          <cell r="AQ144">
            <v>18</v>
          </cell>
          <cell r="AZ144">
            <v>18</v>
          </cell>
          <cell r="BI144">
            <v>18</v>
          </cell>
          <cell r="BR144">
            <v>38</v>
          </cell>
          <cell r="CA144">
            <v>19</v>
          </cell>
          <cell r="CJ144">
            <v>19</v>
          </cell>
          <cell r="CS144">
            <v>19</v>
          </cell>
          <cell r="DB144">
            <v>19</v>
          </cell>
          <cell r="DK144">
            <v>21</v>
          </cell>
          <cell r="DT144">
            <v>20</v>
          </cell>
          <cell r="EL144">
            <v>18</v>
          </cell>
          <cell r="GE144">
            <v>18</v>
          </cell>
        </row>
        <row r="145">
          <cell r="A145">
            <v>124</v>
          </cell>
          <cell r="B145" t="str">
            <v>FG</v>
          </cell>
          <cell r="C145" t="str">
            <v>FM</v>
          </cell>
          <cell r="D145" t="str">
            <v>REFINED GLYCERINE-JP</v>
          </cell>
          <cell r="O145">
            <v>0</v>
          </cell>
        </row>
        <row r="146">
          <cell r="A146">
            <v>125</v>
          </cell>
          <cell r="B146" t="str">
            <v>FG</v>
          </cell>
          <cell r="C146" t="str">
            <v>FM</v>
          </cell>
          <cell r="D146" t="str">
            <v>DPKO</v>
          </cell>
          <cell r="F146">
            <v>14.67</v>
          </cell>
          <cell r="O146">
            <v>14.67</v>
          </cell>
          <cell r="P146">
            <v>20.07</v>
          </cell>
          <cell r="Y146">
            <v>6.48</v>
          </cell>
          <cell r="AH146">
            <v>1.98</v>
          </cell>
          <cell r="AQ146">
            <v>11.88</v>
          </cell>
          <cell r="AZ146">
            <v>17.37</v>
          </cell>
          <cell r="BI146">
            <v>1.98</v>
          </cell>
          <cell r="BR146">
            <v>0.72</v>
          </cell>
          <cell r="CA146">
            <v>1.17</v>
          </cell>
          <cell r="CJ146">
            <v>1.17</v>
          </cell>
          <cell r="CS146">
            <v>1.17</v>
          </cell>
          <cell r="DB146">
            <v>0.72</v>
          </cell>
          <cell r="EC146">
            <v>4.95</v>
          </cell>
          <cell r="EL146">
            <v>10.8</v>
          </cell>
          <cell r="EU146">
            <v>5.22</v>
          </cell>
          <cell r="FD146">
            <v>9.4499999999999993</v>
          </cell>
          <cell r="FM146">
            <v>8.01</v>
          </cell>
          <cell r="FV146">
            <v>7.1099999999999994</v>
          </cell>
          <cell r="GN146">
            <v>5.22</v>
          </cell>
        </row>
        <row r="147">
          <cell r="A147">
            <v>126</v>
          </cell>
          <cell r="B147" t="str">
            <v>FG</v>
          </cell>
          <cell r="C147" t="str">
            <v>FM</v>
          </cell>
          <cell r="D147" t="str">
            <v>C6&gt;98%</v>
          </cell>
          <cell r="F147">
            <v>0.18</v>
          </cell>
          <cell r="H147">
            <v>0.89999999999999991</v>
          </cell>
          <cell r="O147">
            <v>1.0799999999999998</v>
          </cell>
          <cell r="P147">
            <v>0.18</v>
          </cell>
          <cell r="R147">
            <v>0.89999999999999991</v>
          </cell>
          <cell r="Y147">
            <v>57.78</v>
          </cell>
          <cell r="AA147">
            <v>0.89999999999999991</v>
          </cell>
          <cell r="AH147">
            <v>0.18</v>
          </cell>
          <cell r="AJ147">
            <v>0.89999999999999991</v>
          </cell>
          <cell r="AQ147">
            <v>0.18</v>
          </cell>
          <cell r="AS147">
            <v>0.89999999999999991</v>
          </cell>
          <cell r="AZ147">
            <v>57.78</v>
          </cell>
          <cell r="BB147">
            <v>0.89999999999999991</v>
          </cell>
          <cell r="BI147">
            <v>0.18</v>
          </cell>
          <cell r="BK147">
            <v>0.9</v>
          </cell>
          <cell r="BR147">
            <v>0.18</v>
          </cell>
          <cell r="BT147">
            <v>0.89999999999999991</v>
          </cell>
          <cell r="CA147">
            <v>0.18</v>
          </cell>
          <cell r="CC147">
            <v>0.89999999999999991</v>
          </cell>
          <cell r="CL147">
            <v>0.89999999999999991</v>
          </cell>
          <cell r="CS147">
            <v>0.18</v>
          </cell>
          <cell r="CU147">
            <v>0.89999999999999991</v>
          </cell>
          <cell r="DD147">
            <v>0.89999999999999991</v>
          </cell>
          <cell r="DK147">
            <v>0.18</v>
          </cell>
          <cell r="DM147">
            <v>0.89999999999999991</v>
          </cell>
          <cell r="DT147">
            <v>0.18</v>
          </cell>
          <cell r="DV147">
            <v>1.0799999999999998</v>
          </cell>
          <cell r="EC147">
            <v>0.18</v>
          </cell>
          <cell r="EE147">
            <v>0.89999999999999991</v>
          </cell>
          <cell r="EL147">
            <v>0.18</v>
          </cell>
          <cell r="EN147">
            <v>0.89999999999999991</v>
          </cell>
          <cell r="EU147">
            <v>0.18</v>
          </cell>
          <cell r="EW147">
            <v>0.9</v>
          </cell>
          <cell r="FD147">
            <v>0.18</v>
          </cell>
          <cell r="FF147">
            <v>0.9</v>
          </cell>
          <cell r="FM147">
            <v>0.18</v>
          </cell>
          <cell r="FO147">
            <v>0.9</v>
          </cell>
          <cell r="FV147">
            <v>0.18</v>
          </cell>
          <cell r="FX147">
            <v>0.9</v>
          </cell>
          <cell r="GE147">
            <v>0.18</v>
          </cell>
          <cell r="GG147">
            <v>0.9</v>
          </cell>
          <cell r="GN147">
            <v>57.78</v>
          </cell>
          <cell r="GP147">
            <v>0.9</v>
          </cell>
        </row>
        <row r="148">
          <cell r="A148">
            <v>127</v>
          </cell>
          <cell r="B148" t="str">
            <v>FG</v>
          </cell>
          <cell r="C148" t="str">
            <v>FM</v>
          </cell>
          <cell r="D148" t="str">
            <v>C8&gt;98%</v>
          </cell>
          <cell r="F148">
            <v>20.88</v>
          </cell>
          <cell r="H148">
            <v>7.2</v>
          </cell>
          <cell r="O148">
            <v>28.08</v>
          </cell>
          <cell r="P148">
            <v>21.24</v>
          </cell>
          <cell r="R148">
            <v>7.2</v>
          </cell>
          <cell r="Y148">
            <v>21.24</v>
          </cell>
          <cell r="AA148">
            <v>7.2</v>
          </cell>
          <cell r="AH148">
            <v>20.88</v>
          </cell>
          <cell r="AJ148">
            <v>7.02</v>
          </cell>
          <cell r="AQ148">
            <v>18.899999999999999</v>
          </cell>
          <cell r="AS148">
            <v>7.02</v>
          </cell>
          <cell r="AZ148">
            <v>18.899999999999999</v>
          </cell>
          <cell r="BB148">
            <v>7.02</v>
          </cell>
          <cell r="BI148">
            <v>18.72</v>
          </cell>
          <cell r="BK148">
            <v>7.02</v>
          </cell>
          <cell r="BR148">
            <v>18.54</v>
          </cell>
          <cell r="BT148">
            <v>7.02</v>
          </cell>
          <cell r="CA148">
            <v>6.66</v>
          </cell>
          <cell r="CC148">
            <v>7.02</v>
          </cell>
          <cell r="CJ148">
            <v>18.36</v>
          </cell>
          <cell r="CL148">
            <v>7.02</v>
          </cell>
          <cell r="CS148">
            <v>18.36</v>
          </cell>
          <cell r="DB148">
            <v>18</v>
          </cell>
          <cell r="DD148">
            <v>7.02</v>
          </cell>
          <cell r="DK148">
            <v>16.38</v>
          </cell>
          <cell r="DM148">
            <v>7.02</v>
          </cell>
          <cell r="DT148">
            <v>16.2</v>
          </cell>
          <cell r="DV148">
            <v>7.02</v>
          </cell>
          <cell r="EC148">
            <v>16.02</v>
          </cell>
          <cell r="EE148">
            <v>7.02</v>
          </cell>
          <cell r="EL148">
            <v>16.02</v>
          </cell>
          <cell r="EN148">
            <v>7.02</v>
          </cell>
          <cell r="EW148">
            <v>7.02</v>
          </cell>
          <cell r="FD148">
            <v>3.96</v>
          </cell>
          <cell r="FF148">
            <v>7.02</v>
          </cell>
          <cell r="FM148">
            <v>3.42</v>
          </cell>
          <cell r="FO148">
            <v>7.02</v>
          </cell>
          <cell r="FV148">
            <v>3.42</v>
          </cell>
          <cell r="FX148">
            <v>7.02</v>
          </cell>
          <cell r="GE148">
            <v>3.42</v>
          </cell>
          <cell r="GG148">
            <v>7.02</v>
          </cell>
          <cell r="GN148">
            <v>2.88</v>
          </cell>
          <cell r="GP148">
            <v>7.02</v>
          </cell>
        </row>
        <row r="149">
          <cell r="A149">
            <v>128</v>
          </cell>
          <cell r="B149" t="str">
            <v>FG</v>
          </cell>
          <cell r="C149" t="str">
            <v>FM</v>
          </cell>
          <cell r="D149" t="str">
            <v>C10&gt;98%</v>
          </cell>
          <cell r="F149">
            <v>1.44</v>
          </cell>
          <cell r="H149">
            <v>0.18</v>
          </cell>
          <cell r="O149">
            <v>1.6199999999999999</v>
          </cell>
          <cell r="P149">
            <v>1.44</v>
          </cell>
          <cell r="R149">
            <v>0.18</v>
          </cell>
          <cell r="Y149">
            <v>1.44</v>
          </cell>
          <cell r="AA149">
            <v>0.18</v>
          </cell>
          <cell r="AH149">
            <v>1.44</v>
          </cell>
          <cell r="AJ149">
            <v>0.18</v>
          </cell>
          <cell r="AQ149">
            <v>0.36</v>
          </cell>
          <cell r="AS149">
            <v>0.18</v>
          </cell>
          <cell r="AZ149">
            <v>0.36</v>
          </cell>
          <cell r="BB149">
            <v>0.18</v>
          </cell>
          <cell r="BI149">
            <v>0.36</v>
          </cell>
          <cell r="BK149">
            <v>0.18</v>
          </cell>
          <cell r="BR149">
            <v>0.36</v>
          </cell>
          <cell r="BT149">
            <v>0.18</v>
          </cell>
          <cell r="CA149">
            <v>0.36</v>
          </cell>
          <cell r="CC149">
            <v>0.18</v>
          </cell>
          <cell r="CJ149">
            <v>0.36</v>
          </cell>
          <cell r="CL149">
            <v>0.18</v>
          </cell>
          <cell r="CS149">
            <v>0.36</v>
          </cell>
          <cell r="CU149">
            <v>0.18</v>
          </cell>
          <cell r="DB149">
            <v>0.18</v>
          </cell>
          <cell r="DD149">
            <v>0.18</v>
          </cell>
          <cell r="DK149">
            <v>0.18</v>
          </cell>
          <cell r="DM149">
            <v>0.18</v>
          </cell>
          <cell r="DT149">
            <v>0.18</v>
          </cell>
          <cell r="EC149">
            <v>0.18</v>
          </cell>
          <cell r="EE149">
            <v>0.18</v>
          </cell>
          <cell r="EL149">
            <v>0.18</v>
          </cell>
          <cell r="EN149">
            <v>0.18</v>
          </cell>
          <cell r="EW149">
            <v>0.18</v>
          </cell>
          <cell r="FF149">
            <v>0.18</v>
          </cell>
          <cell r="FO149">
            <v>0.18</v>
          </cell>
          <cell r="FX149">
            <v>0.18</v>
          </cell>
          <cell r="GG149">
            <v>0.18</v>
          </cell>
          <cell r="GP149">
            <v>0.18</v>
          </cell>
        </row>
        <row r="150">
          <cell r="A150">
            <v>129</v>
          </cell>
          <cell r="B150" t="str">
            <v>FG</v>
          </cell>
          <cell r="C150" t="str">
            <v>FM</v>
          </cell>
          <cell r="D150" t="str">
            <v>C8+C10&gt;98%</v>
          </cell>
          <cell r="F150">
            <v>4.5</v>
          </cell>
          <cell r="H150">
            <v>3.78</v>
          </cell>
          <cell r="O150">
            <v>8.2799999999999994</v>
          </cell>
          <cell r="P150">
            <v>4.5</v>
          </cell>
          <cell r="R150">
            <v>4.7050000000000001</v>
          </cell>
          <cell r="Y150">
            <v>4.5</v>
          </cell>
          <cell r="AA150">
            <v>4.7050000000000001</v>
          </cell>
          <cell r="AH150">
            <v>5.4</v>
          </cell>
          <cell r="AJ150">
            <v>4.7050000000000001</v>
          </cell>
          <cell r="AQ150">
            <v>5.4</v>
          </cell>
          <cell r="AS150">
            <v>4.7050000000000001</v>
          </cell>
          <cell r="AZ150">
            <v>5.4</v>
          </cell>
          <cell r="BB150">
            <v>4.7050000000000001</v>
          </cell>
          <cell r="BI150">
            <v>5.4</v>
          </cell>
          <cell r="BK150">
            <v>4.7050000000000001</v>
          </cell>
          <cell r="BR150">
            <v>4.5</v>
          </cell>
          <cell r="BT150">
            <v>4.7050000000000001</v>
          </cell>
          <cell r="CA150">
            <v>4.5</v>
          </cell>
          <cell r="CC150">
            <v>4.7050000000000001</v>
          </cell>
          <cell r="CJ150">
            <v>4.5</v>
          </cell>
          <cell r="CL150">
            <v>4.7050000000000001</v>
          </cell>
          <cell r="CS150">
            <v>4.5</v>
          </cell>
          <cell r="CU150">
            <v>11.725</v>
          </cell>
          <cell r="DB150">
            <v>4.5</v>
          </cell>
          <cell r="DD150">
            <v>4.7050000000000001</v>
          </cell>
          <cell r="DK150">
            <v>4.5</v>
          </cell>
          <cell r="DM150">
            <v>4.7050000000000001</v>
          </cell>
          <cell r="DT150">
            <v>4.5</v>
          </cell>
          <cell r="DV150">
            <v>4.7050000000000001</v>
          </cell>
          <cell r="EC150">
            <v>4.5</v>
          </cell>
          <cell r="EE150">
            <v>4.7050000000000001</v>
          </cell>
          <cell r="EL150">
            <v>4.5</v>
          </cell>
          <cell r="EN150">
            <v>4.7050000000000001</v>
          </cell>
          <cell r="EU150">
            <v>1.62</v>
          </cell>
          <cell r="EW150">
            <v>4.7050000000000001</v>
          </cell>
          <cell r="FD150">
            <v>2.7</v>
          </cell>
          <cell r="FF150">
            <v>4.7050000000000001</v>
          </cell>
          <cell r="FM150">
            <v>2.7</v>
          </cell>
          <cell r="FO150">
            <v>3.7749999999999999</v>
          </cell>
          <cell r="FV150">
            <v>2.6999999999999997</v>
          </cell>
          <cell r="FX150">
            <v>3.7749999999999999</v>
          </cell>
          <cell r="GE150">
            <v>2.52</v>
          </cell>
          <cell r="GG150">
            <v>4.7050000000000001</v>
          </cell>
          <cell r="GN150">
            <v>1.62</v>
          </cell>
          <cell r="GP150">
            <v>3.7749999999999999</v>
          </cell>
        </row>
        <row r="151">
          <cell r="A151">
            <v>130</v>
          </cell>
          <cell r="B151" t="str">
            <v>FG</v>
          </cell>
          <cell r="C151" t="str">
            <v>FM</v>
          </cell>
          <cell r="D151" t="str">
            <v>OLEIC-15</v>
          </cell>
          <cell r="F151">
            <v>7.74</v>
          </cell>
          <cell r="H151">
            <v>0.185</v>
          </cell>
          <cell r="O151">
            <v>7.9249999999999998</v>
          </cell>
          <cell r="R151">
            <v>0.45999999999999996</v>
          </cell>
          <cell r="AA151">
            <v>0.64500000000000002</v>
          </cell>
          <cell r="AH151">
            <v>8.01</v>
          </cell>
          <cell r="AJ151">
            <v>0.45999999999999996</v>
          </cell>
          <cell r="AQ151">
            <v>8.01</v>
          </cell>
          <cell r="AS151">
            <v>0.45999999999999996</v>
          </cell>
          <cell r="AZ151">
            <v>8.01</v>
          </cell>
          <cell r="BB151">
            <v>0.45999999999999996</v>
          </cell>
          <cell r="BI151">
            <v>17.37</v>
          </cell>
          <cell r="BK151">
            <v>0.46</v>
          </cell>
          <cell r="BR151">
            <v>11.79</v>
          </cell>
          <cell r="BT151">
            <v>0.45999999999999996</v>
          </cell>
          <cell r="CA151">
            <v>7.83</v>
          </cell>
          <cell r="CC151">
            <v>0.45999999999999996</v>
          </cell>
          <cell r="CJ151">
            <v>6.75</v>
          </cell>
          <cell r="CL151">
            <v>0.45999999999999996</v>
          </cell>
          <cell r="CS151">
            <v>5.31</v>
          </cell>
          <cell r="CU151">
            <v>0.45999999999999996</v>
          </cell>
          <cell r="DB151">
            <v>2.16</v>
          </cell>
          <cell r="DD151">
            <v>0.45999999999999996</v>
          </cell>
          <cell r="DK151">
            <v>0.45</v>
          </cell>
          <cell r="DM151">
            <v>0.45999999999999996</v>
          </cell>
          <cell r="DV151">
            <v>0.45999999999999996</v>
          </cell>
          <cell r="EE151">
            <v>0.45999999999999996</v>
          </cell>
          <cell r="EN151">
            <v>0.45999999999999996</v>
          </cell>
          <cell r="EO151">
            <v>2.79</v>
          </cell>
          <cell r="EW151">
            <v>0.46</v>
          </cell>
          <cell r="FF151">
            <v>0.46</v>
          </cell>
          <cell r="FG151">
            <v>1.53</v>
          </cell>
          <cell r="FO151">
            <v>0.185</v>
          </cell>
          <cell r="FP151">
            <v>0.54</v>
          </cell>
          <cell r="FX151">
            <v>0.185</v>
          </cell>
          <cell r="FY151">
            <v>9.9</v>
          </cell>
          <cell r="GG151">
            <v>0.45999999999999996</v>
          </cell>
          <cell r="GH151">
            <v>8.64</v>
          </cell>
          <cell r="GP151">
            <v>0.185</v>
          </cell>
          <cell r="GQ151">
            <v>123.57</v>
          </cell>
        </row>
        <row r="152">
          <cell r="A152">
            <v>131</v>
          </cell>
          <cell r="B152" t="str">
            <v>FG</v>
          </cell>
          <cell r="C152" t="str">
            <v>NM</v>
          </cell>
          <cell r="D152" t="str">
            <v>OLEIC-20</v>
          </cell>
          <cell r="H152">
            <v>0.09</v>
          </cell>
          <cell r="O152">
            <v>0.09</v>
          </cell>
          <cell r="R152">
            <v>0.09</v>
          </cell>
          <cell r="AA152">
            <v>0.09</v>
          </cell>
          <cell r="AJ152">
            <v>0.09</v>
          </cell>
          <cell r="AS152">
            <v>0.09</v>
          </cell>
          <cell r="BB152">
            <v>0.09</v>
          </cell>
          <cell r="BK152">
            <v>0.09</v>
          </cell>
          <cell r="BT152">
            <v>0.09</v>
          </cell>
          <cell r="CC152">
            <v>0.09</v>
          </cell>
          <cell r="CL152">
            <v>0.09</v>
          </cell>
          <cell r="CU152">
            <v>0.09</v>
          </cell>
          <cell r="DD152">
            <v>0.09</v>
          </cell>
          <cell r="DM152">
            <v>0.09</v>
          </cell>
          <cell r="DV152">
            <v>0.09</v>
          </cell>
          <cell r="EE152">
            <v>0.09</v>
          </cell>
          <cell r="EN152">
            <v>0.09</v>
          </cell>
          <cell r="EW152">
            <v>0.09</v>
          </cell>
          <cell r="FF152">
            <v>0.09</v>
          </cell>
          <cell r="FO152">
            <v>0.09</v>
          </cell>
          <cell r="FX152">
            <v>0.09</v>
          </cell>
          <cell r="GG152">
            <v>0.09</v>
          </cell>
          <cell r="GP152">
            <v>0.09</v>
          </cell>
        </row>
        <row r="153">
          <cell r="A153">
            <v>132</v>
          </cell>
          <cell r="B153" t="str">
            <v>FG</v>
          </cell>
          <cell r="C153" t="str">
            <v>NM</v>
          </cell>
          <cell r="D153" t="str">
            <v>OLEIC-26</v>
          </cell>
          <cell r="H153">
            <v>0.63</v>
          </cell>
          <cell r="O153">
            <v>0.63</v>
          </cell>
          <cell r="FO153">
            <v>0.63</v>
          </cell>
          <cell r="GP153">
            <v>0.63</v>
          </cell>
        </row>
        <row r="154">
          <cell r="A154">
            <v>133</v>
          </cell>
          <cell r="B154" t="str">
            <v>FG</v>
          </cell>
          <cell r="C154" t="str">
            <v>NM</v>
          </cell>
          <cell r="D154" t="str">
            <v>OLEIC-29</v>
          </cell>
          <cell r="H154">
            <v>0.18</v>
          </cell>
          <cell r="O154">
            <v>0.18</v>
          </cell>
          <cell r="R154">
            <v>0.2</v>
          </cell>
          <cell r="AA154">
            <v>0.2</v>
          </cell>
          <cell r="AJ154">
            <v>0.2</v>
          </cell>
          <cell r="AS154">
            <v>0.2</v>
          </cell>
          <cell r="BB154">
            <v>0.2</v>
          </cell>
          <cell r="BK154">
            <v>0.2</v>
          </cell>
          <cell r="BT154">
            <v>0.2</v>
          </cell>
          <cell r="CC154">
            <v>0.2</v>
          </cell>
          <cell r="CL154">
            <v>0.2</v>
          </cell>
          <cell r="CU154">
            <v>0.2</v>
          </cell>
          <cell r="DD154">
            <v>0.2</v>
          </cell>
          <cell r="DM154">
            <v>0.2</v>
          </cell>
          <cell r="DV154">
            <v>0.2</v>
          </cell>
          <cell r="EE154">
            <v>0.2</v>
          </cell>
          <cell r="EN154">
            <v>0.2</v>
          </cell>
          <cell r="EW154">
            <v>0.2</v>
          </cell>
          <cell r="FF154">
            <v>0.2</v>
          </cell>
          <cell r="FO154">
            <v>0.18</v>
          </cell>
          <cell r="FX154">
            <v>0.18</v>
          </cell>
          <cell r="GG154">
            <v>0.2</v>
          </cell>
          <cell r="GP154">
            <v>0.18</v>
          </cell>
        </row>
        <row r="155">
          <cell r="A155">
            <v>134</v>
          </cell>
          <cell r="B155" t="str">
            <v>FG</v>
          </cell>
          <cell r="C155" t="str">
            <v>FM</v>
          </cell>
          <cell r="D155" t="str">
            <v>OLEIC-K</v>
          </cell>
          <cell r="F155">
            <v>1.98</v>
          </cell>
          <cell r="H155">
            <v>4.335</v>
          </cell>
          <cell r="O155">
            <v>6.3149999999999995</v>
          </cell>
          <cell r="P155">
            <v>3.78</v>
          </cell>
          <cell r="R155">
            <v>4.6899999999999995</v>
          </cell>
          <cell r="Y155">
            <v>5.76</v>
          </cell>
          <cell r="AA155">
            <v>4.5999999999999996</v>
          </cell>
          <cell r="AH155">
            <v>5.76</v>
          </cell>
          <cell r="AJ155">
            <v>4.6050000000000004</v>
          </cell>
          <cell r="AQ155">
            <v>4.8600000000000003</v>
          </cell>
          <cell r="AS155">
            <v>5.7750000000000004</v>
          </cell>
          <cell r="AZ155">
            <v>4.8600000000000003</v>
          </cell>
          <cell r="BB155">
            <v>4.6050000000000004</v>
          </cell>
          <cell r="BI155">
            <v>4.8600000000000003</v>
          </cell>
          <cell r="BK155">
            <v>4.6050000000000004</v>
          </cell>
          <cell r="BR155">
            <v>4.8600000000000003</v>
          </cell>
          <cell r="BT155">
            <v>4.6050000000000004</v>
          </cell>
          <cell r="CA155">
            <v>4.8600000000000003</v>
          </cell>
          <cell r="CC155">
            <v>4.6050000000000004</v>
          </cell>
          <cell r="CJ155">
            <v>4.8600000000000003</v>
          </cell>
          <cell r="CL155">
            <v>4.6050000000000004</v>
          </cell>
          <cell r="CS155">
            <v>4.8600000000000003</v>
          </cell>
          <cell r="CU155">
            <v>4.6050000000000004</v>
          </cell>
          <cell r="DB155">
            <v>12.06</v>
          </cell>
          <cell r="DD155">
            <v>4.6050000000000004</v>
          </cell>
          <cell r="DK155">
            <v>7.2</v>
          </cell>
          <cell r="DM155">
            <v>4.6050000000000004</v>
          </cell>
          <cell r="DT155">
            <v>4.8600000000000003</v>
          </cell>
          <cell r="DV155">
            <v>4.6050000000000004</v>
          </cell>
          <cell r="EC155">
            <v>4.32</v>
          </cell>
          <cell r="EE155">
            <v>4.6050000000000004</v>
          </cell>
          <cell r="EL155">
            <v>3.24</v>
          </cell>
          <cell r="EN155">
            <v>4.6050000000000004</v>
          </cell>
          <cell r="EU155">
            <v>2.34</v>
          </cell>
          <cell r="EW155">
            <v>4.6050000000000004</v>
          </cell>
          <cell r="FD155">
            <v>2.52</v>
          </cell>
          <cell r="FF155">
            <v>4.6050000000000004</v>
          </cell>
          <cell r="FM155">
            <v>1.62</v>
          </cell>
          <cell r="FO155">
            <v>4.0650000000000004</v>
          </cell>
          <cell r="FV155">
            <v>1.6199999999999999</v>
          </cell>
          <cell r="FX155">
            <v>4.0650000000000004</v>
          </cell>
          <cell r="GE155">
            <v>2.52</v>
          </cell>
          <cell r="GG155">
            <v>4.6050000000000004</v>
          </cell>
          <cell r="GN155">
            <v>2.16</v>
          </cell>
          <cell r="GP155">
            <v>4.0650000000000004</v>
          </cell>
        </row>
        <row r="156">
          <cell r="A156">
            <v>135</v>
          </cell>
          <cell r="B156" t="str">
            <v>FG</v>
          </cell>
          <cell r="C156" t="str">
            <v>NM</v>
          </cell>
          <cell r="D156" t="str">
            <v>OLEIC-70</v>
          </cell>
          <cell r="H156">
            <v>0.185</v>
          </cell>
          <cell r="O156">
            <v>0.185</v>
          </cell>
          <cell r="R156">
            <v>0.185</v>
          </cell>
          <cell r="AJ156">
            <v>0.185</v>
          </cell>
          <cell r="AS156">
            <v>0.185</v>
          </cell>
          <cell r="BB156">
            <v>0.185</v>
          </cell>
          <cell r="BK156">
            <v>0.185</v>
          </cell>
          <cell r="BT156">
            <v>0.185</v>
          </cell>
          <cell r="CC156">
            <v>0.185</v>
          </cell>
          <cell r="CL156">
            <v>0.185</v>
          </cell>
          <cell r="CU156">
            <v>0.185</v>
          </cell>
          <cell r="DD156">
            <v>0.185</v>
          </cell>
          <cell r="DM156">
            <v>0.185</v>
          </cell>
          <cell r="DV156">
            <v>0.185</v>
          </cell>
          <cell r="EE156">
            <v>0.185</v>
          </cell>
          <cell r="EN156">
            <v>0.185</v>
          </cell>
          <cell r="EW156">
            <v>0.185</v>
          </cell>
          <cell r="FF156">
            <v>0.185</v>
          </cell>
          <cell r="FO156">
            <v>0.185</v>
          </cell>
          <cell r="FX156">
            <v>0.185</v>
          </cell>
          <cell r="GG156">
            <v>0.185</v>
          </cell>
          <cell r="GP156">
            <v>0.185</v>
          </cell>
        </row>
        <row r="157">
          <cell r="A157">
            <v>136</v>
          </cell>
          <cell r="B157" t="str">
            <v>FG</v>
          </cell>
          <cell r="C157" t="str">
            <v>FM</v>
          </cell>
          <cell r="D157" t="str">
            <v>C22:1&gt;90</v>
          </cell>
          <cell r="F157">
            <v>0.18</v>
          </cell>
          <cell r="O157">
            <v>0.18</v>
          </cell>
          <cell r="P157">
            <v>0.18</v>
          </cell>
          <cell r="Y157">
            <v>0.36</v>
          </cell>
          <cell r="AH157">
            <v>0.36</v>
          </cell>
          <cell r="AQ157">
            <v>0.36</v>
          </cell>
          <cell r="AZ157">
            <v>0.36</v>
          </cell>
          <cell r="BI157">
            <v>0.18</v>
          </cell>
          <cell r="BR157">
            <v>0.18</v>
          </cell>
          <cell r="CA157">
            <v>0.18</v>
          </cell>
          <cell r="CJ157">
            <v>0.18</v>
          </cell>
          <cell r="CS157">
            <v>0.18</v>
          </cell>
          <cell r="DB157">
            <v>0.18</v>
          </cell>
          <cell r="DK157">
            <v>0.18</v>
          </cell>
          <cell r="DT157">
            <v>0.18</v>
          </cell>
          <cell r="EC157">
            <v>0.18</v>
          </cell>
          <cell r="EF157">
            <v>6.48</v>
          </cell>
          <cell r="EL157">
            <v>0.18</v>
          </cell>
          <cell r="EU157">
            <v>0.18</v>
          </cell>
          <cell r="FD157">
            <v>0.36</v>
          </cell>
          <cell r="FM157">
            <v>0.18</v>
          </cell>
          <cell r="FP157">
            <v>22.68</v>
          </cell>
          <cell r="FV157">
            <v>0.18</v>
          </cell>
          <cell r="FY157">
            <v>8.2799999999999994</v>
          </cell>
          <cell r="GE157">
            <v>0.18</v>
          </cell>
          <cell r="GH157">
            <v>8.2799999999999994</v>
          </cell>
          <cell r="GN157">
            <v>0.18</v>
          </cell>
          <cell r="GQ157">
            <v>8.2799999999999994</v>
          </cell>
        </row>
        <row r="158">
          <cell r="A158">
            <v>137</v>
          </cell>
          <cell r="B158" t="str">
            <v>FG</v>
          </cell>
          <cell r="C158" t="str">
            <v>NM</v>
          </cell>
          <cell r="D158" t="str">
            <v>DCPS</v>
          </cell>
          <cell r="O158">
            <v>0</v>
          </cell>
        </row>
        <row r="159">
          <cell r="A159">
            <v>138</v>
          </cell>
          <cell r="B159" t="str">
            <v>FG</v>
          </cell>
          <cell r="C159" t="str">
            <v>NM</v>
          </cell>
          <cell r="D159" t="str">
            <v>DFA C12/C14</v>
          </cell>
          <cell r="O159">
            <v>0</v>
          </cell>
        </row>
        <row r="160">
          <cell r="A160">
            <v>139</v>
          </cell>
          <cell r="B160" t="str">
            <v>FG</v>
          </cell>
          <cell r="C160" t="str">
            <v>NM</v>
          </cell>
          <cell r="D160" t="str">
            <v>OLEIC-IG</v>
          </cell>
          <cell r="F160">
            <v>7.56</v>
          </cell>
          <cell r="O160">
            <v>7.56</v>
          </cell>
          <cell r="P160">
            <v>7.56</v>
          </cell>
          <cell r="Y160">
            <v>7.56</v>
          </cell>
          <cell r="AH160">
            <v>7.56</v>
          </cell>
          <cell r="AQ160">
            <v>9</v>
          </cell>
          <cell r="AZ160">
            <v>9</v>
          </cell>
          <cell r="BI160">
            <v>9</v>
          </cell>
          <cell r="BR160">
            <v>9</v>
          </cell>
          <cell r="CA160">
            <v>9</v>
          </cell>
          <cell r="CJ160">
            <v>9</v>
          </cell>
          <cell r="CS160">
            <v>9</v>
          </cell>
          <cell r="GH160">
            <v>8.19</v>
          </cell>
          <cell r="GQ160">
            <v>8.19</v>
          </cell>
        </row>
        <row r="161">
          <cell r="A161">
            <v>140</v>
          </cell>
          <cell r="B161" t="str">
            <v>FG</v>
          </cell>
          <cell r="C161" t="str">
            <v>NM</v>
          </cell>
          <cell r="D161" t="str">
            <v>Vegarol 1214</v>
          </cell>
          <cell r="O161">
            <v>0</v>
          </cell>
          <cell r="AT161">
            <v>1.53</v>
          </cell>
          <cell r="BC161">
            <v>1.53</v>
          </cell>
          <cell r="BU161">
            <v>1.36</v>
          </cell>
          <cell r="CD161">
            <v>1.02</v>
          </cell>
          <cell r="CM161">
            <v>1.02</v>
          </cell>
          <cell r="CV161">
            <v>0.68</v>
          </cell>
          <cell r="DE161">
            <v>14.96</v>
          </cell>
          <cell r="DN161">
            <v>14.96</v>
          </cell>
          <cell r="DW161">
            <v>13.6</v>
          </cell>
          <cell r="EF161">
            <v>13.6</v>
          </cell>
          <cell r="EO161">
            <v>11.22</v>
          </cell>
          <cell r="FG161">
            <v>5.95</v>
          </cell>
          <cell r="FP161">
            <v>22.1</v>
          </cell>
          <cell r="FY161">
            <v>22.1</v>
          </cell>
          <cell r="GH161">
            <v>30.6</v>
          </cell>
          <cell r="GQ161">
            <v>15.81</v>
          </cell>
        </row>
        <row r="162">
          <cell r="A162">
            <v>255</v>
          </cell>
          <cell r="B162" t="str">
            <v>FG</v>
          </cell>
          <cell r="C162" t="str">
            <v>NM</v>
          </cell>
          <cell r="D162" t="str">
            <v>Vegarol 10</v>
          </cell>
          <cell r="GH162">
            <v>14.28</v>
          </cell>
          <cell r="GQ162">
            <v>14.28</v>
          </cell>
        </row>
        <row r="163">
          <cell r="F163">
            <v>72.63000000000001</v>
          </cell>
          <cell r="G163">
            <v>0</v>
          </cell>
          <cell r="H163">
            <v>17.754999999999999</v>
          </cell>
          <cell r="I163">
            <v>0</v>
          </cell>
          <cell r="J163">
            <v>33.25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123.63500000000002</v>
          </cell>
          <cell r="P163">
            <v>76.2</v>
          </cell>
          <cell r="Q163">
            <v>0</v>
          </cell>
          <cell r="R163">
            <v>18.95</v>
          </cell>
          <cell r="S163">
            <v>0</v>
          </cell>
          <cell r="T163">
            <v>22.25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140.62</v>
          </cell>
          <cell r="Z163">
            <v>0</v>
          </cell>
          <cell r="AA163">
            <v>18.86</v>
          </cell>
          <cell r="AB163">
            <v>0</v>
          </cell>
          <cell r="AC163">
            <v>92.25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62.819999999999993</v>
          </cell>
          <cell r="AI163">
            <v>0</v>
          </cell>
          <cell r="AJ163">
            <v>18.684999999999999</v>
          </cell>
          <cell r="AK163">
            <v>0</v>
          </cell>
          <cell r="AL163">
            <v>149.5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87.2</v>
          </cell>
          <cell r="AR163">
            <v>0</v>
          </cell>
          <cell r="AS163">
            <v>19.855</v>
          </cell>
          <cell r="AT163">
            <v>1.53</v>
          </cell>
          <cell r="AU163">
            <v>33.25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148.79000000000005</v>
          </cell>
          <cell r="BA163">
            <v>0</v>
          </cell>
          <cell r="BB163">
            <v>18.684999999999999</v>
          </cell>
          <cell r="BC163">
            <v>1.53</v>
          </cell>
          <cell r="BD163">
            <v>107.25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83.3</v>
          </cell>
          <cell r="BJ163">
            <v>0</v>
          </cell>
          <cell r="BK163">
            <v>18.684999999999999</v>
          </cell>
          <cell r="BL163">
            <v>0</v>
          </cell>
          <cell r="BM163">
            <v>60.25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102.38000000000001</v>
          </cell>
          <cell r="BS163">
            <v>0</v>
          </cell>
          <cell r="BT163">
            <v>18.684999999999999</v>
          </cell>
          <cell r="BU163">
            <v>1.36</v>
          </cell>
          <cell r="BV163">
            <v>82.75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75.990000000000009</v>
          </cell>
          <cell r="CB163">
            <v>0</v>
          </cell>
          <cell r="CC163">
            <v>18.684999999999999</v>
          </cell>
          <cell r="CD163">
            <v>1.02</v>
          </cell>
          <cell r="CE163">
            <v>79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82.93</v>
          </cell>
          <cell r="CK163">
            <v>0</v>
          </cell>
          <cell r="CL163">
            <v>18.684999999999999</v>
          </cell>
          <cell r="CM163">
            <v>1.02</v>
          </cell>
          <cell r="CN163">
            <v>81.5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81.67</v>
          </cell>
          <cell r="CT163">
            <v>0</v>
          </cell>
          <cell r="CU163">
            <v>18.684999999999999</v>
          </cell>
          <cell r="CV163">
            <v>0.68</v>
          </cell>
          <cell r="CW163">
            <v>43.5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76.300000000000011</v>
          </cell>
          <cell r="DC163">
            <v>0</v>
          </cell>
          <cell r="DD163">
            <v>18.684999999999999</v>
          </cell>
          <cell r="DE163">
            <v>14.96</v>
          </cell>
          <cell r="DF163">
            <v>69.5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54.570000000000007</v>
          </cell>
          <cell r="DL163">
            <v>0</v>
          </cell>
          <cell r="DM163">
            <v>18.684999999999999</v>
          </cell>
          <cell r="DN163">
            <v>14.96</v>
          </cell>
          <cell r="DO163">
            <v>49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54.599999999999994</v>
          </cell>
          <cell r="DU163">
            <v>0</v>
          </cell>
          <cell r="DV163">
            <v>18.684999999999999</v>
          </cell>
          <cell r="DW163">
            <v>13.6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35.83</v>
          </cell>
          <cell r="ED163">
            <v>0</v>
          </cell>
          <cell r="EE163">
            <v>18.684999999999999</v>
          </cell>
          <cell r="EF163">
            <v>20.079999999999998</v>
          </cell>
          <cell r="EG163">
            <v>0</v>
          </cell>
          <cell r="EH163">
            <v>0</v>
          </cell>
          <cell r="EI163">
            <v>0</v>
          </cell>
          <cell r="EJ163">
            <v>0</v>
          </cell>
          <cell r="EK163">
            <v>0</v>
          </cell>
          <cell r="EL163">
            <v>60.1</v>
          </cell>
          <cell r="EM163">
            <v>0</v>
          </cell>
          <cell r="EN163">
            <v>18.684999999999999</v>
          </cell>
          <cell r="EO163">
            <v>14.010000000000002</v>
          </cell>
          <cell r="EP163">
            <v>39.25</v>
          </cell>
          <cell r="EQ163">
            <v>0</v>
          </cell>
          <cell r="ER163">
            <v>0</v>
          </cell>
          <cell r="ES163">
            <v>0</v>
          </cell>
          <cell r="ET163">
            <v>0</v>
          </cell>
          <cell r="EU163">
            <v>17.04</v>
          </cell>
          <cell r="EV163">
            <v>0</v>
          </cell>
          <cell r="EW163">
            <v>18.684999999999999</v>
          </cell>
          <cell r="EX163">
            <v>0</v>
          </cell>
          <cell r="EY163">
            <v>30.75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19.669999999999998</v>
          </cell>
          <cell r="FE163">
            <v>0</v>
          </cell>
          <cell r="FF163">
            <v>18.684999999999999</v>
          </cell>
          <cell r="FG163">
            <v>7.48</v>
          </cell>
          <cell r="FH163">
            <v>72.5</v>
          </cell>
          <cell r="FI163">
            <v>0</v>
          </cell>
          <cell r="FJ163">
            <v>0</v>
          </cell>
          <cell r="FK163">
            <v>0</v>
          </cell>
          <cell r="FL163">
            <v>0</v>
          </cell>
          <cell r="FM163">
            <v>17.61</v>
          </cell>
          <cell r="FN163">
            <v>0</v>
          </cell>
          <cell r="FO163">
            <v>17.55</v>
          </cell>
          <cell r="FP163">
            <v>45.32</v>
          </cell>
          <cell r="FQ163">
            <v>67.25</v>
          </cell>
          <cell r="FR163">
            <v>0</v>
          </cell>
          <cell r="FS163">
            <v>0</v>
          </cell>
          <cell r="FT163">
            <v>0</v>
          </cell>
          <cell r="FU163">
            <v>0</v>
          </cell>
          <cell r="FV163">
            <v>29.21</v>
          </cell>
          <cell r="FW163">
            <v>0</v>
          </cell>
          <cell r="FX163">
            <v>16.919999999999998</v>
          </cell>
          <cell r="FY163">
            <v>40.28</v>
          </cell>
          <cell r="FZ163">
            <v>61.75</v>
          </cell>
          <cell r="GA163">
            <v>0</v>
          </cell>
          <cell r="GB163">
            <v>0</v>
          </cell>
          <cell r="GC163">
            <v>0</v>
          </cell>
          <cell r="GD163">
            <v>0</v>
          </cell>
          <cell r="GE163">
            <v>31.82</v>
          </cell>
          <cell r="GF163">
            <v>0</v>
          </cell>
          <cell r="GG163">
            <v>18.684999999999999</v>
          </cell>
          <cell r="GH163">
            <v>69.989999999999995</v>
          </cell>
          <cell r="GI163">
            <v>43.25</v>
          </cell>
          <cell r="GJ163">
            <v>0</v>
          </cell>
          <cell r="GK163">
            <v>0</v>
          </cell>
          <cell r="GL163">
            <v>0</v>
          </cell>
          <cell r="GM163">
            <v>0</v>
          </cell>
          <cell r="GN163">
            <v>77.34</v>
          </cell>
          <cell r="GO163">
            <v>0</v>
          </cell>
          <cell r="GP163">
            <v>17.55</v>
          </cell>
          <cell r="GQ163">
            <v>170.13</v>
          </cell>
          <cell r="GR163">
            <v>44.25</v>
          </cell>
          <cell r="GS163">
            <v>0</v>
          </cell>
          <cell r="GT163">
            <v>0</v>
          </cell>
          <cell r="GU163">
            <v>0</v>
          </cell>
          <cell r="GV163">
            <v>0</v>
          </cell>
        </row>
        <row r="164">
          <cell r="A164" t="str">
            <v>FATTY ACID FLAKES</v>
          </cell>
        </row>
        <row r="165">
          <cell r="A165">
            <v>141</v>
          </cell>
          <cell r="B165" t="str">
            <v>FG</v>
          </cell>
          <cell r="C165" t="str">
            <v>FM</v>
          </cell>
          <cell r="D165" t="str">
            <v>C14&gt;99%</v>
          </cell>
          <cell r="I165">
            <v>32.875</v>
          </cell>
          <cell r="O165">
            <v>32.875</v>
          </cell>
          <cell r="S165">
            <v>32.875</v>
          </cell>
          <cell r="AB165">
            <v>32.875</v>
          </cell>
          <cell r="AK165">
            <v>32.875</v>
          </cell>
          <cell r="AT165">
            <v>32.875</v>
          </cell>
          <cell r="BC165">
            <v>32.875</v>
          </cell>
          <cell r="BL165">
            <v>32.875</v>
          </cell>
          <cell r="BU165">
            <v>32.875</v>
          </cell>
          <cell r="CD165">
            <v>32.875</v>
          </cell>
          <cell r="CM165">
            <v>32.875</v>
          </cell>
          <cell r="CV165">
            <v>32.875</v>
          </cell>
          <cell r="DE165">
            <v>32.875</v>
          </cell>
          <cell r="DN165">
            <v>32.875</v>
          </cell>
          <cell r="DW165">
            <v>32.875</v>
          </cell>
          <cell r="EF165">
            <v>32.875</v>
          </cell>
          <cell r="EO165">
            <v>32.875</v>
          </cell>
          <cell r="FG165">
            <v>32.875</v>
          </cell>
          <cell r="FP165">
            <v>32.875</v>
          </cell>
          <cell r="FY165">
            <v>32.875</v>
          </cell>
          <cell r="GH165">
            <v>32.875</v>
          </cell>
          <cell r="GQ165">
            <v>32.875</v>
          </cell>
        </row>
        <row r="166">
          <cell r="A166">
            <v>142</v>
          </cell>
          <cell r="B166" t="str">
            <v>FG</v>
          </cell>
          <cell r="C166" t="str">
            <v>FM</v>
          </cell>
          <cell r="D166" t="str">
            <v>C16 85%</v>
          </cell>
          <cell r="I166">
            <v>0</v>
          </cell>
          <cell r="O166">
            <v>0</v>
          </cell>
          <cell r="S166">
            <v>0</v>
          </cell>
          <cell r="AB166">
            <v>0</v>
          </cell>
          <cell r="AK166">
            <v>0</v>
          </cell>
          <cell r="BL166">
            <v>0</v>
          </cell>
        </row>
        <row r="167">
          <cell r="A167">
            <v>143</v>
          </cell>
          <cell r="B167" t="str">
            <v>FG</v>
          </cell>
          <cell r="C167" t="str">
            <v>FM</v>
          </cell>
          <cell r="D167" t="str">
            <v>UTSR</v>
          </cell>
          <cell r="F167">
            <v>195.8</v>
          </cell>
          <cell r="H167">
            <v>52.35</v>
          </cell>
          <cell r="I167">
            <v>293.16000000000003</v>
          </cell>
          <cell r="O167">
            <v>541.31000000000006</v>
          </cell>
          <cell r="P167">
            <v>85.3</v>
          </cell>
          <cell r="R167">
            <v>113.35</v>
          </cell>
          <cell r="S167">
            <v>191.16</v>
          </cell>
          <cell r="Y167">
            <v>92.55</v>
          </cell>
          <cell r="AA167">
            <v>137.35</v>
          </cell>
          <cell r="AB167">
            <v>243.535</v>
          </cell>
          <cell r="AH167">
            <v>54.55</v>
          </cell>
          <cell r="AJ167">
            <v>112.35</v>
          </cell>
          <cell r="AK167">
            <v>277.53500000000003</v>
          </cell>
          <cell r="AQ167">
            <v>71.05</v>
          </cell>
          <cell r="AS167">
            <v>104.85</v>
          </cell>
          <cell r="AT167">
            <v>200.76</v>
          </cell>
          <cell r="AZ167">
            <v>124.05</v>
          </cell>
          <cell r="BB167">
            <v>145.85</v>
          </cell>
          <cell r="BC167">
            <v>327.11</v>
          </cell>
          <cell r="BI167">
            <v>128.30000000000001</v>
          </cell>
          <cell r="BK167">
            <v>175.85</v>
          </cell>
          <cell r="BL167">
            <v>438.26</v>
          </cell>
          <cell r="BR167">
            <v>87.05</v>
          </cell>
          <cell r="BT167">
            <v>194.85</v>
          </cell>
          <cell r="BU167">
            <v>205.45</v>
          </cell>
          <cell r="CA167">
            <v>71.05</v>
          </cell>
          <cell r="CC167">
            <v>141.85</v>
          </cell>
          <cell r="CD167">
            <v>302.58</v>
          </cell>
          <cell r="CJ167">
            <v>71.05</v>
          </cell>
          <cell r="CL167">
            <v>107.85</v>
          </cell>
          <cell r="CM167">
            <v>378.91</v>
          </cell>
          <cell r="CS167">
            <v>71.05</v>
          </cell>
          <cell r="CU167">
            <v>89.85</v>
          </cell>
          <cell r="CV167">
            <v>311.41000000000003</v>
          </cell>
          <cell r="DB167">
            <v>85.05</v>
          </cell>
          <cell r="DD167">
            <v>23.85</v>
          </cell>
          <cell r="DE167">
            <v>277.16000000000003</v>
          </cell>
          <cell r="DK167">
            <v>66.150000000000006</v>
          </cell>
          <cell r="DM167">
            <v>41.85</v>
          </cell>
          <cell r="DN167">
            <v>143.16</v>
          </cell>
          <cell r="DT167">
            <v>84.95</v>
          </cell>
          <cell r="DV167">
            <v>41.85</v>
          </cell>
          <cell r="DW167">
            <v>144.41</v>
          </cell>
          <cell r="EC167">
            <v>84.95</v>
          </cell>
          <cell r="EE167">
            <v>57.35</v>
          </cell>
          <cell r="EF167">
            <v>151.16</v>
          </cell>
          <cell r="EL167">
            <v>95.3</v>
          </cell>
          <cell r="EN167">
            <v>7.35</v>
          </cell>
          <cell r="EO167">
            <v>351.78500000000003</v>
          </cell>
          <cell r="EU167">
            <v>42.3</v>
          </cell>
          <cell r="EW167">
            <v>16.350000000000001</v>
          </cell>
          <cell r="FF167">
            <v>45.35</v>
          </cell>
          <cell r="FG167">
            <v>205.71</v>
          </cell>
          <cell r="FM167">
            <v>30</v>
          </cell>
          <cell r="FO167">
            <v>45.35</v>
          </cell>
          <cell r="FP167">
            <v>89.21</v>
          </cell>
          <cell r="FV167">
            <v>14</v>
          </cell>
          <cell r="FX167">
            <v>45.35</v>
          </cell>
          <cell r="FY167">
            <v>46.21</v>
          </cell>
          <cell r="GE167">
            <v>5</v>
          </cell>
          <cell r="GG167">
            <v>4.3499999999999996</v>
          </cell>
          <cell r="GH167">
            <v>23.21</v>
          </cell>
          <cell r="GP167">
            <v>45.35</v>
          </cell>
          <cell r="GQ167">
            <v>172.91</v>
          </cell>
        </row>
        <row r="168">
          <cell r="A168">
            <v>144</v>
          </cell>
          <cell r="B168" t="str">
            <v>FG</v>
          </cell>
          <cell r="C168" t="str">
            <v>FM</v>
          </cell>
          <cell r="D168" t="str">
            <v>UTSR SPECIAL</v>
          </cell>
          <cell r="I168">
            <v>0.45</v>
          </cell>
          <cell r="O168">
            <v>0.45</v>
          </cell>
          <cell r="S168">
            <v>0.45</v>
          </cell>
          <cell r="AB168">
            <v>0.45</v>
          </cell>
          <cell r="AK168">
            <v>0.45</v>
          </cell>
          <cell r="AT168">
            <v>0.45</v>
          </cell>
          <cell r="BC168">
            <v>0.45</v>
          </cell>
          <cell r="BL168">
            <v>0</v>
          </cell>
          <cell r="BU168">
            <v>215.31</v>
          </cell>
        </row>
        <row r="169">
          <cell r="A169">
            <v>145</v>
          </cell>
          <cell r="B169" t="str">
            <v>FG</v>
          </cell>
          <cell r="C169" t="str">
            <v>FM</v>
          </cell>
          <cell r="D169" t="str">
            <v>DTP-7</v>
          </cell>
          <cell r="F169">
            <v>1.8</v>
          </cell>
          <cell r="H169">
            <v>36.200000000000003</v>
          </cell>
          <cell r="I169">
            <v>53.05</v>
          </cell>
          <cell r="O169">
            <v>91.05</v>
          </cell>
          <cell r="P169">
            <v>1.8</v>
          </cell>
          <cell r="R169">
            <v>27.2</v>
          </cell>
          <cell r="S169">
            <v>281.10000000000002</v>
          </cell>
          <cell r="Y169">
            <v>0.1</v>
          </cell>
          <cell r="AA169">
            <v>2.2000000000000002</v>
          </cell>
          <cell r="AB169">
            <v>177.6</v>
          </cell>
          <cell r="AJ169">
            <v>0.9</v>
          </cell>
          <cell r="AK169">
            <v>59.6</v>
          </cell>
          <cell r="AS169">
            <v>0.9</v>
          </cell>
          <cell r="AT169">
            <v>223.65</v>
          </cell>
          <cell r="BB169">
            <v>0.9</v>
          </cell>
          <cell r="BC169">
            <v>186.65</v>
          </cell>
          <cell r="BK169">
            <v>0.9</v>
          </cell>
          <cell r="BL169">
            <v>8.65</v>
          </cell>
          <cell r="BT169">
            <v>0.9</v>
          </cell>
          <cell r="BU169">
            <v>88.6</v>
          </cell>
          <cell r="CC169">
            <v>0.9</v>
          </cell>
          <cell r="CD169">
            <v>123.5</v>
          </cell>
          <cell r="CL169">
            <v>0.9</v>
          </cell>
          <cell r="CM169">
            <v>102</v>
          </cell>
          <cell r="CU169">
            <v>0.9</v>
          </cell>
          <cell r="CV169">
            <v>59.5</v>
          </cell>
          <cell r="DD169">
            <v>30.574999999999999</v>
          </cell>
          <cell r="DE169">
            <v>117.65</v>
          </cell>
          <cell r="DM169">
            <v>0.9</v>
          </cell>
          <cell r="DN169">
            <v>289.8</v>
          </cell>
          <cell r="DV169">
            <v>0.9</v>
          </cell>
          <cell r="DW169">
            <v>432.65</v>
          </cell>
          <cell r="EE169">
            <v>0.9</v>
          </cell>
          <cell r="EF169">
            <v>316.14999999999998</v>
          </cell>
          <cell r="EN169">
            <v>0.9</v>
          </cell>
          <cell r="EO169">
            <v>164.05</v>
          </cell>
          <cell r="EW169">
            <v>0.9</v>
          </cell>
          <cell r="FF169">
            <v>0.9</v>
          </cell>
          <cell r="FG169">
            <v>162.69999999999999</v>
          </cell>
          <cell r="FO169">
            <v>0.9000000000000028</v>
          </cell>
          <cell r="FP169">
            <v>97.7</v>
          </cell>
          <cell r="FV169">
            <v>0.35</v>
          </cell>
          <cell r="FX169">
            <v>0.9</v>
          </cell>
          <cell r="FY169">
            <v>159.4</v>
          </cell>
          <cell r="GE169">
            <v>0.35</v>
          </cell>
          <cell r="GG169">
            <v>0.9</v>
          </cell>
          <cell r="GH169">
            <v>62.65</v>
          </cell>
          <cell r="GP169">
            <v>0.9</v>
          </cell>
          <cell r="GQ169">
            <v>3.65</v>
          </cell>
        </row>
        <row r="170">
          <cell r="A170">
            <v>146</v>
          </cell>
          <cell r="B170" t="str">
            <v>FG</v>
          </cell>
          <cell r="C170" t="str">
            <v>FM</v>
          </cell>
          <cell r="D170" t="str">
            <v>DTP-CT</v>
          </cell>
          <cell r="F170">
            <v>4.6500000000000004</v>
          </cell>
          <cell r="H170">
            <v>20</v>
          </cell>
          <cell r="I170">
            <v>0</v>
          </cell>
          <cell r="O170">
            <v>24.65</v>
          </cell>
          <cell r="P170">
            <v>77.650000000000006</v>
          </cell>
          <cell r="R170">
            <v>80</v>
          </cell>
          <cell r="S170">
            <v>0</v>
          </cell>
          <cell r="Y170">
            <v>79.650000000000006</v>
          </cell>
          <cell r="AA170">
            <v>95</v>
          </cell>
          <cell r="AB170">
            <v>0</v>
          </cell>
          <cell r="AH170">
            <v>79.650000000000006</v>
          </cell>
          <cell r="AJ170">
            <v>95</v>
          </cell>
          <cell r="AK170">
            <v>0</v>
          </cell>
          <cell r="AQ170">
            <v>61.45</v>
          </cell>
          <cell r="AS170">
            <v>85</v>
          </cell>
          <cell r="AZ170">
            <v>59.45</v>
          </cell>
          <cell r="BB170">
            <v>85</v>
          </cell>
          <cell r="BI170">
            <v>56.45</v>
          </cell>
          <cell r="BK170">
            <v>85</v>
          </cell>
          <cell r="BL170">
            <v>0</v>
          </cell>
          <cell r="BR170">
            <v>29.45</v>
          </cell>
          <cell r="BT170">
            <v>85</v>
          </cell>
          <cell r="CA170">
            <v>14.45</v>
          </cell>
          <cell r="CC170">
            <v>69</v>
          </cell>
          <cell r="CJ170">
            <v>14.45</v>
          </cell>
          <cell r="CL170">
            <v>69</v>
          </cell>
          <cell r="CS170">
            <v>14.45</v>
          </cell>
          <cell r="CU170">
            <v>69</v>
          </cell>
          <cell r="DB170">
            <v>7.95</v>
          </cell>
          <cell r="DD170">
            <v>69</v>
          </cell>
          <cell r="DK170">
            <v>4.95</v>
          </cell>
          <cell r="DM170">
            <v>69</v>
          </cell>
          <cell r="DT170">
            <v>4.8499999999999996</v>
          </cell>
          <cell r="DV170">
            <v>69</v>
          </cell>
          <cell r="EC170">
            <v>4.8499999999999996</v>
          </cell>
          <cell r="EE170">
            <v>69</v>
          </cell>
          <cell r="EL170">
            <v>2.35</v>
          </cell>
          <cell r="EN170">
            <v>60.35</v>
          </cell>
          <cell r="EU170">
            <v>2.35</v>
          </cell>
          <cell r="EW170">
            <v>50.35</v>
          </cell>
          <cell r="FF170">
            <v>8.35</v>
          </cell>
          <cell r="FM170">
            <v>0.35</v>
          </cell>
          <cell r="FO170">
            <v>1.35</v>
          </cell>
          <cell r="FX170">
            <v>1.35</v>
          </cell>
          <cell r="GG170">
            <v>1.35</v>
          </cell>
          <cell r="GN170">
            <v>0.15</v>
          </cell>
          <cell r="GP170">
            <v>1.35</v>
          </cell>
        </row>
        <row r="171">
          <cell r="A171">
            <v>147</v>
          </cell>
          <cell r="B171" t="str">
            <v>FG</v>
          </cell>
          <cell r="C171" t="str">
            <v>FM</v>
          </cell>
          <cell r="D171" t="str">
            <v>P-12</v>
          </cell>
          <cell r="F171">
            <v>0.4</v>
          </cell>
          <cell r="H171">
            <v>18</v>
          </cell>
          <cell r="I171">
            <v>40.4</v>
          </cell>
          <cell r="O171">
            <v>58.8</v>
          </cell>
          <cell r="P171">
            <v>0.4</v>
          </cell>
          <cell r="R171">
            <v>2.5499999999999998</v>
          </cell>
          <cell r="S171">
            <v>32.75</v>
          </cell>
          <cell r="Y171">
            <v>28.3</v>
          </cell>
          <cell r="AA171">
            <v>30.55</v>
          </cell>
          <cell r="AB171">
            <v>81.25</v>
          </cell>
          <cell r="AH171">
            <v>33.799999999999997</v>
          </cell>
          <cell r="AJ171">
            <v>76.224999999999994</v>
          </cell>
          <cell r="AK171">
            <v>93.4</v>
          </cell>
          <cell r="AQ171">
            <v>33.799999999999997</v>
          </cell>
          <cell r="AS171">
            <v>76.224999999999994</v>
          </cell>
          <cell r="AT171">
            <v>82.4</v>
          </cell>
          <cell r="AZ171">
            <v>17.8</v>
          </cell>
          <cell r="BB171">
            <v>76.224999999999994</v>
          </cell>
          <cell r="BC171">
            <v>82.4</v>
          </cell>
          <cell r="BI171">
            <v>1.8</v>
          </cell>
          <cell r="BK171">
            <v>77.224999999999994</v>
          </cell>
          <cell r="BL171">
            <v>58.4</v>
          </cell>
          <cell r="BR171">
            <v>17.8</v>
          </cell>
          <cell r="BT171">
            <v>76.224999999999994</v>
          </cell>
          <cell r="BU171">
            <v>58.4</v>
          </cell>
          <cell r="CA171">
            <v>17.8</v>
          </cell>
          <cell r="CC171">
            <v>60.225000000000001</v>
          </cell>
          <cell r="CD171">
            <v>43.4</v>
          </cell>
          <cell r="CJ171">
            <v>1.8</v>
          </cell>
          <cell r="CL171">
            <v>60.225000000000001</v>
          </cell>
          <cell r="CM171">
            <v>42.4</v>
          </cell>
          <cell r="CS171">
            <v>76.8</v>
          </cell>
          <cell r="CU171">
            <v>60.225000000000001</v>
          </cell>
          <cell r="CV171">
            <v>97.3</v>
          </cell>
          <cell r="DB171">
            <v>76.8</v>
          </cell>
          <cell r="DD171">
            <v>30.55</v>
          </cell>
          <cell r="DE171">
            <v>135.69999999999999</v>
          </cell>
          <cell r="DK171">
            <v>57.8</v>
          </cell>
          <cell r="DM171">
            <v>79.224999999999994</v>
          </cell>
          <cell r="DN171">
            <v>115.7</v>
          </cell>
          <cell r="DT171">
            <v>60.3</v>
          </cell>
          <cell r="DV171">
            <v>79.224999999999994</v>
          </cell>
          <cell r="DW171">
            <v>109.4</v>
          </cell>
          <cell r="EC171">
            <v>60.3</v>
          </cell>
          <cell r="EE171">
            <v>79.224999999999994</v>
          </cell>
          <cell r="EF171">
            <v>82.4</v>
          </cell>
          <cell r="EL171">
            <v>60.3</v>
          </cell>
          <cell r="EN171">
            <v>79.224999999999994</v>
          </cell>
          <cell r="EO171">
            <v>26.9</v>
          </cell>
          <cell r="EU171">
            <v>60.3</v>
          </cell>
          <cell r="EW171">
            <v>79.224999999999994</v>
          </cell>
          <cell r="FF171">
            <v>79.224999999999994</v>
          </cell>
          <cell r="FG171">
            <v>2.1</v>
          </cell>
          <cell r="FM171">
            <v>29.1</v>
          </cell>
          <cell r="FO171">
            <v>79.174999999999997</v>
          </cell>
          <cell r="FP171">
            <v>0.1</v>
          </cell>
          <cell r="FV171">
            <v>24.1</v>
          </cell>
          <cell r="FX171">
            <v>79.174999999999997</v>
          </cell>
          <cell r="FY171">
            <v>0.1</v>
          </cell>
          <cell r="GE171">
            <v>6.1</v>
          </cell>
          <cell r="GG171">
            <v>53.225000000000001</v>
          </cell>
          <cell r="GH171">
            <v>0.1</v>
          </cell>
          <cell r="GN171">
            <v>3.8</v>
          </cell>
          <cell r="GP171">
            <v>37.174999999999997</v>
          </cell>
        </row>
        <row r="172">
          <cell r="A172">
            <v>148</v>
          </cell>
          <cell r="B172" t="str">
            <v>FG</v>
          </cell>
          <cell r="C172" t="str">
            <v>FM</v>
          </cell>
          <cell r="D172" t="str">
            <v>P-12 SPECIAL</v>
          </cell>
          <cell r="I172">
            <v>25</v>
          </cell>
          <cell r="O172">
            <v>25</v>
          </cell>
          <cell r="S172">
            <v>21</v>
          </cell>
          <cell r="AB172">
            <v>21</v>
          </cell>
          <cell r="AK172">
            <v>21</v>
          </cell>
          <cell r="BL172">
            <v>18.5</v>
          </cell>
        </row>
        <row r="173">
          <cell r="A173">
            <v>149</v>
          </cell>
          <cell r="B173" t="str">
            <v>FG</v>
          </cell>
          <cell r="C173" t="str">
            <v>NM</v>
          </cell>
          <cell r="D173" t="str">
            <v>BEHENIC-75</v>
          </cell>
          <cell r="I173">
            <v>0</v>
          </cell>
          <cell r="O173">
            <v>0</v>
          </cell>
          <cell r="S173">
            <v>0</v>
          </cell>
          <cell r="AB173">
            <v>0</v>
          </cell>
          <cell r="AK173">
            <v>0</v>
          </cell>
          <cell r="BL173">
            <v>0</v>
          </cell>
        </row>
        <row r="174">
          <cell r="A174">
            <v>150</v>
          </cell>
          <cell r="B174" t="str">
            <v>FG</v>
          </cell>
          <cell r="C174" t="str">
            <v>NM</v>
          </cell>
          <cell r="D174" t="str">
            <v>BEHENIC-85</v>
          </cell>
          <cell r="I174">
            <v>0</v>
          </cell>
          <cell r="O174">
            <v>0</v>
          </cell>
          <cell r="S174">
            <v>0</v>
          </cell>
          <cell r="AB174">
            <v>0</v>
          </cell>
          <cell r="AK174">
            <v>0</v>
          </cell>
          <cell r="BL174">
            <v>0</v>
          </cell>
        </row>
        <row r="175">
          <cell r="A175">
            <v>151</v>
          </cell>
          <cell r="B175" t="str">
            <v>FG</v>
          </cell>
          <cell r="C175" t="str">
            <v>FM</v>
          </cell>
          <cell r="D175" t="str">
            <v>BEHENIC-90</v>
          </cell>
          <cell r="F175">
            <v>77.7</v>
          </cell>
          <cell r="I175">
            <v>0</v>
          </cell>
          <cell r="O175">
            <v>77.7</v>
          </cell>
          <cell r="P175">
            <v>77.7</v>
          </cell>
          <cell r="S175">
            <v>0</v>
          </cell>
          <cell r="Y175">
            <v>77.7</v>
          </cell>
          <cell r="AB175">
            <v>0</v>
          </cell>
          <cell r="AH175">
            <v>77.7</v>
          </cell>
          <cell r="AK175">
            <v>0</v>
          </cell>
          <cell r="AQ175">
            <v>77.7</v>
          </cell>
          <cell r="AZ175">
            <v>72.8</v>
          </cell>
          <cell r="BI175">
            <v>70</v>
          </cell>
          <cell r="BL175">
            <v>0</v>
          </cell>
          <cell r="BR175">
            <v>72.8</v>
          </cell>
          <cell r="CA175">
            <v>52.8</v>
          </cell>
          <cell r="CJ175">
            <v>52.8</v>
          </cell>
          <cell r="CS175">
            <v>32.799999999999997</v>
          </cell>
          <cell r="DK175">
            <v>5</v>
          </cell>
          <cell r="DT175">
            <v>3.5</v>
          </cell>
          <cell r="EC175">
            <v>3.5</v>
          </cell>
          <cell r="EL175">
            <v>3.5</v>
          </cell>
          <cell r="EU175">
            <v>3.5</v>
          </cell>
          <cell r="FM175">
            <v>3.5</v>
          </cell>
          <cell r="FV175">
            <v>3.5</v>
          </cell>
          <cell r="GE175">
            <v>3.5</v>
          </cell>
        </row>
        <row r="176">
          <cell r="A176">
            <v>152</v>
          </cell>
          <cell r="B176" t="str">
            <v>FG</v>
          </cell>
          <cell r="C176" t="str">
            <v>FM</v>
          </cell>
          <cell r="D176" t="str">
            <v>G3 STEARIC</v>
          </cell>
          <cell r="H176">
            <v>1.75</v>
          </cell>
          <cell r="I176">
            <v>0</v>
          </cell>
          <cell r="O176">
            <v>1.75</v>
          </cell>
          <cell r="R176">
            <v>1.75</v>
          </cell>
          <cell r="S176">
            <v>0</v>
          </cell>
          <cell r="AA176">
            <v>1.75</v>
          </cell>
          <cell r="AB176">
            <v>0</v>
          </cell>
          <cell r="AJ176">
            <v>1.75</v>
          </cell>
          <cell r="AK176">
            <v>0</v>
          </cell>
          <cell r="AS176">
            <v>1.75</v>
          </cell>
          <cell r="BB176">
            <v>1.75</v>
          </cell>
          <cell r="BK176">
            <v>1.75</v>
          </cell>
          <cell r="BL176">
            <v>0</v>
          </cell>
          <cell r="BT176">
            <v>1.75</v>
          </cell>
          <cell r="CC176">
            <v>1.75</v>
          </cell>
          <cell r="CL176">
            <v>1.75</v>
          </cell>
          <cell r="CU176">
            <v>1.75</v>
          </cell>
          <cell r="DD176">
            <v>1.75</v>
          </cell>
          <cell r="DM176">
            <v>1.75</v>
          </cell>
          <cell r="DV176">
            <v>1.75</v>
          </cell>
          <cell r="EE176">
            <v>1.75</v>
          </cell>
          <cell r="EN176">
            <v>1.75</v>
          </cell>
          <cell r="EW176">
            <v>1.75</v>
          </cell>
          <cell r="FF176">
            <v>1.75</v>
          </cell>
          <cell r="FO176">
            <v>3.9</v>
          </cell>
          <cell r="FX176">
            <v>3.9</v>
          </cell>
          <cell r="GG176">
            <v>1.75</v>
          </cell>
          <cell r="GP176">
            <v>3.9</v>
          </cell>
        </row>
        <row r="177">
          <cell r="A177">
            <v>153</v>
          </cell>
          <cell r="B177" t="str">
            <v>FG</v>
          </cell>
          <cell r="C177" t="str">
            <v>NM</v>
          </cell>
          <cell r="D177" t="str">
            <v>HYD.CASTOR OIL</v>
          </cell>
          <cell r="I177">
            <v>0</v>
          </cell>
          <cell r="O177">
            <v>0</v>
          </cell>
          <cell r="S177">
            <v>0</v>
          </cell>
          <cell r="AB177">
            <v>0</v>
          </cell>
          <cell r="AK177">
            <v>0</v>
          </cell>
          <cell r="BL177">
            <v>0</v>
          </cell>
        </row>
        <row r="178">
          <cell r="A178">
            <v>154</v>
          </cell>
          <cell r="B178" t="str">
            <v>FG</v>
          </cell>
          <cell r="C178" t="str">
            <v>FM</v>
          </cell>
          <cell r="D178" t="str">
            <v>C16  W/E</v>
          </cell>
          <cell r="I178">
            <v>25.98</v>
          </cell>
          <cell r="O178">
            <v>25.98</v>
          </cell>
          <cell r="S178">
            <v>40.229999999999997</v>
          </cell>
          <cell r="AB178">
            <v>40.229999999999997</v>
          </cell>
          <cell r="AK178">
            <v>40.229999999999997</v>
          </cell>
          <cell r="AT178">
            <v>40.229999999999997</v>
          </cell>
          <cell r="BC178">
            <v>40.229999999999997</v>
          </cell>
          <cell r="BL178">
            <v>40.229999999999997</v>
          </cell>
          <cell r="BU178">
            <v>40.229999999999997</v>
          </cell>
          <cell r="CD178">
            <v>40.229999999999997</v>
          </cell>
          <cell r="CM178">
            <v>40.229999999999997</v>
          </cell>
          <cell r="CV178">
            <v>40.229999999999997</v>
          </cell>
          <cell r="DE178">
            <v>40.229999999999997</v>
          </cell>
          <cell r="DN178">
            <v>40.229999999999997</v>
          </cell>
          <cell r="DW178">
            <v>41.03</v>
          </cell>
          <cell r="EF178">
            <v>41.03</v>
          </cell>
          <cell r="EO178">
            <v>41.03</v>
          </cell>
          <cell r="FG178">
            <v>41.03</v>
          </cell>
          <cell r="FP178">
            <v>41.03</v>
          </cell>
          <cell r="FY178">
            <v>41.03</v>
          </cell>
          <cell r="GH178">
            <v>41.03</v>
          </cell>
          <cell r="GQ178">
            <v>41.03</v>
          </cell>
        </row>
        <row r="179">
          <cell r="A179">
            <v>155</v>
          </cell>
          <cell r="B179" t="str">
            <v>FG</v>
          </cell>
          <cell r="C179" t="str">
            <v>FM</v>
          </cell>
          <cell r="D179" t="str">
            <v>C18  W/E</v>
          </cell>
          <cell r="I179">
            <v>15.64</v>
          </cell>
          <cell r="O179">
            <v>15.64</v>
          </cell>
          <cell r="S179">
            <v>15.64</v>
          </cell>
          <cell r="AB179">
            <v>15.64</v>
          </cell>
          <cell r="AK179">
            <v>15.64</v>
          </cell>
          <cell r="AT179">
            <v>15.64</v>
          </cell>
          <cell r="BC179">
            <v>15.64</v>
          </cell>
          <cell r="BL179">
            <v>15.64</v>
          </cell>
          <cell r="BU179">
            <v>15.64</v>
          </cell>
          <cell r="CD179">
            <v>15.64</v>
          </cell>
          <cell r="CM179">
            <v>15.64</v>
          </cell>
          <cell r="CV179">
            <v>15.64</v>
          </cell>
          <cell r="DE179">
            <v>15.64</v>
          </cell>
          <cell r="DN179">
            <v>15.64</v>
          </cell>
          <cell r="DW179">
            <v>15.64</v>
          </cell>
          <cell r="EF179">
            <v>15.64</v>
          </cell>
          <cell r="EO179">
            <v>15.64</v>
          </cell>
          <cell r="FG179">
            <v>15.64</v>
          </cell>
          <cell r="FP179">
            <v>15.64</v>
          </cell>
          <cell r="FY179">
            <v>15.64</v>
          </cell>
          <cell r="GH179">
            <v>15.64</v>
          </cell>
          <cell r="GQ179">
            <v>15.64</v>
          </cell>
        </row>
        <row r="180">
          <cell r="A180">
            <v>156</v>
          </cell>
          <cell r="B180" t="str">
            <v>FG</v>
          </cell>
          <cell r="C180" t="str">
            <v>FM</v>
          </cell>
          <cell r="D180" t="str">
            <v>C1618  W/E</v>
          </cell>
          <cell r="I180">
            <v>15.46</v>
          </cell>
          <cell r="O180">
            <v>15.46</v>
          </cell>
          <cell r="S180">
            <v>15.46</v>
          </cell>
          <cell r="AB180">
            <v>15.46</v>
          </cell>
          <cell r="AK180">
            <v>15.46</v>
          </cell>
          <cell r="AT180">
            <v>15.46</v>
          </cell>
          <cell r="BC180">
            <v>15.46</v>
          </cell>
          <cell r="BL180">
            <v>15.46</v>
          </cell>
          <cell r="BU180">
            <v>15.46</v>
          </cell>
          <cell r="CD180">
            <v>15.46</v>
          </cell>
          <cell r="CM180">
            <v>15.46</v>
          </cell>
          <cell r="CV180">
            <v>15.46</v>
          </cell>
          <cell r="DE180">
            <v>15.46</v>
          </cell>
          <cell r="DN180">
            <v>31.21</v>
          </cell>
          <cell r="DW180">
            <v>31.21</v>
          </cell>
          <cell r="EF180">
            <v>31.21</v>
          </cell>
          <cell r="EO180">
            <v>31.21</v>
          </cell>
          <cell r="FG180">
            <v>31.21</v>
          </cell>
          <cell r="FP180">
            <v>31.21</v>
          </cell>
          <cell r="FY180">
            <v>31.21</v>
          </cell>
          <cell r="GH180">
            <v>31.21</v>
          </cell>
          <cell r="GQ180">
            <v>31.21</v>
          </cell>
        </row>
        <row r="181">
          <cell r="A181">
            <v>157</v>
          </cell>
          <cell r="B181" t="str">
            <v>FG</v>
          </cell>
          <cell r="C181" t="str">
            <v>NM</v>
          </cell>
          <cell r="D181" t="str">
            <v>CONTAMINATED FATTY ACID</v>
          </cell>
          <cell r="I181">
            <v>37</v>
          </cell>
          <cell r="O181">
            <v>37</v>
          </cell>
          <cell r="S181">
            <v>37</v>
          </cell>
          <cell r="AB181">
            <v>38</v>
          </cell>
          <cell r="AK181">
            <v>38</v>
          </cell>
          <cell r="AT181">
            <v>40</v>
          </cell>
          <cell r="BC181">
            <v>40</v>
          </cell>
          <cell r="BL181">
            <v>41</v>
          </cell>
          <cell r="BU181">
            <v>31</v>
          </cell>
          <cell r="CD181">
            <v>31</v>
          </cell>
          <cell r="CM181">
            <v>31</v>
          </cell>
          <cell r="CV181">
            <v>31</v>
          </cell>
          <cell r="DE181">
            <v>31</v>
          </cell>
          <cell r="DN181">
            <v>31</v>
          </cell>
          <cell r="DW181">
            <v>31</v>
          </cell>
          <cell r="EF181">
            <v>31</v>
          </cell>
          <cell r="EO181">
            <v>31</v>
          </cell>
          <cell r="FG181">
            <v>25</v>
          </cell>
          <cell r="FP181">
            <v>25</v>
          </cell>
          <cell r="FY181">
            <v>25</v>
          </cell>
          <cell r="GH181">
            <v>25</v>
          </cell>
          <cell r="GQ181">
            <v>25</v>
          </cell>
        </row>
        <row r="182">
          <cell r="A182">
            <v>158</v>
          </cell>
          <cell r="B182" t="str">
            <v>FG</v>
          </cell>
          <cell r="C182" t="str">
            <v>NM</v>
          </cell>
          <cell r="D182" t="str">
            <v>STEARIC ACID - SPECIAL</v>
          </cell>
          <cell r="F182">
            <v>1.35</v>
          </cell>
          <cell r="H182">
            <v>1.05</v>
          </cell>
          <cell r="I182">
            <v>0</v>
          </cell>
          <cell r="O182">
            <v>2.4000000000000004</v>
          </cell>
          <cell r="P182">
            <v>1.35</v>
          </cell>
          <cell r="R182">
            <v>1.05</v>
          </cell>
          <cell r="S182">
            <v>0</v>
          </cell>
          <cell r="Y182">
            <v>1.35</v>
          </cell>
          <cell r="AA182">
            <v>1.05</v>
          </cell>
          <cell r="AB182">
            <v>0</v>
          </cell>
          <cell r="AH182">
            <v>1.35</v>
          </cell>
          <cell r="AJ182">
            <v>1.05</v>
          </cell>
          <cell r="AK182">
            <v>0</v>
          </cell>
          <cell r="AQ182">
            <v>1.35</v>
          </cell>
          <cell r="AS182">
            <v>1.05</v>
          </cell>
          <cell r="AZ182">
            <v>1.35</v>
          </cell>
          <cell r="BB182">
            <v>1.05</v>
          </cell>
          <cell r="BI182">
            <v>1.35</v>
          </cell>
          <cell r="BK182">
            <v>1.05</v>
          </cell>
          <cell r="BL182">
            <v>0</v>
          </cell>
          <cell r="BR182">
            <v>1.35</v>
          </cell>
          <cell r="BT182">
            <v>1.05</v>
          </cell>
          <cell r="CA182">
            <v>1.35</v>
          </cell>
          <cell r="CC182">
            <v>1.05</v>
          </cell>
          <cell r="CJ182">
            <v>1.35</v>
          </cell>
          <cell r="CL182">
            <v>1.05</v>
          </cell>
          <cell r="CS182">
            <v>1.35</v>
          </cell>
          <cell r="CU182">
            <v>1.05</v>
          </cell>
          <cell r="DB182">
            <v>1.35</v>
          </cell>
          <cell r="DD182">
            <v>1.05</v>
          </cell>
          <cell r="DK182">
            <v>1.35</v>
          </cell>
          <cell r="DM182">
            <v>1.05</v>
          </cell>
          <cell r="DT182">
            <v>1.35</v>
          </cell>
          <cell r="DV182">
            <v>1.05</v>
          </cell>
          <cell r="EC182">
            <v>1.35</v>
          </cell>
          <cell r="EE182">
            <v>1.05</v>
          </cell>
          <cell r="EL182">
            <v>1.35</v>
          </cell>
          <cell r="EN182">
            <v>1.05</v>
          </cell>
          <cell r="EU182">
            <v>1.35</v>
          </cell>
          <cell r="EW182">
            <v>1.05</v>
          </cell>
          <cell r="FF182">
            <v>1.05</v>
          </cell>
          <cell r="FM182">
            <v>1.35</v>
          </cell>
          <cell r="FO182">
            <v>1.05</v>
          </cell>
          <cell r="FV182">
            <v>1.35</v>
          </cell>
          <cell r="FX182">
            <v>1.05</v>
          </cell>
          <cell r="GE182">
            <v>1.35</v>
          </cell>
          <cell r="GG182">
            <v>1.05</v>
          </cell>
          <cell r="GN182">
            <v>1.35</v>
          </cell>
          <cell r="GP182">
            <v>1.05</v>
          </cell>
        </row>
        <row r="183">
          <cell r="A183">
            <v>159</v>
          </cell>
          <cell r="B183" t="str">
            <v>FG</v>
          </cell>
          <cell r="C183" t="str">
            <v>NM</v>
          </cell>
          <cell r="D183" t="str">
            <v>DFA-C18/22</v>
          </cell>
          <cell r="F183">
            <v>15.2</v>
          </cell>
          <cell r="O183">
            <v>15.2</v>
          </cell>
          <cell r="P183">
            <v>15.2</v>
          </cell>
          <cell r="Y183">
            <v>15.2</v>
          </cell>
          <cell r="AH183">
            <v>15.2</v>
          </cell>
          <cell r="AQ183">
            <v>15.2</v>
          </cell>
          <cell r="AZ183">
            <v>15.2</v>
          </cell>
          <cell r="BR183">
            <v>15.2</v>
          </cell>
          <cell r="CA183">
            <v>15.2</v>
          </cell>
          <cell r="CJ183">
            <v>15.2</v>
          </cell>
          <cell r="CS183">
            <v>15.2</v>
          </cell>
          <cell r="DK183">
            <v>15.2</v>
          </cell>
        </row>
        <row r="184">
          <cell r="A184">
            <v>160</v>
          </cell>
          <cell r="B184" t="str">
            <v>FG</v>
          </cell>
          <cell r="C184" t="str">
            <v>NM</v>
          </cell>
          <cell r="D184" t="str">
            <v>C10 Alc (14 * 170 kgs)</v>
          </cell>
          <cell r="O184">
            <v>0</v>
          </cell>
        </row>
        <row r="185">
          <cell r="A185">
            <v>241</v>
          </cell>
          <cell r="B185" t="str">
            <v>FG</v>
          </cell>
          <cell r="C185" t="str">
            <v>NM</v>
          </cell>
          <cell r="D185" t="str">
            <v>C12</v>
          </cell>
          <cell r="BC185">
            <v>18.5</v>
          </cell>
          <cell r="BU185">
            <v>18.5</v>
          </cell>
          <cell r="CD185">
            <v>18.5</v>
          </cell>
          <cell r="CM185">
            <v>18.5</v>
          </cell>
          <cell r="CV185">
            <v>18.5</v>
          </cell>
          <cell r="DE185">
            <v>18.5</v>
          </cell>
          <cell r="DN185">
            <v>16.5</v>
          </cell>
          <cell r="DW185">
            <v>13.5</v>
          </cell>
          <cell r="EF185">
            <v>11.5</v>
          </cell>
          <cell r="EO185">
            <v>10</v>
          </cell>
          <cell r="FG185">
            <v>10</v>
          </cell>
          <cell r="FP185">
            <v>8</v>
          </cell>
          <cell r="FY185">
            <v>8</v>
          </cell>
          <cell r="GH185">
            <v>8</v>
          </cell>
          <cell r="GQ185">
            <v>8</v>
          </cell>
        </row>
        <row r="186">
          <cell r="A186">
            <v>244</v>
          </cell>
          <cell r="B186" t="str">
            <v>FG</v>
          </cell>
          <cell r="C186" t="str">
            <v>NM</v>
          </cell>
          <cell r="D186" t="str">
            <v>STEARIC-90</v>
          </cell>
          <cell r="E186" t="str">
            <v>STEARIC-90</v>
          </cell>
          <cell r="DB186">
            <v>81.900000000000006</v>
          </cell>
          <cell r="DK186">
            <v>81.900000000000006</v>
          </cell>
          <cell r="DT186">
            <v>81.900000000000006</v>
          </cell>
          <cell r="EC186">
            <v>81.900000000000006</v>
          </cell>
          <cell r="EL186">
            <v>81.8</v>
          </cell>
          <cell r="EU186">
            <v>81.8</v>
          </cell>
          <cell r="FM186">
            <v>81.8</v>
          </cell>
          <cell r="FV186">
            <v>81.8</v>
          </cell>
          <cell r="GE186">
            <v>81.8</v>
          </cell>
          <cell r="GN186">
            <v>81.8</v>
          </cell>
        </row>
        <row r="187">
          <cell r="A187">
            <v>246</v>
          </cell>
          <cell r="B187" t="str">
            <v>FG</v>
          </cell>
          <cell r="C187" t="str">
            <v>NM</v>
          </cell>
          <cell r="D187" t="str">
            <v>HPS 25 KGS</v>
          </cell>
          <cell r="FG187">
            <v>15.95</v>
          </cell>
          <cell r="FP187">
            <v>15.95</v>
          </cell>
        </row>
        <row r="188">
          <cell r="F188">
            <v>296.90000000000003</v>
          </cell>
          <cell r="G188">
            <v>0</v>
          </cell>
          <cell r="H188">
            <v>129.35000000000002</v>
          </cell>
          <cell r="I188">
            <v>539.01499999999999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965.2650000000001</v>
          </cell>
          <cell r="P188">
            <v>259.40000000000003</v>
          </cell>
          <cell r="Q188">
            <v>0</v>
          </cell>
          <cell r="R188">
            <v>225.9</v>
          </cell>
          <cell r="S188">
            <v>667.66500000000008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294.85000000000002</v>
          </cell>
          <cell r="Z188">
            <v>0</v>
          </cell>
          <cell r="AA188">
            <v>267.89999999999998</v>
          </cell>
          <cell r="AB188">
            <v>666.04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262.25</v>
          </cell>
          <cell r="AI188">
            <v>0</v>
          </cell>
          <cell r="AJ188">
            <v>287.27500000000003</v>
          </cell>
          <cell r="AK188">
            <v>594.19000000000005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260.55</v>
          </cell>
          <cell r="AR188">
            <v>0</v>
          </cell>
          <cell r="AS188">
            <v>269.77500000000003</v>
          </cell>
          <cell r="AT188">
            <v>651.46500000000003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290.65000000000003</v>
          </cell>
          <cell r="BA188">
            <v>0</v>
          </cell>
          <cell r="BB188">
            <v>310.77500000000003</v>
          </cell>
          <cell r="BC188">
            <v>759.31500000000005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257.90000000000003</v>
          </cell>
          <cell r="BJ188">
            <v>0</v>
          </cell>
          <cell r="BK188">
            <v>341.77500000000003</v>
          </cell>
          <cell r="BL188">
            <v>669.01499999999999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223.65</v>
          </cell>
          <cell r="BS188">
            <v>0</v>
          </cell>
          <cell r="BT188">
            <v>359.77500000000003</v>
          </cell>
          <cell r="BU188">
            <v>721.46500000000003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172.64999999999998</v>
          </cell>
          <cell r="CB188">
            <v>0</v>
          </cell>
          <cell r="CC188">
            <v>274.77500000000003</v>
          </cell>
          <cell r="CD188">
            <v>623.18499999999995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156.64999999999998</v>
          </cell>
          <cell r="CK188">
            <v>0</v>
          </cell>
          <cell r="CL188">
            <v>240.77500000000001</v>
          </cell>
          <cell r="CM188">
            <v>677.0150000000001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211.65</v>
          </cell>
          <cell r="CT188">
            <v>0</v>
          </cell>
          <cell r="CU188">
            <v>222.77500000000001</v>
          </cell>
          <cell r="CV188">
            <v>621.91500000000008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171.15</v>
          </cell>
          <cell r="DC188">
            <v>0</v>
          </cell>
          <cell r="DD188">
            <v>156.77500000000001</v>
          </cell>
          <cell r="DE188">
            <v>684.21500000000003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150.44999999999999</v>
          </cell>
          <cell r="DL188">
            <v>0</v>
          </cell>
          <cell r="DM188">
            <v>193.77500000000001</v>
          </cell>
          <cell r="DN188">
            <v>716.11500000000012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236.85</v>
          </cell>
          <cell r="DU188">
            <v>0</v>
          </cell>
          <cell r="DV188">
            <v>193.77500000000001</v>
          </cell>
          <cell r="DW188">
            <v>851.71499999999992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236.85</v>
          </cell>
          <cell r="ED188">
            <v>0</v>
          </cell>
          <cell r="EE188">
            <v>209.27500000000001</v>
          </cell>
          <cell r="EF188">
            <v>712.96499999999992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244.59999999999997</v>
          </cell>
          <cell r="EM188">
            <v>0</v>
          </cell>
          <cell r="EN188">
            <v>150.625</v>
          </cell>
          <cell r="EO188">
            <v>704.49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191.59999999999997</v>
          </cell>
          <cell r="EV188">
            <v>0</v>
          </cell>
          <cell r="EW188">
            <v>149.625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136.625</v>
          </cell>
          <cell r="FG188">
            <v>542.21499999999992</v>
          </cell>
          <cell r="FH188">
            <v>0</v>
          </cell>
          <cell r="FI188">
            <v>0</v>
          </cell>
          <cell r="FJ188">
            <v>0</v>
          </cell>
          <cell r="FK188">
            <v>0</v>
          </cell>
          <cell r="FL188">
            <v>0</v>
          </cell>
          <cell r="FM188">
            <v>146.1</v>
          </cell>
          <cell r="FN188">
            <v>0</v>
          </cell>
          <cell r="FO188">
            <v>131.72500000000002</v>
          </cell>
          <cell r="FP188">
            <v>356.71499999999992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125.1</v>
          </cell>
          <cell r="FW188">
            <v>0</v>
          </cell>
          <cell r="FX188">
            <v>131.72500000000002</v>
          </cell>
          <cell r="FY188">
            <v>359.46499999999997</v>
          </cell>
          <cell r="FZ188">
            <v>0</v>
          </cell>
          <cell r="GA188">
            <v>0</v>
          </cell>
          <cell r="GB188">
            <v>0</v>
          </cell>
          <cell r="GC188">
            <v>0</v>
          </cell>
          <cell r="GD188">
            <v>0</v>
          </cell>
          <cell r="GE188">
            <v>98.1</v>
          </cell>
          <cell r="GF188">
            <v>0</v>
          </cell>
          <cell r="GG188">
            <v>62.625</v>
          </cell>
          <cell r="GH188">
            <v>239.715</v>
          </cell>
          <cell r="GI188">
            <v>0</v>
          </cell>
          <cell r="GJ188">
            <v>0</v>
          </cell>
          <cell r="GK188">
            <v>0</v>
          </cell>
          <cell r="GL188">
            <v>0</v>
          </cell>
          <cell r="GM188">
            <v>0</v>
          </cell>
          <cell r="GN188">
            <v>87.1</v>
          </cell>
          <cell r="GO188">
            <v>0</v>
          </cell>
          <cell r="GP188">
            <v>89.725000000000009</v>
          </cell>
          <cell r="GQ188">
            <v>330.315</v>
          </cell>
          <cell r="GR188">
            <v>0</v>
          </cell>
          <cell r="GS188">
            <v>0</v>
          </cell>
          <cell r="GT188">
            <v>0</v>
          </cell>
          <cell r="GU188">
            <v>0</v>
          </cell>
          <cell r="GV188">
            <v>0</v>
          </cell>
        </row>
        <row r="189">
          <cell r="A189" t="str">
            <v>FATTY ALCOHOLS</v>
          </cell>
        </row>
        <row r="190">
          <cell r="A190">
            <v>257</v>
          </cell>
          <cell r="B190" t="str">
            <v>FG</v>
          </cell>
          <cell r="C190" t="str">
            <v>FM</v>
          </cell>
          <cell r="D190" t="str">
            <v>VEGROL10</v>
          </cell>
          <cell r="EW190">
            <v>45.28</v>
          </cell>
          <cell r="EX190">
            <v>456.69</v>
          </cell>
          <cell r="FB190">
            <v>33.03</v>
          </cell>
          <cell r="FF190">
            <v>504.07</v>
          </cell>
          <cell r="FG190">
            <v>115</v>
          </cell>
          <cell r="FK190">
            <v>30.85</v>
          </cell>
          <cell r="FO190">
            <v>0.67000000000007276</v>
          </cell>
          <cell r="FP190">
            <v>949</v>
          </cell>
          <cell r="FT190">
            <v>30.84</v>
          </cell>
          <cell r="FY190">
            <v>15</v>
          </cell>
        </row>
        <row r="191">
          <cell r="A191">
            <v>161</v>
          </cell>
          <cell r="B191" t="str">
            <v>FG</v>
          </cell>
          <cell r="C191" t="str">
            <v>FM</v>
          </cell>
          <cell r="D191" t="str">
            <v>VEGROL1214</v>
          </cell>
          <cell r="I191">
            <v>926.94</v>
          </cell>
          <cell r="M191">
            <v>45.5</v>
          </cell>
          <cell r="O191">
            <v>972.44</v>
          </cell>
          <cell r="S191">
            <v>136.36000000000001</v>
          </cell>
          <cell r="AB191">
            <v>605.91999999999996</v>
          </cell>
          <cell r="AF191">
            <v>4.99</v>
          </cell>
          <cell r="AJ191">
            <v>885.06</v>
          </cell>
          <cell r="AK191">
            <v>448.98</v>
          </cell>
          <cell r="AO191">
            <v>112.43</v>
          </cell>
          <cell r="AS191">
            <v>1263.27</v>
          </cell>
          <cell r="AT191">
            <v>302.31</v>
          </cell>
          <cell r="AX191">
            <v>39.25</v>
          </cell>
          <cell r="BB191">
            <v>1263.27</v>
          </cell>
          <cell r="BC191">
            <v>733.95</v>
          </cell>
          <cell r="BG191">
            <v>210.37</v>
          </cell>
          <cell r="BL191">
            <v>92.24</v>
          </cell>
          <cell r="BP191">
            <v>69.87</v>
          </cell>
          <cell r="BU191">
            <v>488.1</v>
          </cell>
          <cell r="BY191">
            <v>55.36</v>
          </cell>
          <cell r="CD191">
            <v>1051.8399999999999</v>
          </cell>
          <cell r="CH191">
            <v>54.13</v>
          </cell>
          <cell r="CM191">
            <v>1462.93</v>
          </cell>
          <cell r="CQ191">
            <v>24.82</v>
          </cell>
          <cell r="CU191">
            <v>383.36</v>
          </cell>
          <cell r="CV191">
            <v>1278.58</v>
          </cell>
          <cell r="CZ191">
            <v>89.28</v>
          </cell>
          <cell r="DE191">
            <v>530.54</v>
          </cell>
          <cell r="DI191">
            <v>15.24</v>
          </cell>
          <cell r="DN191">
            <v>300.58999999999997</v>
          </cell>
          <cell r="DR191">
            <v>14.69</v>
          </cell>
          <cell r="DW191">
            <v>251.63</v>
          </cell>
          <cell r="EA191">
            <v>31.05</v>
          </cell>
          <cell r="EF191">
            <v>0.91</v>
          </cell>
          <cell r="EO191">
            <v>173.36</v>
          </cell>
          <cell r="ES191">
            <v>66.69</v>
          </cell>
          <cell r="EX191">
            <v>450.82</v>
          </cell>
          <cell r="FB191">
            <v>91.37</v>
          </cell>
          <cell r="FF191">
            <v>292.54000000000002</v>
          </cell>
          <cell r="FG191">
            <v>1006</v>
          </cell>
          <cell r="FK191">
            <v>29.48</v>
          </cell>
          <cell r="FO191">
            <v>979.85</v>
          </cell>
          <cell r="FP191">
            <v>425</v>
          </cell>
          <cell r="FX191">
            <v>0.67</v>
          </cell>
          <cell r="FY191">
            <v>819</v>
          </cell>
          <cell r="GC191">
            <v>65.459999999999994</v>
          </cell>
          <cell r="GG191">
            <v>0.67000000000007276</v>
          </cell>
          <cell r="GH191">
            <v>571</v>
          </cell>
          <cell r="GL191">
            <v>50.76</v>
          </cell>
        </row>
        <row r="192">
          <cell r="A192">
            <v>162</v>
          </cell>
          <cell r="B192" t="str">
            <v>FG</v>
          </cell>
          <cell r="C192" t="str">
            <v>FM</v>
          </cell>
          <cell r="D192" t="str">
            <v>VEGROL1216</v>
          </cell>
          <cell r="H192">
            <v>1098.72</v>
          </cell>
          <cell r="I192">
            <v>391.51</v>
          </cell>
          <cell r="O192">
            <v>1490.23</v>
          </cell>
          <cell r="R192">
            <v>90.66</v>
          </cell>
          <cell r="S192">
            <v>47</v>
          </cell>
          <cell r="AA192">
            <v>90.66</v>
          </cell>
          <cell r="AB192">
            <v>129.76</v>
          </cell>
          <cell r="AF192">
            <v>29.55</v>
          </cell>
          <cell r="AJ192">
            <v>90.66</v>
          </cell>
          <cell r="AK192">
            <v>21.57</v>
          </cell>
          <cell r="AO192">
            <v>59.52</v>
          </cell>
          <cell r="AS192">
            <v>1010.51</v>
          </cell>
          <cell r="AX192">
            <v>6.55</v>
          </cell>
          <cell r="BB192">
            <v>1010.51</v>
          </cell>
          <cell r="BC192">
            <v>202.68</v>
          </cell>
          <cell r="BK192">
            <v>45.28</v>
          </cell>
          <cell r="BL192">
            <v>920.86</v>
          </cell>
          <cell r="BT192">
            <v>45.28</v>
          </cell>
          <cell r="BU192">
            <v>1006.19</v>
          </cell>
          <cell r="CC192">
            <v>45.28</v>
          </cell>
          <cell r="CD192">
            <v>928.92</v>
          </cell>
          <cell r="CL192">
            <v>45.28</v>
          </cell>
          <cell r="CM192">
            <v>890.63</v>
          </cell>
          <cell r="CQ192">
            <v>30.48</v>
          </cell>
          <cell r="CU192">
            <v>45.28</v>
          </cell>
          <cell r="CV192">
            <v>974.95</v>
          </cell>
          <cell r="CZ192">
            <v>46.09</v>
          </cell>
          <cell r="DD192">
            <v>45.28</v>
          </cell>
          <cell r="DE192">
            <v>966.53</v>
          </cell>
          <cell r="DI192">
            <v>44.72</v>
          </cell>
          <cell r="DM192">
            <v>45.28</v>
          </cell>
          <cell r="DN192">
            <v>797.4</v>
          </cell>
          <cell r="DV192">
            <v>45.28</v>
          </cell>
          <cell r="DW192">
            <v>637.63</v>
          </cell>
          <cell r="EE192">
            <v>45.28</v>
          </cell>
          <cell r="EF192">
            <v>637.24</v>
          </cell>
          <cell r="EN192">
            <v>45.28</v>
          </cell>
          <cell r="EO192">
            <v>637.29999999999995</v>
          </cell>
          <cell r="ES192">
            <v>46.38</v>
          </cell>
          <cell r="EX192">
            <v>640.62</v>
          </cell>
          <cell r="FG192">
            <v>531</v>
          </cell>
          <cell r="FK192">
            <v>30.15</v>
          </cell>
          <cell r="FP192">
            <v>599.87</v>
          </cell>
          <cell r="FX192">
            <v>460.72</v>
          </cell>
          <cell r="FY192">
            <v>944</v>
          </cell>
          <cell r="GG192">
            <v>29.839999999999861</v>
          </cell>
          <cell r="GH192">
            <v>1043</v>
          </cell>
          <cell r="GP192">
            <v>30.510000000000073</v>
          </cell>
          <cell r="GQ192">
            <v>1026</v>
          </cell>
          <cell r="GU192">
            <v>30.62</v>
          </cell>
        </row>
        <row r="193">
          <cell r="A193">
            <v>163</v>
          </cell>
          <cell r="B193" t="str">
            <v>FG</v>
          </cell>
          <cell r="C193" t="str">
            <v>FM</v>
          </cell>
          <cell r="D193" t="str">
            <v>VEGROL 1218</v>
          </cell>
          <cell r="I193">
            <v>491.79</v>
          </cell>
          <cell r="O193">
            <v>491.79</v>
          </cell>
          <cell r="S193">
            <v>608.51</v>
          </cell>
          <cell r="AB193">
            <v>606.6</v>
          </cell>
          <cell r="AK193">
            <v>512.75</v>
          </cell>
          <cell r="AT193">
            <v>620.49</v>
          </cell>
          <cell r="BC193">
            <v>731.18</v>
          </cell>
          <cell r="BL193">
            <v>711.75</v>
          </cell>
          <cell r="BP193">
            <v>14.86</v>
          </cell>
          <cell r="BU193">
            <v>697.58</v>
          </cell>
          <cell r="CD193">
            <v>656.19</v>
          </cell>
          <cell r="CM193">
            <v>699.5</v>
          </cell>
          <cell r="CQ193">
            <v>14.15</v>
          </cell>
          <cell r="CV193">
            <v>665.44</v>
          </cell>
          <cell r="DE193">
            <v>628.4</v>
          </cell>
          <cell r="DN193">
            <v>584.38</v>
          </cell>
          <cell r="DW193">
            <v>584.38</v>
          </cell>
          <cell r="EF193">
            <v>578.94000000000005</v>
          </cell>
          <cell r="EO193">
            <v>570.9</v>
          </cell>
          <cell r="EX193">
            <v>886.33</v>
          </cell>
          <cell r="FY193">
            <v>694</v>
          </cell>
          <cell r="GH193">
            <v>600.17999999999995</v>
          </cell>
          <cell r="GL193">
            <v>16.059999999999999</v>
          </cell>
          <cell r="GQ193">
            <v>622</v>
          </cell>
        </row>
        <row r="194">
          <cell r="A194">
            <v>164</v>
          </cell>
          <cell r="B194" t="str">
            <v>FG</v>
          </cell>
          <cell r="C194" t="str">
            <v>FM</v>
          </cell>
          <cell r="D194" t="str">
            <v>VEGROL C1618TA</v>
          </cell>
          <cell r="I194">
            <v>1509.1</v>
          </cell>
          <cell r="O194">
            <v>1509.1</v>
          </cell>
          <cell r="S194">
            <v>1450</v>
          </cell>
          <cell r="AB194">
            <v>1370.1</v>
          </cell>
          <cell r="AK194">
            <v>1272</v>
          </cell>
          <cell r="AT194">
            <v>1176.5</v>
          </cell>
          <cell r="BC194">
            <v>1061.5999999999999</v>
          </cell>
          <cell r="BL194">
            <v>755.14</v>
          </cell>
          <cell r="BU194">
            <v>538.15</v>
          </cell>
          <cell r="CD194">
            <v>491.71</v>
          </cell>
          <cell r="CM194">
            <v>312.85000000000002</v>
          </cell>
          <cell r="CQ194">
            <v>18.899999999999999</v>
          </cell>
          <cell r="CV194">
            <v>200.37</v>
          </cell>
          <cell r="DE194">
            <v>125.3</v>
          </cell>
          <cell r="DN194">
            <v>1474.3</v>
          </cell>
          <cell r="DW194">
            <v>1123.3</v>
          </cell>
          <cell r="EF194">
            <v>983.7</v>
          </cell>
          <cell r="EO194">
            <v>897.4</v>
          </cell>
          <cell r="EX194">
            <v>49.21</v>
          </cell>
          <cell r="FG194">
            <v>37</v>
          </cell>
          <cell r="GH194">
            <v>839</v>
          </cell>
          <cell r="GQ194">
            <v>826</v>
          </cell>
        </row>
        <row r="195">
          <cell r="A195">
            <v>165</v>
          </cell>
          <cell r="B195" t="str">
            <v>FG</v>
          </cell>
          <cell r="C195" t="str">
            <v>FM</v>
          </cell>
          <cell r="D195" t="str">
            <v>VEGROL C1618(50:50)</v>
          </cell>
          <cell r="I195">
            <v>243.66</v>
          </cell>
          <cell r="O195">
            <v>243.66</v>
          </cell>
          <cell r="S195">
            <v>243.73</v>
          </cell>
          <cell r="AB195">
            <v>200.6</v>
          </cell>
          <cell r="AK195">
            <v>133.66999999999999</v>
          </cell>
          <cell r="AT195">
            <v>81.06</v>
          </cell>
          <cell r="BC195">
            <v>81.06</v>
          </cell>
          <cell r="BL195">
            <v>64.67</v>
          </cell>
          <cell r="BU195">
            <v>44.86</v>
          </cell>
          <cell r="CD195">
            <v>3.65</v>
          </cell>
          <cell r="CM195">
            <v>1.94</v>
          </cell>
          <cell r="CV195">
            <v>1.94</v>
          </cell>
          <cell r="DE195">
            <v>1.49</v>
          </cell>
          <cell r="DN195">
            <v>337.2</v>
          </cell>
          <cell r="DW195">
            <v>279.39</v>
          </cell>
          <cell r="EF195">
            <v>228.41</v>
          </cell>
          <cell r="EO195">
            <v>162.93</v>
          </cell>
        </row>
        <row r="196">
          <cell r="A196">
            <v>166</v>
          </cell>
          <cell r="B196" t="str">
            <v>FG</v>
          </cell>
          <cell r="C196" t="str">
            <v>FM</v>
          </cell>
          <cell r="D196" t="str">
            <v>VEGROL C1618PS</v>
          </cell>
          <cell r="O196">
            <v>0</v>
          </cell>
          <cell r="EX196">
            <v>190.04</v>
          </cell>
        </row>
        <row r="197">
          <cell r="A197">
            <v>167</v>
          </cell>
          <cell r="B197" t="str">
            <v>FG</v>
          </cell>
          <cell r="C197" t="str">
            <v>FM</v>
          </cell>
          <cell r="D197" t="str">
            <v>VEGROL C1698</v>
          </cell>
          <cell r="I197">
            <v>550.64</v>
          </cell>
          <cell r="O197">
            <v>550.64</v>
          </cell>
          <cell r="S197">
            <v>375.31</v>
          </cell>
          <cell r="AB197">
            <v>315.7</v>
          </cell>
          <cell r="AK197">
            <v>315.72000000000003</v>
          </cell>
          <cell r="AT197">
            <v>252.05</v>
          </cell>
          <cell r="BC197">
            <v>242.41</v>
          </cell>
          <cell r="BL197">
            <v>242.41</v>
          </cell>
          <cell r="BU197">
            <v>205.71</v>
          </cell>
          <cell r="CD197">
            <v>136.49</v>
          </cell>
          <cell r="CM197">
            <v>136.49</v>
          </cell>
          <cell r="CV197">
            <v>136.49</v>
          </cell>
          <cell r="DE197">
            <v>520.04999999999995</v>
          </cell>
          <cell r="DN197">
            <v>316.86</v>
          </cell>
          <cell r="DW197">
            <v>303.37</v>
          </cell>
          <cell r="EF197">
            <v>303.27</v>
          </cell>
          <cell r="EO197">
            <v>280.04000000000002</v>
          </cell>
        </row>
        <row r="198">
          <cell r="A198">
            <v>168</v>
          </cell>
          <cell r="B198" t="str">
            <v>FG</v>
          </cell>
          <cell r="C198" t="str">
            <v>FM</v>
          </cell>
          <cell r="D198" t="str">
            <v>VEGROL C1895</v>
          </cell>
          <cell r="O198">
            <v>0</v>
          </cell>
          <cell r="EX198">
            <v>102.19</v>
          </cell>
        </row>
        <row r="199">
          <cell r="A199">
            <v>169</v>
          </cell>
          <cell r="B199" t="str">
            <v>FG</v>
          </cell>
          <cell r="C199" t="str">
            <v>FM</v>
          </cell>
          <cell r="D199" t="str">
            <v>VEGROL C1898</v>
          </cell>
          <cell r="I199">
            <v>433.54</v>
          </cell>
          <cell r="O199">
            <v>433.54</v>
          </cell>
          <cell r="S199">
            <v>532</v>
          </cell>
          <cell r="AB199">
            <v>471.2</v>
          </cell>
          <cell r="AK199">
            <v>409.1</v>
          </cell>
          <cell r="AT199">
            <v>360.5</v>
          </cell>
          <cell r="BC199">
            <v>357.75</v>
          </cell>
          <cell r="BL199">
            <v>355.94</v>
          </cell>
          <cell r="BU199">
            <v>320.05</v>
          </cell>
          <cell r="CD199">
            <v>259.08</v>
          </cell>
          <cell r="CM199">
            <v>258.39999999999998</v>
          </cell>
          <cell r="CV199">
            <v>261.74</v>
          </cell>
          <cell r="DE199">
            <v>208.28</v>
          </cell>
          <cell r="DN199">
            <v>202.38</v>
          </cell>
          <cell r="DW199">
            <v>183.82</v>
          </cell>
          <cell r="EF199">
            <v>178.76</v>
          </cell>
          <cell r="EO199">
            <v>149.80000000000001</v>
          </cell>
          <cell r="EX199">
            <v>369.56</v>
          </cell>
          <cell r="FG199">
            <v>97</v>
          </cell>
          <cell r="FP199">
            <v>60</v>
          </cell>
        </row>
        <row r="200">
          <cell r="A200">
            <v>170</v>
          </cell>
          <cell r="B200" t="str">
            <v>FG</v>
          </cell>
          <cell r="C200" t="str">
            <v>FM</v>
          </cell>
          <cell r="D200" t="str">
            <v>VEGROL C1822 (seed alc)</v>
          </cell>
          <cell r="I200">
            <v>254.62</v>
          </cell>
          <cell r="O200">
            <v>254.62</v>
          </cell>
          <cell r="S200">
            <v>254.38</v>
          </cell>
          <cell r="AB200">
            <v>254.33</v>
          </cell>
          <cell r="AK200">
            <v>254.5</v>
          </cell>
          <cell r="AT200">
            <v>254.5</v>
          </cell>
          <cell r="BC200">
            <v>236.79</v>
          </cell>
          <cell r="BG200">
            <v>19.29</v>
          </cell>
          <cell r="BL200">
            <v>236.79</v>
          </cell>
          <cell r="BU200">
            <v>272.05</v>
          </cell>
          <cell r="CD200">
            <v>157.08000000000001</v>
          </cell>
          <cell r="CM200">
            <v>203.84</v>
          </cell>
          <cell r="CV200">
            <v>203.84</v>
          </cell>
          <cell r="DE200">
            <v>98.62</v>
          </cell>
          <cell r="DN200">
            <v>98.37</v>
          </cell>
          <cell r="DW200">
            <v>513.79999999999995</v>
          </cell>
          <cell r="EF200">
            <v>404.84</v>
          </cell>
          <cell r="EO200">
            <v>405.22</v>
          </cell>
        </row>
        <row r="201">
          <cell r="A201">
            <v>171</v>
          </cell>
          <cell r="B201" t="str">
            <v>FG</v>
          </cell>
          <cell r="C201" t="str">
            <v>SM</v>
          </cell>
          <cell r="D201" t="str">
            <v>VEGROL C20:2250:50</v>
          </cell>
          <cell r="O201">
            <v>0</v>
          </cell>
          <cell r="EX201">
            <v>601.75</v>
          </cell>
          <cell r="FG201">
            <v>448</v>
          </cell>
          <cell r="FP201">
            <v>202</v>
          </cell>
          <cell r="GQ201">
            <v>556</v>
          </cell>
        </row>
        <row r="202">
          <cell r="A202">
            <v>172</v>
          </cell>
          <cell r="B202" t="str">
            <v>FG</v>
          </cell>
          <cell r="C202" t="str">
            <v>SM</v>
          </cell>
          <cell r="D202" t="str">
            <v>VEGROL C2280</v>
          </cell>
          <cell r="I202">
            <v>258.73</v>
          </cell>
          <cell r="O202">
            <v>258.73</v>
          </cell>
          <cell r="S202">
            <v>349.6</v>
          </cell>
          <cell r="AB202">
            <v>259.68</v>
          </cell>
          <cell r="AK202">
            <v>205</v>
          </cell>
          <cell r="AT202">
            <v>205</v>
          </cell>
          <cell r="BC202">
            <v>205</v>
          </cell>
          <cell r="BL202">
            <v>205</v>
          </cell>
          <cell r="BU202">
            <v>205.6</v>
          </cell>
          <cell r="CD202">
            <v>205.6</v>
          </cell>
          <cell r="CM202">
            <v>158.6</v>
          </cell>
          <cell r="CV202">
            <v>158.6</v>
          </cell>
          <cell r="DE202">
            <v>158.6</v>
          </cell>
          <cell r="DW202">
            <v>390.24</v>
          </cell>
          <cell r="EF202">
            <v>666.2</v>
          </cell>
          <cell r="EO202">
            <v>629.72</v>
          </cell>
          <cell r="FY202">
            <v>143</v>
          </cell>
          <cell r="GH202">
            <v>97</v>
          </cell>
          <cell r="GQ202">
            <v>97</v>
          </cell>
        </row>
        <row r="203">
          <cell r="A203">
            <v>173</v>
          </cell>
          <cell r="B203" t="str">
            <v>FG</v>
          </cell>
          <cell r="C203" t="str">
            <v>SM</v>
          </cell>
          <cell r="D203" t="str">
            <v>VEGROL1216 CONCENTRATED</v>
          </cell>
          <cell r="I203">
            <v>960.5</v>
          </cell>
          <cell r="O203">
            <v>960.5</v>
          </cell>
          <cell r="S203">
            <v>920.8</v>
          </cell>
          <cell r="AB203">
            <v>743</v>
          </cell>
          <cell r="AK203">
            <v>642</v>
          </cell>
          <cell r="AT203">
            <v>356.1</v>
          </cell>
          <cell r="BC203">
            <v>133.6</v>
          </cell>
          <cell r="BL203">
            <v>133.6</v>
          </cell>
          <cell r="BU203">
            <v>133.6</v>
          </cell>
          <cell r="CD203">
            <v>133.6</v>
          </cell>
          <cell r="CM203">
            <v>112.2</v>
          </cell>
          <cell r="CV203">
            <v>234.1</v>
          </cell>
          <cell r="DE203">
            <v>234.1</v>
          </cell>
          <cell r="FG203">
            <v>271</v>
          </cell>
          <cell r="FP203">
            <v>285</v>
          </cell>
        </row>
        <row r="204">
          <cell r="A204">
            <v>250</v>
          </cell>
          <cell r="B204" t="str">
            <v>FG</v>
          </cell>
          <cell r="C204" t="str">
            <v>SM</v>
          </cell>
          <cell r="D204" t="str">
            <v>VEGROL C2270</v>
          </cell>
          <cell r="FY204">
            <v>280</v>
          </cell>
          <cell r="GH204">
            <v>236</v>
          </cell>
          <cell r="GQ204">
            <v>236</v>
          </cell>
        </row>
        <row r="205">
          <cell r="F205">
            <v>0</v>
          </cell>
          <cell r="G205">
            <v>0</v>
          </cell>
          <cell r="H205">
            <v>1098.72</v>
          </cell>
          <cell r="I205">
            <v>6021.0300000000007</v>
          </cell>
          <cell r="J205">
            <v>0</v>
          </cell>
          <cell r="K205">
            <v>0</v>
          </cell>
          <cell r="L205">
            <v>0</v>
          </cell>
          <cell r="M205">
            <v>45.5</v>
          </cell>
          <cell r="N205">
            <v>0</v>
          </cell>
          <cell r="O205">
            <v>7165.25</v>
          </cell>
          <cell r="P205">
            <v>0</v>
          </cell>
          <cell r="Q205">
            <v>0</v>
          </cell>
          <cell r="R205">
            <v>90.66</v>
          </cell>
          <cell r="S205">
            <v>4917.6899999999996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90.66</v>
          </cell>
          <cell r="AB205">
            <v>4956.8899999999994</v>
          </cell>
          <cell r="AC205">
            <v>0</v>
          </cell>
          <cell r="AD205">
            <v>0</v>
          </cell>
          <cell r="AE205">
            <v>0</v>
          </cell>
          <cell r="AF205">
            <v>34.54</v>
          </cell>
          <cell r="AG205">
            <v>0</v>
          </cell>
          <cell r="AH205">
            <v>0</v>
          </cell>
          <cell r="AI205">
            <v>0</v>
          </cell>
          <cell r="AJ205">
            <v>975.71999999999991</v>
          </cell>
          <cell r="AK205">
            <v>4215.2900000000009</v>
          </cell>
          <cell r="AL205">
            <v>0</v>
          </cell>
          <cell r="AM205">
            <v>0</v>
          </cell>
          <cell r="AN205">
            <v>0</v>
          </cell>
          <cell r="AO205">
            <v>171.95000000000002</v>
          </cell>
          <cell r="AP205">
            <v>0</v>
          </cell>
          <cell r="AQ205">
            <v>0</v>
          </cell>
          <cell r="AR205">
            <v>0</v>
          </cell>
          <cell r="AS205">
            <v>2273.7799999999997</v>
          </cell>
          <cell r="AT205">
            <v>3608.51</v>
          </cell>
          <cell r="AU205">
            <v>0</v>
          </cell>
          <cell r="AV205">
            <v>0</v>
          </cell>
          <cell r="AW205">
            <v>0</v>
          </cell>
          <cell r="AX205">
            <v>45.8</v>
          </cell>
          <cell r="AY205">
            <v>0</v>
          </cell>
          <cell r="AZ205">
            <v>0</v>
          </cell>
          <cell r="BA205">
            <v>0</v>
          </cell>
          <cell r="BB205">
            <v>2273.7799999999997</v>
          </cell>
          <cell r="BC205">
            <v>3986.0199999999995</v>
          </cell>
          <cell r="BD205">
            <v>0</v>
          </cell>
          <cell r="BE205">
            <v>0</v>
          </cell>
          <cell r="BF205">
            <v>0</v>
          </cell>
          <cell r="BG205">
            <v>229.66</v>
          </cell>
          <cell r="BH205">
            <v>0</v>
          </cell>
          <cell r="BI205">
            <v>0</v>
          </cell>
          <cell r="BJ205">
            <v>0</v>
          </cell>
          <cell r="BK205">
            <v>45.28</v>
          </cell>
          <cell r="BL205">
            <v>3718.3999999999996</v>
          </cell>
          <cell r="BM205">
            <v>0</v>
          </cell>
          <cell r="BN205">
            <v>0</v>
          </cell>
          <cell r="BO205">
            <v>0</v>
          </cell>
          <cell r="BP205">
            <v>84.73</v>
          </cell>
          <cell r="BQ205">
            <v>0</v>
          </cell>
          <cell r="BR205">
            <v>0</v>
          </cell>
          <cell r="BS205">
            <v>0</v>
          </cell>
          <cell r="BT205">
            <v>45.28</v>
          </cell>
          <cell r="BU205">
            <v>3911.8900000000003</v>
          </cell>
          <cell r="BV205">
            <v>0</v>
          </cell>
          <cell r="BW205">
            <v>0</v>
          </cell>
          <cell r="BX205">
            <v>0</v>
          </cell>
          <cell r="BY205">
            <v>55.36</v>
          </cell>
          <cell r="BZ205">
            <v>0</v>
          </cell>
          <cell r="CA205">
            <v>0</v>
          </cell>
          <cell r="CB205">
            <v>0</v>
          </cell>
          <cell r="CC205">
            <v>45.28</v>
          </cell>
          <cell r="CD205">
            <v>4024.16</v>
          </cell>
          <cell r="CE205">
            <v>0</v>
          </cell>
          <cell r="CF205">
            <v>0</v>
          </cell>
          <cell r="CG205">
            <v>0</v>
          </cell>
          <cell r="CH205">
            <v>54.13</v>
          </cell>
          <cell r="CI205">
            <v>0</v>
          </cell>
          <cell r="CJ205">
            <v>0</v>
          </cell>
          <cell r="CK205">
            <v>0</v>
          </cell>
          <cell r="CL205">
            <v>45.28</v>
          </cell>
          <cell r="CM205">
            <v>4237.38</v>
          </cell>
          <cell r="CN205">
            <v>0</v>
          </cell>
          <cell r="CO205">
            <v>0</v>
          </cell>
          <cell r="CP205">
            <v>0</v>
          </cell>
          <cell r="CQ205">
            <v>88.35</v>
          </cell>
          <cell r="CR205">
            <v>0</v>
          </cell>
          <cell r="CS205">
            <v>0</v>
          </cell>
          <cell r="CT205">
            <v>0</v>
          </cell>
          <cell r="CU205">
            <v>428.64</v>
          </cell>
          <cell r="CV205">
            <v>4116.0499999999993</v>
          </cell>
          <cell r="CW205">
            <v>0</v>
          </cell>
          <cell r="CX205">
            <v>0</v>
          </cell>
          <cell r="CY205">
            <v>0</v>
          </cell>
          <cell r="CZ205">
            <v>135.37</v>
          </cell>
          <cell r="DA205">
            <v>0</v>
          </cell>
          <cell r="DB205">
            <v>0</v>
          </cell>
          <cell r="DC205">
            <v>0</v>
          </cell>
          <cell r="DD205">
            <v>45.28</v>
          </cell>
          <cell r="DE205">
            <v>3471.9099999999994</v>
          </cell>
          <cell r="DF205">
            <v>0</v>
          </cell>
          <cell r="DG205">
            <v>0</v>
          </cell>
          <cell r="DH205">
            <v>0</v>
          </cell>
          <cell r="DI205">
            <v>59.96</v>
          </cell>
          <cell r="DJ205">
            <v>0</v>
          </cell>
          <cell r="DK205">
            <v>0</v>
          </cell>
          <cell r="DL205">
            <v>0</v>
          </cell>
          <cell r="DM205">
            <v>45.28</v>
          </cell>
          <cell r="DN205">
            <v>4111.4800000000005</v>
          </cell>
          <cell r="DO205">
            <v>0</v>
          </cell>
          <cell r="DP205">
            <v>0</v>
          </cell>
          <cell r="DQ205">
            <v>0</v>
          </cell>
          <cell r="DR205">
            <v>14.69</v>
          </cell>
          <cell r="DS205">
            <v>0</v>
          </cell>
          <cell r="DT205">
            <v>0</v>
          </cell>
          <cell r="DU205">
            <v>0</v>
          </cell>
          <cell r="DV205">
            <v>45.28</v>
          </cell>
          <cell r="DW205">
            <v>4267.5599999999995</v>
          </cell>
          <cell r="DX205">
            <v>0</v>
          </cell>
          <cell r="DY205">
            <v>0</v>
          </cell>
          <cell r="DZ205">
            <v>0</v>
          </cell>
          <cell r="EA205">
            <v>31.05</v>
          </cell>
          <cell r="EB205">
            <v>0</v>
          </cell>
          <cell r="EC205">
            <v>0</v>
          </cell>
          <cell r="ED205">
            <v>0</v>
          </cell>
          <cell r="EE205">
            <v>45.28</v>
          </cell>
          <cell r="EF205">
            <v>3982.2699999999995</v>
          </cell>
          <cell r="EG205">
            <v>0</v>
          </cell>
          <cell r="EH205">
            <v>0</v>
          </cell>
          <cell r="EI205">
            <v>0</v>
          </cell>
          <cell r="EJ205">
            <v>0</v>
          </cell>
          <cell r="EK205">
            <v>0</v>
          </cell>
          <cell r="EL205">
            <v>0</v>
          </cell>
          <cell r="EM205">
            <v>0</v>
          </cell>
          <cell r="EN205">
            <v>45.28</v>
          </cell>
          <cell r="EO205">
            <v>3906.67</v>
          </cell>
          <cell r="EP205">
            <v>0</v>
          </cell>
          <cell r="EQ205">
            <v>0</v>
          </cell>
          <cell r="ER205">
            <v>0</v>
          </cell>
          <cell r="ES205">
            <v>113.07</v>
          </cell>
          <cell r="ET205">
            <v>0</v>
          </cell>
          <cell r="EU205">
            <v>0</v>
          </cell>
          <cell r="EV205">
            <v>0</v>
          </cell>
          <cell r="EW205">
            <v>45.28</v>
          </cell>
          <cell r="EX205">
            <v>3747.21</v>
          </cell>
          <cell r="EY205">
            <v>0</v>
          </cell>
          <cell r="EZ205">
            <v>0</v>
          </cell>
          <cell r="FA205">
            <v>0</v>
          </cell>
          <cell r="FB205">
            <v>124.4</v>
          </cell>
          <cell r="FC205">
            <v>0</v>
          </cell>
          <cell r="FD205">
            <v>0</v>
          </cell>
          <cell r="FE205">
            <v>0</v>
          </cell>
          <cell r="FF205">
            <v>796.61</v>
          </cell>
          <cell r="FG205">
            <v>2505</v>
          </cell>
          <cell r="FH205">
            <v>0</v>
          </cell>
          <cell r="FI205">
            <v>0</v>
          </cell>
          <cell r="FJ205">
            <v>0</v>
          </cell>
          <cell r="FK205">
            <v>90.47999999999999</v>
          </cell>
          <cell r="FL205">
            <v>0</v>
          </cell>
          <cell r="FM205">
            <v>0</v>
          </cell>
          <cell r="FN205">
            <v>0</v>
          </cell>
          <cell r="FO205">
            <v>980.5200000000001</v>
          </cell>
          <cell r="FP205">
            <v>2520.87</v>
          </cell>
          <cell r="FQ205">
            <v>0</v>
          </cell>
          <cell r="FR205">
            <v>0</v>
          </cell>
          <cell r="FS205">
            <v>0</v>
          </cell>
          <cell r="FT205">
            <v>30.84</v>
          </cell>
          <cell r="FU205">
            <v>0</v>
          </cell>
          <cell r="FV205">
            <v>0</v>
          </cell>
          <cell r="FW205">
            <v>0</v>
          </cell>
          <cell r="FX205">
            <v>461.39000000000004</v>
          </cell>
          <cell r="FY205">
            <v>2895</v>
          </cell>
          <cell r="FZ205">
            <v>0</v>
          </cell>
          <cell r="GA205">
            <v>0</v>
          </cell>
          <cell r="GB205">
            <v>0</v>
          </cell>
          <cell r="GC205">
            <v>65.459999999999994</v>
          </cell>
          <cell r="GD205">
            <v>0</v>
          </cell>
          <cell r="GE205">
            <v>0</v>
          </cell>
          <cell r="GF205">
            <v>0</v>
          </cell>
          <cell r="GG205">
            <v>30.509999999999934</v>
          </cell>
          <cell r="GH205">
            <v>3386.18</v>
          </cell>
          <cell r="GI205">
            <v>0</v>
          </cell>
          <cell r="GJ205">
            <v>0</v>
          </cell>
          <cell r="GK205">
            <v>0</v>
          </cell>
          <cell r="GL205">
            <v>66.819999999999993</v>
          </cell>
          <cell r="GM205">
            <v>0</v>
          </cell>
          <cell r="GN205">
            <v>0</v>
          </cell>
          <cell r="GO205">
            <v>0</v>
          </cell>
          <cell r="GP205">
            <v>30.510000000000073</v>
          </cell>
          <cell r="GQ205">
            <v>3363</v>
          </cell>
          <cell r="GR205">
            <v>0</v>
          </cell>
          <cell r="GS205">
            <v>0</v>
          </cell>
          <cell r="GT205">
            <v>0</v>
          </cell>
          <cell r="GU205">
            <v>30.62</v>
          </cell>
          <cell r="GV205">
            <v>0</v>
          </cell>
        </row>
        <row r="206">
          <cell r="A206" t="str">
            <v>PASTILLES</v>
          </cell>
        </row>
        <row r="207">
          <cell r="A207">
            <v>174</v>
          </cell>
          <cell r="B207" t="str">
            <v>FG</v>
          </cell>
          <cell r="C207" t="str">
            <v>FM</v>
          </cell>
          <cell r="D207" t="str">
            <v>VEGROL C1618TA</v>
          </cell>
          <cell r="I207">
            <v>266.995</v>
          </cell>
          <cell r="O207">
            <v>266.995</v>
          </cell>
          <cell r="S207">
            <v>239.64500000000001</v>
          </cell>
          <cell r="AB207">
            <v>190.851</v>
          </cell>
          <cell r="AK207">
            <v>232.351</v>
          </cell>
          <cell r="AT207">
            <v>218.70099999999999</v>
          </cell>
          <cell r="BC207">
            <v>294.45100000000002</v>
          </cell>
          <cell r="BL207">
            <v>180.751</v>
          </cell>
          <cell r="BU207">
            <v>222.251</v>
          </cell>
          <cell r="CD207">
            <v>145.95099999999999</v>
          </cell>
          <cell r="CM207">
            <v>231.001</v>
          </cell>
          <cell r="CV207">
            <v>166.495</v>
          </cell>
          <cell r="DE207">
            <v>103.26</v>
          </cell>
          <cell r="DN207">
            <v>138.249</v>
          </cell>
          <cell r="DW207">
            <v>70.656999999999996</v>
          </cell>
          <cell r="EF207">
            <v>62.543999999999997</v>
          </cell>
          <cell r="EO207">
            <v>94.66</v>
          </cell>
          <cell r="FG207">
            <v>24.213000000000001</v>
          </cell>
          <cell r="FP207">
            <v>74.212999999999994</v>
          </cell>
          <cell r="FY207">
            <v>71.712999999999994</v>
          </cell>
          <cell r="GH207">
            <v>45.713000000000001</v>
          </cell>
          <cell r="GQ207">
            <v>76.363</v>
          </cell>
        </row>
        <row r="208">
          <cell r="A208">
            <v>175</v>
          </cell>
          <cell r="B208" t="str">
            <v>FG</v>
          </cell>
          <cell r="C208" t="str">
            <v>FM</v>
          </cell>
          <cell r="D208" t="str">
            <v>VEGROL C1618(50:50)</v>
          </cell>
          <cell r="I208">
            <v>117.77</v>
          </cell>
          <cell r="O208">
            <v>117.77</v>
          </cell>
          <cell r="S208">
            <v>108.52</v>
          </cell>
          <cell r="AB208">
            <v>120.52</v>
          </cell>
          <cell r="AK208">
            <v>136.88999999999999</v>
          </cell>
          <cell r="AT208">
            <v>86.6</v>
          </cell>
          <cell r="BC208">
            <v>66.400000000000006</v>
          </cell>
          <cell r="BL208">
            <v>49.4</v>
          </cell>
          <cell r="BU208">
            <v>39.375</v>
          </cell>
          <cell r="CD208">
            <v>63.5</v>
          </cell>
          <cell r="CM208">
            <v>33.5</v>
          </cell>
          <cell r="CV208">
            <v>23.5</v>
          </cell>
          <cell r="DE208">
            <v>2.2000000000000002</v>
          </cell>
          <cell r="DN208">
            <v>33.049999999999997</v>
          </cell>
          <cell r="DW208">
            <v>52.774999999999999</v>
          </cell>
          <cell r="EF208">
            <v>39.549999999999997</v>
          </cell>
          <cell r="EO208">
            <v>52.774999999999999</v>
          </cell>
          <cell r="FG208">
            <v>63.85</v>
          </cell>
          <cell r="FP208">
            <v>88.825000000000003</v>
          </cell>
          <cell r="FY208">
            <v>70.224999999999994</v>
          </cell>
          <cell r="GH208">
            <v>38.024999999999999</v>
          </cell>
          <cell r="GQ208">
            <v>38</v>
          </cell>
        </row>
        <row r="209">
          <cell r="A209">
            <v>176</v>
          </cell>
          <cell r="B209" t="str">
            <v>FG</v>
          </cell>
          <cell r="C209" t="str">
            <v>FM</v>
          </cell>
          <cell r="D209" t="str">
            <v>VEGROL C1618PS</v>
          </cell>
          <cell r="I209">
            <v>11.08</v>
          </cell>
          <cell r="O209">
            <v>11.08</v>
          </cell>
          <cell r="S209">
            <v>11.08</v>
          </cell>
          <cell r="AB209">
            <v>11.08</v>
          </cell>
          <cell r="AK209">
            <v>11.08</v>
          </cell>
          <cell r="BL209">
            <v>0</v>
          </cell>
        </row>
        <row r="210">
          <cell r="A210">
            <v>177</v>
          </cell>
          <cell r="B210" t="str">
            <v>FG</v>
          </cell>
          <cell r="C210" t="str">
            <v>FM</v>
          </cell>
          <cell r="D210" t="str">
            <v>VEGROL C1698</v>
          </cell>
          <cell r="I210">
            <v>96.15</v>
          </cell>
          <cell r="O210">
            <v>96.15</v>
          </cell>
          <cell r="S210">
            <v>116.62</v>
          </cell>
          <cell r="AB210">
            <v>71.739000000000004</v>
          </cell>
          <cell r="AK210">
            <v>65.963999999999999</v>
          </cell>
          <cell r="AT210">
            <v>86.828999999999994</v>
          </cell>
          <cell r="BC210">
            <v>91.578999999999994</v>
          </cell>
          <cell r="BL210">
            <v>85.2</v>
          </cell>
          <cell r="BU210">
            <v>26.065000000000001</v>
          </cell>
          <cell r="CD210">
            <v>22.225000000000001</v>
          </cell>
          <cell r="CM210">
            <v>17.225000000000001</v>
          </cell>
          <cell r="CV210">
            <v>13.225</v>
          </cell>
          <cell r="DE210">
            <v>199.68100000000001</v>
          </cell>
          <cell r="DN210">
            <v>191.501</v>
          </cell>
          <cell r="DW210">
            <v>129.40100000000001</v>
          </cell>
          <cell r="EF210">
            <v>124.051</v>
          </cell>
          <cell r="EO210">
            <v>56.911000000000001</v>
          </cell>
          <cell r="FG210">
            <v>48.341999999999999</v>
          </cell>
          <cell r="FP210">
            <v>60.945999999999998</v>
          </cell>
          <cell r="FY210">
            <v>94.403000000000006</v>
          </cell>
          <cell r="GH210">
            <v>19.763000000000002</v>
          </cell>
          <cell r="GQ210">
            <v>13.513</v>
          </cell>
        </row>
        <row r="211">
          <cell r="A211">
            <v>178</v>
          </cell>
          <cell r="B211" t="str">
            <v>FG</v>
          </cell>
          <cell r="C211" t="str">
            <v>FM</v>
          </cell>
          <cell r="D211" t="str">
            <v>VEGROL C1895</v>
          </cell>
          <cell r="I211">
            <v>0</v>
          </cell>
          <cell r="O211">
            <v>0</v>
          </cell>
          <cell r="S211">
            <v>0</v>
          </cell>
          <cell r="AB211">
            <v>0</v>
          </cell>
          <cell r="AK211">
            <v>0</v>
          </cell>
          <cell r="BL211">
            <v>0</v>
          </cell>
        </row>
        <row r="212">
          <cell r="A212">
            <v>179</v>
          </cell>
          <cell r="B212" t="str">
            <v>FG</v>
          </cell>
          <cell r="C212" t="str">
            <v>FM</v>
          </cell>
          <cell r="D212" t="str">
            <v>VEGROL C1898</v>
          </cell>
          <cell r="I212">
            <v>93.15</v>
          </cell>
          <cell r="O212">
            <v>93.15</v>
          </cell>
          <cell r="S212">
            <v>77.150000000000006</v>
          </cell>
          <cell r="AB212">
            <v>120.372</v>
          </cell>
          <cell r="AK212">
            <v>83.58</v>
          </cell>
          <cell r="AT212">
            <v>113.735</v>
          </cell>
          <cell r="BC212">
            <v>113.58499999999999</v>
          </cell>
          <cell r="BL212">
            <v>108.58499999999999</v>
          </cell>
          <cell r="BU212">
            <v>102.61</v>
          </cell>
          <cell r="CD212">
            <v>118.61</v>
          </cell>
          <cell r="CM212">
            <v>116.61</v>
          </cell>
          <cell r="CV212">
            <v>93.61</v>
          </cell>
          <cell r="DE212">
            <v>127.73</v>
          </cell>
          <cell r="DN212">
            <v>114.73</v>
          </cell>
          <cell r="DW212">
            <v>82.75</v>
          </cell>
          <cell r="EF212">
            <v>65.75</v>
          </cell>
          <cell r="EO212">
            <v>21.38</v>
          </cell>
          <cell r="FG212">
            <v>3.22</v>
          </cell>
          <cell r="FP212">
            <v>0.23</v>
          </cell>
          <cell r="FY212">
            <v>0.23</v>
          </cell>
          <cell r="GH212">
            <v>8.23</v>
          </cell>
          <cell r="GQ212">
            <v>0.23</v>
          </cell>
        </row>
        <row r="213">
          <cell r="A213">
            <v>180</v>
          </cell>
          <cell r="B213" t="str">
            <v>FG</v>
          </cell>
          <cell r="C213" t="str">
            <v>FM</v>
          </cell>
          <cell r="D213" t="str">
            <v>VEGROL C1822</v>
          </cell>
          <cell r="I213">
            <v>71.2</v>
          </cell>
          <cell r="O213">
            <v>71.2</v>
          </cell>
          <cell r="S213">
            <v>62.95</v>
          </cell>
          <cell r="AB213">
            <v>62.95</v>
          </cell>
          <cell r="AK213">
            <v>62.95</v>
          </cell>
          <cell r="AT213">
            <v>59.55</v>
          </cell>
          <cell r="BC213">
            <v>59.4</v>
          </cell>
          <cell r="BL213">
            <v>63.725000000000001</v>
          </cell>
          <cell r="BU213">
            <v>39.625</v>
          </cell>
          <cell r="CD213">
            <v>72.875</v>
          </cell>
          <cell r="CM213">
            <v>72.875</v>
          </cell>
          <cell r="CV213">
            <v>57.875</v>
          </cell>
          <cell r="DE213">
            <v>56.875</v>
          </cell>
          <cell r="DN213">
            <v>56.875</v>
          </cell>
          <cell r="DW213">
            <v>41.875</v>
          </cell>
          <cell r="EF213">
            <v>41.875</v>
          </cell>
          <cell r="EO213">
            <v>36.174999999999997</v>
          </cell>
          <cell r="FG213">
            <v>33.25</v>
          </cell>
          <cell r="FP213">
            <v>36.875</v>
          </cell>
          <cell r="FY213">
            <v>30.5</v>
          </cell>
          <cell r="GH213">
            <v>80.75</v>
          </cell>
          <cell r="GQ213">
            <v>50.75</v>
          </cell>
        </row>
        <row r="214">
          <cell r="A214">
            <v>181</v>
          </cell>
          <cell r="B214" t="str">
            <v>FG</v>
          </cell>
          <cell r="C214" t="str">
            <v>FM</v>
          </cell>
          <cell r="D214" t="str">
            <v>VEGROL C22</v>
          </cell>
          <cell r="I214">
            <v>64.572000000000003</v>
          </cell>
          <cell r="O214">
            <v>64.572000000000003</v>
          </cell>
          <cell r="S214">
            <v>32.572000000000003</v>
          </cell>
          <cell r="AB214">
            <v>123.47199999999999</v>
          </cell>
          <cell r="AK214">
            <v>126.697</v>
          </cell>
          <cell r="AT214">
            <v>112.197</v>
          </cell>
          <cell r="BC214">
            <v>87.5</v>
          </cell>
          <cell r="BL214">
            <v>25.5</v>
          </cell>
          <cell r="BU214">
            <v>20.5</v>
          </cell>
          <cell r="CD214">
            <v>0.5</v>
          </cell>
          <cell r="CM214">
            <v>0.5</v>
          </cell>
          <cell r="CV214">
            <v>0.5</v>
          </cell>
          <cell r="DE214">
            <v>71.25</v>
          </cell>
          <cell r="DN214">
            <v>70.75</v>
          </cell>
          <cell r="DW214">
            <v>70.75</v>
          </cell>
          <cell r="EF214">
            <v>143.5</v>
          </cell>
          <cell r="EO214">
            <v>151.69999999999999</v>
          </cell>
          <cell r="FG214">
            <v>54.033999999999999</v>
          </cell>
          <cell r="FP214">
            <v>173.53399999999999</v>
          </cell>
          <cell r="FY214">
            <v>149.53399999999999</v>
          </cell>
          <cell r="GH214">
            <v>190.53399999999999</v>
          </cell>
          <cell r="GQ214">
            <v>184.53399999999999</v>
          </cell>
        </row>
        <row r="215">
          <cell r="A215">
            <v>182</v>
          </cell>
          <cell r="B215" t="str">
            <v>FG</v>
          </cell>
          <cell r="C215" t="str">
            <v>FM</v>
          </cell>
          <cell r="D215" t="str">
            <v>VEGROL C2280</v>
          </cell>
          <cell r="I215">
            <v>2.75</v>
          </cell>
          <cell r="O215">
            <v>2.75</v>
          </cell>
          <cell r="S215">
            <v>16.75</v>
          </cell>
          <cell r="AB215">
            <v>16.75</v>
          </cell>
          <cell r="AK215">
            <v>16.75</v>
          </cell>
          <cell r="AT215">
            <v>16.75</v>
          </cell>
          <cell r="BC215">
            <v>16.75</v>
          </cell>
          <cell r="BL215">
            <v>16.75</v>
          </cell>
          <cell r="BU215">
            <v>16.75</v>
          </cell>
          <cell r="CD215">
            <v>16.75</v>
          </cell>
          <cell r="CM215">
            <v>16.75</v>
          </cell>
          <cell r="CV215">
            <v>16.75</v>
          </cell>
          <cell r="DE215">
            <v>16.75</v>
          </cell>
          <cell r="DN215">
            <v>16.75</v>
          </cell>
          <cell r="DW215">
            <v>16.75</v>
          </cell>
          <cell r="EF215">
            <v>16.75</v>
          </cell>
          <cell r="EO215">
            <v>16.75</v>
          </cell>
          <cell r="FG215">
            <v>52.25</v>
          </cell>
          <cell r="FP215">
            <v>17.25</v>
          </cell>
          <cell r="FY215">
            <v>75.599999999999994</v>
          </cell>
          <cell r="GH215">
            <v>122.25</v>
          </cell>
          <cell r="GQ215">
            <v>17.25</v>
          </cell>
        </row>
        <row r="216">
          <cell r="A216">
            <v>183</v>
          </cell>
          <cell r="B216" t="str">
            <v>FG</v>
          </cell>
          <cell r="C216" t="str">
            <v>FM</v>
          </cell>
          <cell r="D216" t="str">
            <v>OFF GRADE PASTILLES</v>
          </cell>
          <cell r="I216">
            <v>202</v>
          </cell>
          <cell r="O216">
            <v>202</v>
          </cell>
          <cell r="S216">
            <v>202</v>
          </cell>
          <cell r="AB216">
            <v>203</v>
          </cell>
          <cell r="AK216">
            <v>203</v>
          </cell>
          <cell r="AT216">
            <v>204</v>
          </cell>
          <cell r="BC216">
            <v>205</v>
          </cell>
          <cell r="BL216">
            <v>205</v>
          </cell>
          <cell r="BU216">
            <v>205</v>
          </cell>
          <cell r="CD216">
            <v>205</v>
          </cell>
          <cell r="CM216">
            <v>205</v>
          </cell>
          <cell r="CV216">
            <v>205</v>
          </cell>
          <cell r="DE216">
            <v>205</v>
          </cell>
          <cell r="DN216">
            <v>205</v>
          </cell>
          <cell r="DW216">
            <v>205</v>
          </cell>
          <cell r="EF216">
            <v>205</v>
          </cell>
          <cell r="EO216">
            <v>205</v>
          </cell>
          <cell r="FG216">
            <v>205</v>
          </cell>
          <cell r="FP216">
            <v>205</v>
          </cell>
          <cell r="FY216">
            <v>205</v>
          </cell>
          <cell r="GH216">
            <v>205</v>
          </cell>
          <cell r="GQ216">
            <v>205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925.66700000000003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925.66700000000003</v>
          </cell>
          <cell r="P217">
            <v>0</v>
          </cell>
          <cell r="Q217">
            <v>0</v>
          </cell>
          <cell r="R217">
            <v>0</v>
          </cell>
          <cell r="S217">
            <v>867.28700000000003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920.73399999999992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939.26200000000006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898.36199999999997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934.66499999999996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734.91100000000006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672.17599999999993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645.41100000000006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693.46100000000001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576.95499999999993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782.74600000000009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826.90499999999997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669.95799999999997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699.02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635.351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484.15899999999999</v>
          </cell>
          <cell r="FH217">
            <v>0</v>
          </cell>
          <cell r="FI217">
            <v>0</v>
          </cell>
          <cell r="FJ217">
            <v>0</v>
          </cell>
          <cell r="FK217">
            <v>0</v>
          </cell>
          <cell r="FL217">
            <v>0</v>
          </cell>
          <cell r="FM217">
            <v>0</v>
          </cell>
          <cell r="FN217">
            <v>0</v>
          </cell>
          <cell r="FO217">
            <v>0</v>
          </cell>
          <cell r="FP217">
            <v>656.87300000000005</v>
          </cell>
          <cell r="FQ217">
            <v>0</v>
          </cell>
          <cell r="FR217">
            <v>0</v>
          </cell>
          <cell r="FS217">
            <v>0</v>
          </cell>
          <cell r="FT217">
            <v>0</v>
          </cell>
          <cell r="FU217">
            <v>0</v>
          </cell>
          <cell r="FV217">
            <v>0</v>
          </cell>
          <cell r="FW217">
            <v>0</v>
          </cell>
          <cell r="FX217">
            <v>0</v>
          </cell>
          <cell r="FY217">
            <v>697.20500000000004</v>
          </cell>
          <cell r="FZ217">
            <v>0</v>
          </cell>
          <cell r="GA217">
            <v>0</v>
          </cell>
          <cell r="GB217">
            <v>0</v>
          </cell>
          <cell r="GC217">
            <v>0</v>
          </cell>
          <cell r="GD217">
            <v>0</v>
          </cell>
          <cell r="GE217">
            <v>0</v>
          </cell>
          <cell r="GF217">
            <v>0</v>
          </cell>
          <cell r="GG217">
            <v>0</v>
          </cell>
          <cell r="GH217">
            <v>710.26499999999999</v>
          </cell>
          <cell r="GI217">
            <v>0</v>
          </cell>
          <cell r="GJ217">
            <v>0</v>
          </cell>
          <cell r="GK217">
            <v>0</v>
          </cell>
          <cell r="GL217">
            <v>0</v>
          </cell>
          <cell r="GM217">
            <v>0</v>
          </cell>
          <cell r="GN217">
            <v>0</v>
          </cell>
          <cell r="GO217">
            <v>0</v>
          </cell>
          <cell r="GP217">
            <v>0</v>
          </cell>
          <cell r="GQ217">
            <v>585.64</v>
          </cell>
          <cell r="GR217">
            <v>0</v>
          </cell>
          <cell r="GS217">
            <v>0</v>
          </cell>
          <cell r="GT217">
            <v>0</v>
          </cell>
          <cell r="GU217">
            <v>0</v>
          </cell>
          <cell r="GV217">
            <v>0</v>
          </cell>
        </row>
        <row r="218">
          <cell r="A218" t="str">
            <v xml:space="preserve">ALCOHOL-INTERMEDIATES </v>
          </cell>
        </row>
        <row r="219">
          <cell r="A219">
            <v>184</v>
          </cell>
          <cell r="B219" t="str">
            <v>IPRM</v>
          </cell>
          <cell r="C219" t="str">
            <v>NM</v>
          </cell>
          <cell r="D219" t="str">
            <v>ALCOHOL-L/E-C-12 88%</v>
          </cell>
          <cell r="O219">
            <v>0</v>
          </cell>
        </row>
        <row r="220">
          <cell r="A220">
            <v>185</v>
          </cell>
          <cell r="B220" t="str">
            <v>IPRM</v>
          </cell>
          <cell r="C220" t="str">
            <v>NM</v>
          </cell>
          <cell r="D220" t="str">
            <v>ALCOHOL-L/E-1(1214)</v>
          </cell>
          <cell r="I220">
            <v>2.4</v>
          </cell>
          <cell r="O220">
            <v>2.4</v>
          </cell>
          <cell r="S220">
            <v>7</v>
          </cell>
          <cell r="AB220">
            <v>11.9</v>
          </cell>
          <cell r="AK220">
            <v>18.2</v>
          </cell>
          <cell r="AT220">
            <v>33.799999999999997</v>
          </cell>
          <cell r="BC220">
            <v>105.4</v>
          </cell>
          <cell r="BL220">
            <v>139.30000000000001</v>
          </cell>
          <cell r="BU220">
            <v>146.9</v>
          </cell>
          <cell r="CD220">
            <v>154.6</v>
          </cell>
          <cell r="CM220">
            <v>169.1</v>
          </cell>
          <cell r="CV220">
            <v>178.8</v>
          </cell>
          <cell r="DE220">
            <v>184.5</v>
          </cell>
          <cell r="DN220">
            <v>184.5</v>
          </cell>
          <cell r="DW220">
            <v>184.5</v>
          </cell>
          <cell r="EF220">
            <v>184.5</v>
          </cell>
          <cell r="EO220">
            <v>201.4</v>
          </cell>
          <cell r="EX220">
            <v>232.6</v>
          </cell>
          <cell r="FG220">
            <v>240</v>
          </cell>
          <cell r="FP220">
            <v>234.6</v>
          </cell>
          <cell r="FY220">
            <v>237.7</v>
          </cell>
          <cell r="GH220">
            <v>225.7</v>
          </cell>
          <cell r="GQ220">
            <v>235.32899999999998</v>
          </cell>
        </row>
        <row r="221">
          <cell r="A221">
            <v>186</v>
          </cell>
          <cell r="B221" t="str">
            <v>IPRM</v>
          </cell>
          <cell r="C221" t="str">
            <v>NM</v>
          </cell>
          <cell r="D221" t="str">
            <v>ALCOHOL-L/E-2(C12C16)</v>
          </cell>
          <cell r="O221">
            <v>0</v>
          </cell>
          <cell r="FG221">
            <v>440.79999999999995</v>
          </cell>
          <cell r="FP221">
            <v>442.3</v>
          </cell>
        </row>
        <row r="222">
          <cell r="A222">
            <v>187</v>
          </cell>
          <cell r="B222" t="str">
            <v>IPRM</v>
          </cell>
          <cell r="C222" t="str">
            <v>NM</v>
          </cell>
          <cell r="D222" t="str">
            <v>ALCOHOL-L/E-C1618,22</v>
          </cell>
          <cell r="I222">
            <v>550.6</v>
          </cell>
          <cell r="O222">
            <v>550.6</v>
          </cell>
          <cell r="S222">
            <v>550.6</v>
          </cell>
          <cell r="AK222">
            <v>174.5</v>
          </cell>
          <cell r="AT222">
            <v>174.5</v>
          </cell>
          <cell r="BC222">
            <v>174.5</v>
          </cell>
          <cell r="BL222">
            <v>174.5</v>
          </cell>
          <cell r="BU222">
            <v>174.5</v>
          </cell>
          <cell r="CD222">
            <v>174.5</v>
          </cell>
          <cell r="CM222">
            <v>174.5</v>
          </cell>
          <cell r="CV222">
            <v>174.5</v>
          </cell>
          <cell r="DE222">
            <v>230.1</v>
          </cell>
          <cell r="DN222">
            <v>231.3</v>
          </cell>
          <cell r="DW222">
            <v>437.5</v>
          </cell>
          <cell r="EF222">
            <v>475.3</v>
          </cell>
          <cell r="EO222">
            <v>475.3</v>
          </cell>
          <cell r="EX222">
            <v>475.3</v>
          </cell>
          <cell r="FG222">
            <v>244</v>
          </cell>
          <cell r="FY222">
            <v>470.59</v>
          </cell>
          <cell r="GH222">
            <v>244.04687999999999</v>
          </cell>
        </row>
        <row r="223">
          <cell r="A223">
            <v>188</v>
          </cell>
          <cell r="B223" t="str">
            <v>IPRM</v>
          </cell>
          <cell r="C223" t="str">
            <v>NM</v>
          </cell>
          <cell r="D223" t="str">
            <v>ALCOHOL-L/E-2(C12C18)</v>
          </cell>
          <cell r="I223">
            <v>201</v>
          </cell>
          <cell r="O223">
            <v>201</v>
          </cell>
        </row>
        <row r="224">
          <cell r="A224">
            <v>189</v>
          </cell>
          <cell r="B224" t="str">
            <v>IPRM</v>
          </cell>
          <cell r="C224" t="str">
            <v>NM</v>
          </cell>
          <cell r="D224" t="str">
            <v>ALCOHOL-C16RICH</v>
          </cell>
          <cell r="O224">
            <v>0</v>
          </cell>
          <cell r="FG224">
            <v>231.3</v>
          </cell>
        </row>
        <row r="225">
          <cell r="A225">
            <v>190</v>
          </cell>
          <cell r="B225" t="str">
            <v>IPRM</v>
          </cell>
          <cell r="C225" t="str">
            <v>NM</v>
          </cell>
          <cell r="D225" t="str">
            <v>ALCOHOL-CRUDE / L/E'S</v>
          </cell>
          <cell r="O225">
            <v>0</v>
          </cell>
          <cell r="DN225">
            <v>88.9</v>
          </cell>
        </row>
        <row r="226">
          <cell r="A226">
            <v>191</v>
          </cell>
          <cell r="B226" t="str">
            <v>IPRM</v>
          </cell>
          <cell r="C226" t="str">
            <v>NM</v>
          </cell>
          <cell r="D226" t="str">
            <v>L/E of ALC . 18</v>
          </cell>
          <cell r="O226">
            <v>0</v>
          </cell>
        </row>
        <row r="227">
          <cell r="A227">
            <v>192</v>
          </cell>
          <cell r="B227" t="str">
            <v>IPRM</v>
          </cell>
          <cell r="C227" t="str">
            <v>NM</v>
          </cell>
          <cell r="D227" t="str">
            <v>L.E.of C 1822</v>
          </cell>
          <cell r="O227">
            <v>0</v>
          </cell>
          <cell r="AB227">
            <v>550.6</v>
          </cell>
          <cell r="AK227">
            <v>376.1</v>
          </cell>
          <cell r="AT227">
            <v>376.1</v>
          </cell>
          <cell r="BC227">
            <v>376.1</v>
          </cell>
          <cell r="BL227">
            <v>376.1</v>
          </cell>
          <cell r="BU227">
            <v>376.1</v>
          </cell>
          <cell r="CD227">
            <v>376.1</v>
          </cell>
          <cell r="CM227">
            <v>376.1</v>
          </cell>
          <cell r="CV227">
            <v>376.1</v>
          </cell>
          <cell r="DE227">
            <v>376.1</v>
          </cell>
          <cell r="DN227">
            <v>376.1</v>
          </cell>
          <cell r="DW227">
            <v>375.2</v>
          </cell>
          <cell r="EF227">
            <v>380.1</v>
          </cell>
          <cell r="EO227">
            <v>380.1</v>
          </cell>
          <cell r="EX227">
            <v>380.1</v>
          </cell>
          <cell r="FG227">
            <v>533.29999999999995</v>
          </cell>
          <cell r="FP227">
            <v>533.31600000000003</v>
          </cell>
          <cell r="FY227">
            <v>533.29</v>
          </cell>
          <cell r="GH227">
            <v>533.31600000000003</v>
          </cell>
          <cell r="GQ227">
            <v>533.31600000000003</v>
          </cell>
        </row>
        <row r="228">
          <cell r="A228">
            <v>251</v>
          </cell>
          <cell r="B228" t="str">
            <v>IPRM</v>
          </cell>
          <cell r="C228" t="str">
            <v>NM</v>
          </cell>
          <cell r="D228" t="str">
            <v>ALCOHOL-C12/C14 (seed alc)</v>
          </cell>
          <cell r="FG228">
            <v>170</v>
          </cell>
          <cell r="FP228">
            <v>170</v>
          </cell>
          <cell r="FY228">
            <v>170</v>
          </cell>
          <cell r="GH228">
            <v>170</v>
          </cell>
        </row>
        <row r="229">
          <cell r="A229">
            <v>252</v>
          </cell>
          <cell r="B229" t="str">
            <v>IPRM</v>
          </cell>
          <cell r="C229" t="str">
            <v>NM</v>
          </cell>
          <cell r="D229" t="str">
            <v>ALCOHOL-C16 98 (seed alc)</v>
          </cell>
          <cell r="FG229">
            <v>170</v>
          </cell>
          <cell r="FP229">
            <v>163</v>
          </cell>
          <cell r="FY229">
            <v>128</v>
          </cell>
          <cell r="GH229">
            <v>128</v>
          </cell>
          <cell r="GQ229">
            <v>128</v>
          </cell>
        </row>
        <row r="230">
          <cell r="A230">
            <v>253</v>
          </cell>
          <cell r="B230" t="str">
            <v>IPRM</v>
          </cell>
          <cell r="C230" t="str">
            <v>NM</v>
          </cell>
          <cell r="D230" t="str">
            <v>ALCOHOL-C18 98 (seed alc)</v>
          </cell>
          <cell r="FG230">
            <v>102</v>
          </cell>
          <cell r="FP230">
            <v>102</v>
          </cell>
          <cell r="FY230">
            <v>99</v>
          </cell>
          <cell r="GH230">
            <v>91</v>
          </cell>
          <cell r="GQ230">
            <v>137</v>
          </cell>
        </row>
        <row r="231">
          <cell r="A231">
            <v>254</v>
          </cell>
          <cell r="B231" t="str">
            <v>IPRM</v>
          </cell>
          <cell r="C231" t="str">
            <v>NM</v>
          </cell>
          <cell r="D231" t="str">
            <v>ALCOHOL-C16/C18 TA (seed alc)</v>
          </cell>
          <cell r="FG231">
            <v>148</v>
          </cell>
          <cell r="FP231">
            <v>149</v>
          </cell>
          <cell r="FY231">
            <v>149</v>
          </cell>
          <cell r="GH231">
            <v>170</v>
          </cell>
          <cell r="GQ231">
            <v>170</v>
          </cell>
        </row>
        <row r="232">
          <cell r="A232">
            <v>193</v>
          </cell>
          <cell r="B232" t="str">
            <v>IPRM</v>
          </cell>
          <cell r="C232" t="str">
            <v>NM</v>
          </cell>
          <cell r="D232" t="str">
            <v>ALCOHOL-C16/C18 (seed alc)</v>
          </cell>
          <cell r="I232">
            <v>395.8</v>
          </cell>
          <cell r="O232">
            <v>395.8</v>
          </cell>
        </row>
        <row r="233">
          <cell r="A233">
            <v>194</v>
          </cell>
          <cell r="B233" t="str">
            <v>IPRM</v>
          </cell>
          <cell r="C233" t="str">
            <v>NM</v>
          </cell>
          <cell r="D233" t="str">
            <v>ALCOHOL-C18/C22 (seed alc)</v>
          </cell>
          <cell r="I233">
            <v>49.9</v>
          </cell>
          <cell r="O233">
            <v>49.9</v>
          </cell>
          <cell r="AB233">
            <v>431.96</v>
          </cell>
          <cell r="AK233">
            <v>439.75</v>
          </cell>
          <cell r="AT233">
            <v>439.75</v>
          </cell>
          <cell r="BC233">
            <v>439.75</v>
          </cell>
          <cell r="BL233">
            <v>437.27</v>
          </cell>
          <cell r="BU233">
            <v>440.24</v>
          </cell>
          <cell r="CD233">
            <v>440.24</v>
          </cell>
          <cell r="CM233">
            <v>438.89</v>
          </cell>
          <cell r="CV233">
            <v>439.64</v>
          </cell>
          <cell r="DE233">
            <v>439.64</v>
          </cell>
          <cell r="EF233">
            <v>144</v>
          </cell>
          <cell r="EO233">
            <v>168.8</v>
          </cell>
          <cell r="EX233">
            <v>153.30000000000001</v>
          </cell>
          <cell r="FY233">
            <v>60</v>
          </cell>
        </row>
        <row r="234">
          <cell r="A234">
            <v>256</v>
          </cell>
          <cell r="B234" t="str">
            <v>IPRM</v>
          </cell>
          <cell r="C234" t="str">
            <v>NM</v>
          </cell>
          <cell r="D234" t="str">
            <v>ALCOHOL-C22 70 (seed alc)</v>
          </cell>
          <cell r="FG234">
            <v>170</v>
          </cell>
          <cell r="FP234">
            <v>170</v>
          </cell>
          <cell r="FY234">
            <v>170</v>
          </cell>
          <cell r="GH234">
            <v>170</v>
          </cell>
          <cell r="GQ234">
            <v>170</v>
          </cell>
        </row>
        <row r="235">
          <cell r="A235">
            <v>195</v>
          </cell>
          <cell r="B235" t="str">
            <v>IPRM</v>
          </cell>
          <cell r="C235" t="str">
            <v>NM</v>
          </cell>
          <cell r="D235" t="str">
            <v>Int. Alc.20-22</v>
          </cell>
          <cell r="O235">
            <v>0</v>
          </cell>
          <cell r="S235">
            <v>435.75</v>
          </cell>
        </row>
        <row r="236">
          <cell r="A236">
            <v>196</v>
          </cell>
          <cell r="B236" t="str">
            <v>IPRM</v>
          </cell>
          <cell r="C236" t="str">
            <v>NM</v>
          </cell>
          <cell r="D236" t="str">
            <v>ALCOHOL-RESIDUE</v>
          </cell>
          <cell r="I236">
            <v>100.8</v>
          </cell>
          <cell r="M236">
            <v>5.39</v>
          </cell>
          <cell r="O236">
            <v>106.19</v>
          </cell>
          <cell r="S236">
            <v>107.8</v>
          </cell>
          <cell r="AB236">
            <v>116.7</v>
          </cell>
          <cell r="AK236">
            <v>120.2</v>
          </cell>
          <cell r="AT236">
            <v>126.7</v>
          </cell>
          <cell r="BC236">
            <v>127.9</v>
          </cell>
          <cell r="BL236">
            <v>133.30000000000001</v>
          </cell>
          <cell r="BU236">
            <v>141.1</v>
          </cell>
          <cell r="CD236">
            <v>141.9</v>
          </cell>
          <cell r="CM236">
            <v>145.80000000000001</v>
          </cell>
          <cell r="CV236">
            <v>145.80000000000001</v>
          </cell>
          <cell r="DE236">
            <v>153.5</v>
          </cell>
          <cell r="DN236">
            <v>240.3</v>
          </cell>
          <cell r="DW236">
            <v>496.3</v>
          </cell>
          <cell r="EF236">
            <v>391.7</v>
          </cell>
          <cell r="EO236">
            <v>347</v>
          </cell>
          <cell r="EX236">
            <v>246.4</v>
          </cell>
          <cell r="FG236">
            <v>231.05</v>
          </cell>
          <cell r="FP236">
            <v>189.2</v>
          </cell>
          <cell r="FY236">
            <v>189.2</v>
          </cell>
          <cell r="GH236">
            <v>188.31</v>
          </cell>
          <cell r="GQ236">
            <v>217.98</v>
          </cell>
        </row>
        <row r="237">
          <cell r="A237">
            <v>197</v>
          </cell>
          <cell r="B237" t="str">
            <v>IPRM</v>
          </cell>
          <cell r="C237" t="str">
            <v>NM</v>
          </cell>
          <cell r="D237" t="str">
            <v>ALCOHOL-HYDROCARBON</v>
          </cell>
          <cell r="O237">
            <v>0</v>
          </cell>
        </row>
        <row r="238">
          <cell r="A238">
            <v>198</v>
          </cell>
          <cell r="B238" t="str">
            <v>IPRM</v>
          </cell>
          <cell r="C238" t="str">
            <v>NM</v>
          </cell>
          <cell r="D238" t="str">
            <v>Int. Alc. V1218</v>
          </cell>
          <cell r="O238">
            <v>0</v>
          </cell>
          <cell r="DW238">
            <v>31.1</v>
          </cell>
        </row>
        <row r="239">
          <cell r="A239">
            <v>199</v>
          </cell>
          <cell r="B239" t="str">
            <v>IPRM</v>
          </cell>
          <cell r="C239" t="str">
            <v>NM</v>
          </cell>
          <cell r="D239" t="str">
            <v>Int. Alc. V1216</v>
          </cell>
          <cell r="O239">
            <v>0</v>
          </cell>
          <cell r="S239">
            <v>201</v>
          </cell>
          <cell r="AB239">
            <v>201</v>
          </cell>
          <cell r="AK239">
            <v>201</v>
          </cell>
          <cell r="AT239">
            <v>201</v>
          </cell>
          <cell r="BC239">
            <v>201</v>
          </cell>
          <cell r="BL239">
            <v>201</v>
          </cell>
          <cell r="BU239">
            <v>201</v>
          </cell>
          <cell r="CD239">
            <v>201</v>
          </cell>
          <cell r="CM239">
            <v>201</v>
          </cell>
          <cell r="CV239">
            <v>85.7</v>
          </cell>
          <cell r="DE239">
            <v>85</v>
          </cell>
          <cell r="DN239">
            <v>387</v>
          </cell>
          <cell r="DW239">
            <v>389.5</v>
          </cell>
          <cell r="EF239">
            <v>366.2</v>
          </cell>
          <cell r="EO239">
            <v>436.8</v>
          </cell>
          <cell r="EX239">
            <v>439.1</v>
          </cell>
          <cell r="FY239">
            <v>442.3</v>
          </cell>
          <cell r="GH239">
            <v>444.7</v>
          </cell>
          <cell r="GQ239">
            <v>424.9</v>
          </cell>
        </row>
        <row r="240">
          <cell r="A240">
            <v>200</v>
          </cell>
          <cell r="B240" t="str">
            <v>IPRM</v>
          </cell>
          <cell r="C240" t="str">
            <v>NM</v>
          </cell>
          <cell r="D240" t="str">
            <v>Int. Alc. V1618</v>
          </cell>
          <cell r="O240">
            <v>0</v>
          </cell>
          <cell r="S240">
            <v>412.4</v>
          </cell>
          <cell r="AB240">
            <v>412.5</v>
          </cell>
          <cell r="AK240">
            <v>412.5</v>
          </cell>
          <cell r="AT240">
            <v>422.5</v>
          </cell>
          <cell r="BC240">
            <v>424.2</v>
          </cell>
          <cell r="BL240">
            <v>435.8</v>
          </cell>
          <cell r="BU240">
            <v>435.8</v>
          </cell>
          <cell r="CD240">
            <v>435.8</v>
          </cell>
          <cell r="CM240">
            <v>435.8</v>
          </cell>
          <cell r="CV240">
            <v>435.8</v>
          </cell>
          <cell r="DE240">
            <v>422.5</v>
          </cell>
          <cell r="DN240">
            <v>75.099999999999994</v>
          </cell>
          <cell r="FG240">
            <v>1077.19</v>
          </cell>
          <cell r="FP240">
            <v>1550.1499999999999</v>
          </cell>
          <cell r="FY240">
            <v>1309.9000000000001</v>
          </cell>
          <cell r="GH240">
            <v>1303.5999999999999</v>
          </cell>
          <cell r="GQ240">
            <v>1678.4</v>
          </cell>
        </row>
        <row r="241">
          <cell r="A241">
            <v>201</v>
          </cell>
          <cell r="B241" t="str">
            <v>IPRM</v>
          </cell>
          <cell r="C241" t="str">
            <v>NM</v>
          </cell>
          <cell r="D241" t="str">
            <v>Wax ester 1214/1618</v>
          </cell>
          <cell r="I241">
            <v>23.8</v>
          </cell>
          <cell r="O241">
            <v>23.8</v>
          </cell>
          <cell r="S241">
            <v>21</v>
          </cell>
          <cell r="AB241">
            <v>21</v>
          </cell>
          <cell r="AK241">
            <v>21</v>
          </cell>
          <cell r="AT241">
            <v>21</v>
          </cell>
          <cell r="BC241">
            <v>21</v>
          </cell>
          <cell r="BL241">
            <v>21</v>
          </cell>
          <cell r="BU241">
            <v>21</v>
          </cell>
          <cell r="CD241">
            <v>21</v>
          </cell>
          <cell r="CM241">
            <v>21</v>
          </cell>
          <cell r="CV241">
            <v>21</v>
          </cell>
          <cell r="DE241">
            <v>21</v>
          </cell>
        </row>
        <row r="242">
          <cell r="A242">
            <v>202</v>
          </cell>
          <cell r="B242" t="str">
            <v>IPRM</v>
          </cell>
          <cell r="C242" t="str">
            <v>NM</v>
          </cell>
          <cell r="D242" t="str">
            <v>Wax ester 1216/1218</v>
          </cell>
          <cell r="O242">
            <v>0</v>
          </cell>
        </row>
        <row r="243">
          <cell r="A243">
            <v>203</v>
          </cell>
          <cell r="B243" t="str">
            <v>IPRM</v>
          </cell>
          <cell r="C243" t="str">
            <v>SM</v>
          </cell>
          <cell r="D243" t="str">
            <v>ALCOHOL Residue 1618</v>
          </cell>
          <cell r="O243">
            <v>0</v>
          </cell>
          <cell r="AB243">
            <v>610.1</v>
          </cell>
          <cell r="AK243">
            <v>611.4</v>
          </cell>
          <cell r="AT243">
            <v>609.79999999999995</v>
          </cell>
          <cell r="BC243">
            <v>609.79999999999995</v>
          </cell>
          <cell r="BL243">
            <v>647.1</v>
          </cell>
          <cell r="BU243">
            <v>647.1</v>
          </cell>
          <cell r="CD243">
            <v>648.29999999999995</v>
          </cell>
          <cell r="CM243">
            <v>700.6</v>
          </cell>
          <cell r="CV243">
            <v>700.6</v>
          </cell>
          <cell r="DE243">
            <v>729.3</v>
          </cell>
          <cell r="DN243">
            <v>579.6</v>
          </cell>
          <cell r="DW243">
            <v>353.2</v>
          </cell>
          <cell r="EF243">
            <v>390.4</v>
          </cell>
          <cell r="EO243">
            <v>390.4</v>
          </cell>
          <cell r="EX243">
            <v>390.4</v>
          </cell>
        </row>
        <row r="244">
          <cell r="A244">
            <v>204</v>
          </cell>
          <cell r="B244" t="str">
            <v>IPRM</v>
          </cell>
          <cell r="C244" t="str">
            <v>SM</v>
          </cell>
          <cell r="D244" t="str">
            <v>ALCOHOL Residue 1822</v>
          </cell>
          <cell r="O244">
            <v>0</v>
          </cell>
          <cell r="S244">
            <v>108.77</v>
          </cell>
        </row>
        <row r="245">
          <cell r="A245">
            <v>205</v>
          </cell>
          <cell r="B245" t="str">
            <v>IPRM</v>
          </cell>
          <cell r="C245" t="str">
            <v>SM</v>
          </cell>
          <cell r="D245" t="str">
            <v>ALCOHOL Residue 2022</v>
          </cell>
          <cell r="I245">
            <v>51</v>
          </cell>
          <cell r="O245">
            <v>51</v>
          </cell>
          <cell r="AB245">
            <v>108.75</v>
          </cell>
          <cell r="AK245">
            <v>108.75</v>
          </cell>
          <cell r="AT245">
            <v>108.75</v>
          </cell>
          <cell r="BC245">
            <v>108.75</v>
          </cell>
          <cell r="BL245">
            <v>108.75</v>
          </cell>
          <cell r="BU245">
            <v>108.75</v>
          </cell>
          <cell r="CD245">
            <v>108.75</v>
          </cell>
          <cell r="CM245">
            <v>108.75</v>
          </cell>
          <cell r="CV245">
            <v>108.75</v>
          </cell>
          <cell r="DE245">
            <v>108.75</v>
          </cell>
          <cell r="DN245">
            <v>108.75</v>
          </cell>
          <cell r="EF245">
            <v>74.510000000000005</v>
          </cell>
          <cell r="EO245">
            <v>73.319999999999993</v>
          </cell>
          <cell r="EX245">
            <v>73.319999999999993</v>
          </cell>
        </row>
        <row r="246">
          <cell r="A246">
            <v>206</v>
          </cell>
          <cell r="B246" t="str">
            <v>IPRM</v>
          </cell>
          <cell r="C246" t="str">
            <v>SM</v>
          </cell>
          <cell r="D246" t="str">
            <v>ALCOHOL B/P&gt;C18</v>
          </cell>
          <cell r="I246">
            <v>607</v>
          </cell>
          <cell r="O246">
            <v>607</v>
          </cell>
          <cell r="S246">
            <v>610.1</v>
          </cell>
        </row>
        <row r="247">
          <cell r="A247">
            <v>207</v>
          </cell>
          <cell r="B247" t="str">
            <v>IPRM</v>
          </cell>
          <cell r="C247" t="str">
            <v>SM</v>
          </cell>
          <cell r="D247" t="str">
            <v>Crude Alc. 1216</v>
          </cell>
          <cell r="O247">
            <v>0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1982.3</v>
          </cell>
          <cell r="J248">
            <v>0</v>
          </cell>
          <cell r="K248">
            <v>0</v>
          </cell>
          <cell r="L248">
            <v>0</v>
          </cell>
          <cell r="M248">
            <v>5.39</v>
          </cell>
          <cell r="N248">
            <v>0</v>
          </cell>
          <cell r="O248">
            <v>1987.69</v>
          </cell>
          <cell r="P248">
            <v>0</v>
          </cell>
          <cell r="Q248">
            <v>0</v>
          </cell>
          <cell r="R248">
            <v>0</v>
          </cell>
          <cell r="S248">
            <v>2454.42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2464.5100000000002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2483.4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2513.9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2588.4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2674.12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2692.49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2702.19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2771.54</v>
          </cell>
          <cell r="CN248">
            <v>0</v>
          </cell>
          <cell r="CO248">
            <v>0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  <cell r="CT248">
            <v>0</v>
          </cell>
          <cell r="CU248">
            <v>0</v>
          </cell>
          <cell r="CV248">
            <v>2666.69</v>
          </cell>
          <cell r="CW248">
            <v>0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2750.3900000000003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2271.5500000000002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2267.2999999999997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2406.7100000000005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2473.1200000000003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2390.5200000000004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3757.64</v>
          </cell>
          <cell r="FH248">
            <v>0</v>
          </cell>
          <cell r="FI248">
            <v>0</v>
          </cell>
          <cell r="FJ248">
            <v>0</v>
          </cell>
          <cell r="FK248">
            <v>0</v>
          </cell>
          <cell r="FL248">
            <v>0</v>
          </cell>
          <cell r="FM248">
            <v>0</v>
          </cell>
          <cell r="FN248">
            <v>0</v>
          </cell>
          <cell r="FO248">
            <v>0</v>
          </cell>
          <cell r="FP248">
            <v>3703.5659999999998</v>
          </cell>
          <cell r="FQ248">
            <v>0</v>
          </cell>
          <cell r="FR248">
            <v>0</v>
          </cell>
          <cell r="FS248">
            <v>0</v>
          </cell>
          <cell r="FT248">
            <v>0</v>
          </cell>
          <cell r="FU248">
            <v>0</v>
          </cell>
          <cell r="FV248">
            <v>0</v>
          </cell>
          <cell r="FW248">
            <v>0</v>
          </cell>
          <cell r="FX248">
            <v>0</v>
          </cell>
          <cell r="FY248">
            <v>3958.98</v>
          </cell>
          <cell r="FZ248">
            <v>0</v>
          </cell>
          <cell r="GA248">
            <v>0</v>
          </cell>
          <cell r="GB248">
            <v>0</v>
          </cell>
          <cell r="GC248">
            <v>0</v>
          </cell>
          <cell r="GD248">
            <v>0</v>
          </cell>
          <cell r="GE248">
            <v>0</v>
          </cell>
          <cell r="GF248">
            <v>0</v>
          </cell>
          <cell r="GG248">
            <v>0</v>
          </cell>
          <cell r="GH248">
            <v>3668.6728799999996</v>
          </cell>
          <cell r="GI248">
            <v>0</v>
          </cell>
          <cell r="GJ248">
            <v>0</v>
          </cell>
          <cell r="GK248">
            <v>0</v>
          </cell>
          <cell r="GL248">
            <v>0</v>
          </cell>
          <cell r="GM248">
            <v>0</v>
          </cell>
          <cell r="GN248">
            <v>0</v>
          </cell>
          <cell r="GO248">
            <v>0</v>
          </cell>
          <cell r="GP248">
            <v>0</v>
          </cell>
          <cell r="GQ248">
            <v>3694.9250000000002</v>
          </cell>
          <cell r="GR248">
            <v>0</v>
          </cell>
          <cell r="GS248">
            <v>0</v>
          </cell>
          <cell r="GT248">
            <v>0</v>
          </cell>
          <cell r="GU248">
            <v>0</v>
          </cell>
          <cell r="GV248">
            <v>0</v>
          </cell>
        </row>
        <row r="249">
          <cell r="A249" t="str">
            <v>SOAP NOODLES</v>
          </cell>
        </row>
        <row r="250">
          <cell r="A250">
            <v>208</v>
          </cell>
          <cell r="B250" t="str">
            <v>FG</v>
          </cell>
          <cell r="C250" t="str">
            <v>FM</v>
          </cell>
          <cell r="D250" t="str">
            <v>DETTOL</v>
          </cell>
          <cell r="E250" t="str">
            <v>AL</v>
          </cell>
          <cell r="I250">
            <v>69.25</v>
          </cell>
          <cell r="J250">
            <v>1.7250000000000001</v>
          </cell>
          <cell r="N250">
            <v>103.3</v>
          </cell>
          <cell r="O250">
            <v>174.27499999999998</v>
          </cell>
          <cell r="S250">
            <v>126.75</v>
          </cell>
          <cell r="T250">
            <v>1.7250000000000001</v>
          </cell>
          <cell r="X250">
            <v>60.55</v>
          </cell>
          <cell r="AB250">
            <v>64</v>
          </cell>
          <cell r="AC250">
            <v>1.7250000000000001</v>
          </cell>
          <cell r="AG250">
            <v>57.55</v>
          </cell>
          <cell r="AK250">
            <v>4</v>
          </cell>
          <cell r="AL250">
            <v>1.7250000000000001</v>
          </cell>
          <cell r="AP250">
            <v>57.55</v>
          </cell>
          <cell r="AT250">
            <v>51.5</v>
          </cell>
          <cell r="AY250">
            <v>86.68</v>
          </cell>
          <cell r="BC250">
            <v>144</v>
          </cell>
          <cell r="BD250">
            <v>1.7250000000000001</v>
          </cell>
          <cell r="BG250">
            <v>32</v>
          </cell>
          <cell r="BH250">
            <v>86.674999999999997</v>
          </cell>
          <cell r="BL250">
            <v>16</v>
          </cell>
          <cell r="BM250">
            <v>1.7250000000000001</v>
          </cell>
          <cell r="BQ250">
            <v>100.3</v>
          </cell>
          <cell r="BU250">
            <v>16</v>
          </cell>
          <cell r="BV250">
            <v>1.7250000000000001</v>
          </cell>
          <cell r="BZ250">
            <v>63.15</v>
          </cell>
          <cell r="CD250">
            <v>94.5</v>
          </cell>
          <cell r="CI250">
            <v>36.89</v>
          </cell>
          <cell r="CM250">
            <v>134</v>
          </cell>
          <cell r="CN250">
            <v>1.7250000000000001</v>
          </cell>
          <cell r="CR250">
            <v>36.89</v>
          </cell>
          <cell r="CV250">
            <v>53.5</v>
          </cell>
          <cell r="CW250">
            <v>1.7250000000000001</v>
          </cell>
          <cell r="CZ250">
            <v>60</v>
          </cell>
          <cell r="DA250">
            <v>36.89</v>
          </cell>
          <cell r="DE250">
            <v>0</v>
          </cell>
          <cell r="DF250">
            <v>1.7250000000000001</v>
          </cell>
          <cell r="DJ250">
            <v>100.49</v>
          </cell>
          <cell r="DN250">
            <v>6.6</v>
          </cell>
          <cell r="DO250">
            <v>1.7250000000000001</v>
          </cell>
          <cell r="DR250">
            <v>48.4</v>
          </cell>
          <cell r="DS250">
            <v>38.24</v>
          </cell>
          <cell r="DW250">
            <v>104.2</v>
          </cell>
          <cell r="DX250">
            <v>1.7250000000000001</v>
          </cell>
          <cell r="EA250">
            <v>8.4</v>
          </cell>
          <cell r="EB250">
            <v>42.02</v>
          </cell>
          <cell r="EF250">
            <v>6</v>
          </cell>
          <cell r="EJ250">
            <v>7.2</v>
          </cell>
          <cell r="EK250">
            <v>50.42</v>
          </cell>
          <cell r="EO250">
            <v>0</v>
          </cell>
          <cell r="ET250">
            <v>56.17</v>
          </cell>
          <cell r="FC250">
            <v>8.9149999999999991</v>
          </cell>
          <cell r="FG250">
            <v>5</v>
          </cell>
          <cell r="FL250">
            <v>8.92</v>
          </cell>
          <cell r="FP250">
            <v>142.5</v>
          </cell>
          <cell r="FU250">
            <v>8.92</v>
          </cell>
          <cell r="FY250">
            <v>61.5</v>
          </cell>
          <cell r="GD250">
            <v>8.92</v>
          </cell>
          <cell r="GH250">
            <v>117.1</v>
          </cell>
          <cell r="GL250">
            <v>64.400000000000006</v>
          </cell>
          <cell r="GM250">
            <v>24.92</v>
          </cell>
          <cell r="GQ250">
            <v>27.1</v>
          </cell>
          <cell r="GV250">
            <v>109.32</v>
          </cell>
        </row>
        <row r="251">
          <cell r="A251">
            <v>209</v>
          </cell>
          <cell r="B251" t="str">
            <v>FG</v>
          </cell>
          <cell r="C251" t="str">
            <v>FM</v>
          </cell>
          <cell r="D251" t="str">
            <v>DETTOL SKINCARE</v>
          </cell>
          <cell r="I251">
            <v>119.8</v>
          </cell>
          <cell r="N251">
            <v>7.5</v>
          </cell>
          <cell r="O251">
            <v>127.3</v>
          </cell>
          <cell r="S251">
            <v>119.8</v>
          </cell>
          <cell r="X251">
            <v>7.5</v>
          </cell>
          <cell r="AB251">
            <v>114</v>
          </cell>
          <cell r="AG251">
            <v>7.5</v>
          </cell>
          <cell r="AK251">
            <v>93</v>
          </cell>
          <cell r="AP251">
            <v>7.5</v>
          </cell>
          <cell r="AT251">
            <v>93</v>
          </cell>
          <cell r="AY251">
            <v>7.5</v>
          </cell>
          <cell r="BC251">
            <v>93</v>
          </cell>
          <cell r="BH251">
            <v>7.5</v>
          </cell>
          <cell r="BL251">
            <v>93</v>
          </cell>
          <cell r="BQ251">
            <v>7.5</v>
          </cell>
          <cell r="BU251">
            <v>93</v>
          </cell>
          <cell r="BZ251">
            <v>7.5</v>
          </cell>
          <cell r="CD251">
            <v>93</v>
          </cell>
          <cell r="CI251">
            <v>7.5</v>
          </cell>
          <cell r="CM251">
            <v>93</v>
          </cell>
          <cell r="CR251">
            <v>7.5</v>
          </cell>
          <cell r="CV251">
            <v>93</v>
          </cell>
          <cell r="DA251">
            <v>7.5</v>
          </cell>
          <cell r="DE251">
            <v>93</v>
          </cell>
          <cell r="DJ251">
            <v>7.5</v>
          </cell>
          <cell r="DN251">
            <v>80.7</v>
          </cell>
          <cell r="DS251">
            <v>7.5</v>
          </cell>
          <cell r="DW251">
            <v>80.400000000000006</v>
          </cell>
          <cell r="EB251">
            <v>7.5</v>
          </cell>
          <cell r="EF251">
            <v>64.680000000000007</v>
          </cell>
          <cell r="EK251">
            <v>7.5</v>
          </cell>
          <cell r="EO251">
            <v>86</v>
          </cell>
          <cell r="ET251">
            <v>7.5</v>
          </cell>
          <cell r="FC251">
            <v>7.5</v>
          </cell>
          <cell r="FG251">
            <v>36</v>
          </cell>
          <cell r="FL251">
            <v>7.5</v>
          </cell>
          <cell r="FP251">
            <v>0</v>
          </cell>
          <cell r="FU251">
            <v>7.5</v>
          </cell>
          <cell r="FY251">
            <v>0</v>
          </cell>
          <cell r="GD251">
            <v>7.5</v>
          </cell>
          <cell r="GH251">
            <v>0</v>
          </cell>
          <cell r="GM251">
            <v>7.5</v>
          </cell>
          <cell r="GQ251">
            <v>0</v>
          </cell>
          <cell r="GV251">
            <v>7.5</v>
          </cell>
        </row>
        <row r="252">
          <cell r="A252">
            <v>210</v>
          </cell>
          <cell r="B252" t="str">
            <v>FG</v>
          </cell>
          <cell r="C252" t="str">
            <v>FM</v>
          </cell>
          <cell r="D252" t="str">
            <v>JBMS 40:60</v>
          </cell>
          <cell r="E252" t="str">
            <v>W</v>
          </cell>
          <cell r="I252">
            <v>6</v>
          </cell>
          <cell r="M252">
            <v>448</v>
          </cell>
          <cell r="N252">
            <v>396.1</v>
          </cell>
          <cell r="O252">
            <v>850.1</v>
          </cell>
          <cell r="S252">
            <v>6</v>
          </cell>
          <cell r="X252">
            <v>584.9</v>
          </cell>
          <cell r="AB252">
            <v>6</v>
          </cell>
          <cell r="AG252">
            <v>382.9</v>
          </cell>
          <cell r="AK252">
            <v>0</v>
          </cell>
          <cell r="AP252">
            <v>174.5</v>
          </cell>
          <cell r="AT252">
            <v>3.5999999999999943</v>
          </cell>
          <cell r="AX252">
            <v>152</v>
          </cell>
          <cell r="AY252">
            <v>82.9</v>
          </cell>
          <cell r="BC252">
            <v>3.5999999999999943</v>
          </cell>
          <cell r="BH252">
            <v>136.5</v>
          </cell>
          <cell r="BL252">
            <v>0</v>
          </cell>
          <cell r="BP252">
            <v>92.8</v>
          </cell>
          <cell r="BQ252">
            <v>226.9</v>
          </cell>
          <cell r="BU252">
            <v>4.2</v>
          </cell>
          <cell r="BZ252">
            <v>201.3</v>
          </cell>
          <cell r="CD252">
            <v>95</v>
          </cell>
          <cell r="CH252">
            <v>90</v>
          </cell>
          <cell r="CM252">
            <v>89.6</v>
          </cell>
          <cell r="CQ252">
            <v>140.4</v>
          </cell>
          <cell r="CV252">
            <v>1.5999999999999943</v>
          </cell>
          <cell r="CZ252">
            <v>104.4</v>
          </cell>
          <cell r="DE252">
            <v>0</v>
          </cell>
          <cell r="DI252">
            <v>209.2</v>
          </cell>
          <cell r="DJ252">
            <v>84.4</v>
          </cell>
          <cell r="DN252">
            <v>5.4000000000000057</v>
          </cell>
          <cell r="DR252">
            <v>227.6</v>
          </cell>
          <cell r="DS252">
            <v>135.6</v>
          </cell>
          <cell r="DW252">
            <v>41</v>
          </cell>
          <cell r="DX252">
            <v>32</v>
          </cell>
          <cell r="EB252">
            <v>208.4</v>
          </cell>
          <cell r="EF252">
            <v>45.8</v>
          </cell>
          <cell r="EG252">
            <v>32</v>
          </cell>
          <cell r="EJ252">
            <v>97.2</v>
          </cell>
          <cell r="EK252">
            <v>237.6</v>
          </cell>
          <cell r="EO252">
            <v>34</v>
          </cell>
          <cell r="EP252">
            <v>40.4</v>
          </cell>
          <cell r="ES252">
            <v>264</v>
          </cell>
          <cell r="ET252">
            <v>167.6</v>
          </cell>
          <cell r="EY252">
            <v>48</v>
          </cell>
          <cell r="FC252">
            <v>278.8</v>
          </cell>
          <cell r="FG252">
            <v>17</v>
          </cell>
          <cell r="FH252">
            <v>48</v>
          </cell>
          <cell r="FL252">
            <v>235.6</v>
          </cell>
          <cell r="FP252">
            <v>0</v>
          </cell>
          <cell r="FQ252">
            <v>48</v>
          </cell>
          <cell r="FT252">
            <v>86</v>
          </cell>
          <cell r="FU252">
            <v>326.8</v>
          </cell>
          <cell r="FY252">
            <v>0</v>
          </cell>
          <cell r="FZ252">
            <v>48</v>
          </cell>
          <cell r="GC252">
            <v>36.4</v>
          </cell>
          <cell r="GD252">
            <v>293.60000000000002</v>
          </cell>
          <cell r="GH252">
            <v>0</v>
          </cell>
          <cell r="GI252">
            <v>34.799999999999997</v>
          </cell>
          <cell r="GM252">
            <v>181.2</v>
          </cell>
          <cell r="GQ252">
            <v>0</v>
          </cell>
          <cell r="GR252">
            <v>6.4</v>
          </cell>
          <cell r="GU252">
            <v>64</v>
          </cell>
          <cell r="GV252">
            <v>89.6</v>
          </cell>
        </row>
        <row r="253">
          <cell r="A253">
            <v>211</v>
          </cell>
          <cell r="B253" t="str">
            <v>FG</v>
          </cell>
          <cell r="C253" t="str">
            <v>FM</v>
          </cell>
          <cell r="D253" t="str">
            <v>JNC 99</v>
          </cell>
          <cell r="E253">
            <v>99</v>
          </cell>
          <cell r="I253">
            <v>0</v>
          </cell>
          <cell r="J253">
            <v>6.0119999999999854</v>
          </cell>
          <cell r="N253">
            <v>167.81</v>
          </cell>
          <cell r="O253">
            <v>173.82199999999997</v>
          </cell>
          <cell r="S253">
            <v>0</v>
          </cell>
          <cell r="T253">
            <v>6.0119999999999854</v>
          </cell>
          <cell r="X253">
            <v>167.81</v>
          </cell>
          <cell r="AB253">
            <v>0</v>
          </cell>
          <cell r="AC253">
            <v>6.0119999999999854</v>
          </cell>
          <cell r="AG253">
            <v>147.01</v>
          </cell>
          <cell r="AK253">
            <v>0</v>
          </cell>
          <cell r="AL253">
            <v>54.011999999999986</v>
          </cell>
          <cell r="AO253">
            <v>8</v>
          </cell>
          <cell r="AP253">
            <v>96.61</v>
          </cell>
          <cell r="AT253">
            <v>2.2000000000000002</v>
          </cell>
          <cell r="AU253">
            <v>54.011999999999986</v>
          </cell>
          <cell r="AX253">
            <v>80.8</v>
          </cell>
          <cell r="AY253">
            <v>103.81</v>
          </cell>
          <cell r="BC253">
            <v>2.2000000000000002</v>
          </cell>
          <cell r="BD253">
            <v>54.011999999999986</v>
          </cell>
          <cell r="BH253">
            <v>106.01</v>
          </cell>
          <cell r="BL253">
            <v>20</v>
          </cell>
          <cell r="BM253">
            <v>20.01199999999999</v>
          </cell>
          <cell r="BQ253">
            <v>34.409999999999997</v>
          </cell>
          <cell r="BU253">
            <v>0</v>
          </cell>
          <cell r="BV253">
            <v>7.9999999999999893</v>
          </cell>
          <cell r="BZ253">
            <v>34.409999999999997</v>
          </cell>
          <cell r="CD253">
            <v>82</v>
          </cell>
          <cell r="CE253">
            <v>7.9999999999999893</v>
          </cell>
          <cell r="CI253">
            <v>34.409999999999997</v>
          </cell>
          <cell r="CM253">
            <v>21</v>
          </cell>
          <cell r="CN253">
            <v>7.9999999999999893</v>
          </cell>
          <cell r="CQ253">
            <v>82.4</v>
          </cell>
          <cell r="CR253">
            <v>34.409999999999997</v>
          </cell>
          <cell r="CV253">
            <v>14</v>
          </cell>
          <cell r="CW253">
            <v>7.9999999999999893</v>
          </cell>
          <cell r="DA253">
            <v>116.81</v>
          </cell>
          <cell r="DE253">
            <v>10.8</v>
          </cell>
          <cell r="DF253">
            <v>59.2</v>
          </cell>
          <cell r="DJ253">
            <v>106.41</v>
          </cell>
          <cell r="DN253">
            <v>88.85</v>
          </cell>
          <cell r="DO253">
            <v>23.3</v>
          </cell>
          <cell r="DS253">
            <v>115.21</v>
          </cell>
          <cell r="DW253">
            <v>11.95</v>
          </cell>
          <cell r="DX253">
            <v>68.5</v>
          </cell>
          <cell r="EB253">
            <v>106.41</v>
          </cell>
          <cell r="EF253">
            <v>2</v>
          </cell>
          <cell r="EG253">
            <v>26.1</v>
          </cell>
          <cell r="EK253">
            <v>100.01</v>
          </cell>
          <cell r="EO253">
            <v>2</v>
          </cell>
          <cell r="EP253">
            <v>24.9</v>
          </cell>
          <cell r="ET253">
            <v>68.41</v>
          </cell>
          <cell r="EY253">
            <v>5.3</v>
          </cell>
          <cell r="FC253">
            <v>35.61</v>
          </cell>
          <cell r="FG253">
            <v>10.6</v>
          </cell>
          <cell r="FH253">
            <v>5.3</v>
          </cell>
          <cell r="FL253">
            <v>140.01</v>
          </cell>
          <cell r="FP253">
            <v>2</v>
          </cell>
          <cell r="FQ253">
            <v>5.3</v>
          </cell>
          <cell r="FU253">
            <v>87.61</v>
          </cell>
          <cell r="FY253">
            <v>2</v>
          </cell>
          <cell r="GD253">
            <v>87.61</v>
          </cell>
          <cell r="GH253">
            <v>2</v>
          </cell>
          <cell r="GI253">
            <v>5.3</v>
          </cell>
          <cell r="GM253">
            <v>60.01</v>
          </cell>
          <cell r="GQ253">
            <v>0</v>
          </cell>
          <cell r="GR253">
            <v>5.3</v>
          </cell>
          <cell r="GU253">
            <v>16</v>
          </cell>
          <cell r="GV253">
            <v>93.61</v>
          </cell>
        </row>
        <row r="254">
          <cell r="A254">
            <v>212</v>
          </cell>
          <cell r="B254" t="str">
            <v>FG</v>
          </cell>
          <cell r="C254" t="str">
            <v>FM</v>
          </cell>
          <cell r="D254" t="str">
            <v>JO TF 70%</v>
          </cell>
          <cell r="E254" t="str">
            <v>TF</v>
          </cell>
          <cell r="I254">
            <v>0</v>
          </cell>
          <cell r="J254">
            <v>51.363999999999997</v>
          </cell>
          <cell r="M254">
            <v>96.6</v>
          </cell>
          <cell r="N254">
            <v>79.37</v>
          </cell>
          <cell r="O254">
            <v>227.334</v>
          </cell>
          <cell r="S254">
            <v>69.400000000000006</v>
          </cell>
          <cell r="T254">
            <v>449.98899999999998</v>
          </cell>
          <cell r="W254">
            <v>129.6</v>
          </cell>
          <cell r="X254">
            <v>50.99</v>
          </cell>
          <cell r="AB254">
            <v>0</v>
          </cell>
          <cell r="AC254">
            <v>306.68899999999996</v>
          </cell>
          <cell r="AF254">
            <v>16.5</v>
          </cell>
          <cell r="AG254">
            <v>306.58999999999997</v>
          </cell>
          <cell r="AK254">
            <v>1.5999999999999943</v>
          </cell>
          <cell r="AL254">
            <v>170.68900000000002</v>
          </cell>
          <cell r="AO254">
            <v>262.39999999999998</v>
          </cell>
          <cell r="AP254">
            <v>95</v>
          </cell>
          <cell r="AT254">
            <v>48.2</v>
          </cell>
          <cell r="AU254">
            <v>228.41400000000002</v>
          </cell>
          <cell r="AX254">
            <v>8.8000000000000007</v>
          </cell>
          <cell r="AY254">
            <v>299.8</v>
          </cell>
          <cell r="BC254">
            <v>30.8</v>
          </cell>
          <cell r="BD254">
            <v>249.43899999999999</v>
          </cell>
          <cell r="BG254">
            <v>275.2</v>
          </cell>
          <cell r="BH254">
            <v>170.19499999999999</v>
          </cell>
          <cell r="BL254">
            <v>0</v>
          </cell>
          <cell r="BM254">
            <v>516.03899999999999</v>
          </cell>
          <cell r="BQ254">
            <v>227.8</v>
          </cell>
          <cell r="BU254">
            <v>0</v>
          </cell>
          <cell r="BV254">
            <v>405.63900000000001</v>
          </cell>
          <cell r="BZ254">
            <v>176.2</v>
          </cell>
          <cell r="CD254">
            <v>47</v>
          </cell>
          <cell r="CE254">
            <v>376.43899999999996</v>
          </cell>
          <cell r="CH254">
            <v>32</v>
          </cell>
          <cell r="CI254">
            <v>78.194999999999993</v>
          </cell>
          <cell r="CM254">
            <v>0</v>
          </cell>
          <cell r="CN254">
            <v>334.839</v>
          </cell>
          <cell r="CQ254">
            <v>21.2</v>
          </cell>
          <cell r="CR254">
            <v>20.6</v>
          </cell>
          <cell r="CV254">
            <v>0</v>
          </cell>
          <cell r="CW254">
            <v>294.63900000000001</v>
          </cell>
          <cell r="DE254">
            <v>127</v>
          </cell>
          <cell r="DF254">
            <v>196.239</v>
          </cell>
          <cell r="DI254">
            <v>194</v>
          </cell>
          <cell r="DN254">
            <v>0</v>
          </cell>
          <cell r="DO254">
            <v>178.239</v>
          </cell>
          <cell r="DS254">
            <v>229.6</v>
          </cell>
          <cell r="DW254">
            <v>0</v>
          </cell>
          <cell r="DX254">
            <v>113.43899999999999</v>
          </cell>
          <cell r="EA254">
            <v>80</v>
          </cell>
          <cell r="EB254">
            <v>88.4</v>
          </cell>
          <cell r="EF254">
            <v>14</v>
          </cell>
          <cell r="EG254">
            <v>48.963999999999999</v>
          </cell>
          <cell r="EK254">
            <v>42</v>
          </cell>
          <cell r="EO254">
            <v>0</v>
          </cell>
          <cell r="EP254">
            <v>112.964</v>
          </cell>
          <cell r="ES254">
            <v>242.4</v>
          </cell>
          <cell r="ET254">
            <v>63.2</v>
          </cell>
          <cell r="EY254">
            <v>244.26400000000001</v>
          </cell>
          <cell r="FC254">
            <v>35.6</v>
          </cell>
          <cell r="FG254">
            <v>153.19999999999999</v>
          </cell>
          <cell r="FH254">
            <v>215.864</v>
          </cell>
          <cell r="FK254">
            <v>16</v>
          </cell>
          <cell r="FL254">
            <v>227.6</v>
          </cell>
          <cell r="FP254">
            <v>16</v>
          </cell>
          <cell r="FQ254">
            <v>179.16399999999999</v>
          </cell>
          <cell r="FT254">
            <v>86</v>
          </cell>
          <cell r="FU254">
            <v>150.80000000000001</v>
          </cell>
          <cell r="FY254">
            <v>132</v>
          </cell>
          <cell r="FZ254">
            <v>165.76400000000001</v>
          </cell>
          <cell r="GC254">
            <v>5.2</v>
          </cell>
          <cell r="GD254">
            <v>154</v>
          </cell>
          <cell r="GH254">
            <v>19.2</v>
          </cell>
          <cell r="GI254">
            <v>274.81399999999996</v>
          </cell>
          <cell r="GL254">
            <v>261.60000000000002</v>
          </cell>
          <cell r="GM254">
            <v>94</v>
          </cell>
          <cell r="GQ254">
            <v>0</v>
          </cell>
          <cell r="GR254">
            <v>284.21099999999996</v>
          </cell>
          <cell r="GV254">
            <v>142.4</v>
          </cell>
        </row>
        <row r="255">
          <cell r="A255">
            <v>213</v>
          </cell>
          <cell r="B255" t="str">
            <v>FG</v>
          </cell>
          <cell r="C255" t="str">
            <v>FM</v>
          </cell>
          <cell r="D255" t="str">
            <v>DR TF 70%</v>
          </cell>
          <cell r="E255" t="str">
            <v>TF D</v>
          </cell>
          <cell r="I255">
            <v>0</v>
          </cell>
          <cell r="M255">
            <v>196.8</v>
          </cell>
          <cell r="N255">
            <v>429</v>
          </cell>
          <cell r="O255">
            <v>625.79999999999995</v>
          </cell>
          <cell r="S255">
            <v>0</v>
          </cell>
          <cell r="X255">
            <v>302.60000000000002</v>
          </cell>
          <cell r="AB255">
            <v>88.2</v>
          </cell>
          <cell r="AG255">
            <v>152.19999999999999</v>
          </cell>
          <cell r="AK255">
            <v>0</v>
          </cell>
          <cell r="AO255">
            <v>120.8</v>
          </cell>
          <cell r="AP255">
            <v>208.2</v>
          </cell>
          <cell r="AT255">
            <v>0</v>
          </cell>
          <cell r="AU255">
            <v>1.7250000000000001</v>
          </cell>
          <cell r="AY255">
            <v>169.8</v>
          </cell>
          <cell r="BC255">
            <v>3</v>
          </cell>
          <cell r="BG255">
            <v>177.6</v>
          </cell>
          <cell r="BH255">
            <v>101.8</v>
          </cell>
          <cell r="BL255">
            <v>0</v>
          </cell>
          <cell r="BQ255">
            <v>141</v>
          </cell>
          <cell r="BU255">
            <v>15.4</v>
          </cell>
          <cell r="BY255">
            <v>64.400000000000006</v>
          </cell>
          <cell r="BZ255">
            <v>86.6</v>
          </cell>
          <cell r="CD255">
            <v>0</v>
          </cell>
          <cell r="CE255">
            <v>1.7250000000000001</v>
          </cell>
          <cell r="CI255">
            <v>273.8</v>
          </cell>
          <cell r="CM255">
            <v>0</v>
          </cell>
          <cell r="CR255">
            <v>259</v>
          </cell>
          <cell r="CV255">
            <v>0</v>
          </cell>
          <cell r="DA255">
            <v>91.4</v>
          </cell>
          <cell r="DE255">
            <v>0</v>
          </cell>
          <cell r="DI255">
            <v>64</v>
          </cell>
          <cell r="DJ255">
            <v>86</v>
          </cell>
          <cell r="DN255">
            <v>0</v>
          </cell>
          <cell r="DR255">
            <v>16.8</v>
          </cell>
          <cell r="DS255">
            <v>167.2</v>
          </cell>
          <cell r="DW255">
            <v>0</v>
          </cell>
          <cell r="EA255">
            <v>90.4</v>
          </cell>
          <cell r="EB255">
            <v>38.799999999999997</v>
          </cell>
          <cell r="EF255">
            <v>0</v>
          </cell>
          <cell r="EJ255">
            <v>33.6</v>
          </cell>
          <cell r="EK255">
            <v>18.8</v>
          </cell>
          <cell r="EO255">
            <v>0</v>
          </cell>
          <cell r="FG255">
            <v>0</v>
          </cell>
          <cell r="FL255">
            <v>102.8</v>
          </cell>
          <cell r="FP255">
            <v>67.599999999999994</v>
          </cell>
          <cell r="FT255">
            <v>111.2</v>
          </cell>
          <cell r="FU255">
            <v>15.2</v>
          </cell>
          <cell r="FY255">
            <v>51.8</v>
          </cell>
          <cell r="GC255">
            <v>62.4</v>
          </cell>
          <cell r="GD255">
            <v>42</v>
          </cell>
          <cell r="GH255">
            <v>5.8000000000000114</v>
          </cell>
          <cell r="GL255">
            <v>312</v>
          </cell>
          <cell r="GM255">
            <v>110.8</v>
          </cell>
          <cell r="GQ255">
            <v>0</v>
          </cell>
          <cell r="GU255">
            <v>127.6</v>
          </cell>
          <cell r="GV255">
            <v>227.6</v>
          </cell>
        </row>
        <row r="256">
          <cell r="A256">
            <v>214</v>
          </cell>
          <cell r="B256" t="str">
            <v>FG</v>
          </cell>
          <cell r="C256" t="str">
            <v>FM</v>
          </cell>
          <cell r="D256" t="str">
            <v>JO ALMOND W TF 70%</v>
          </cell>
          <cell r="E256" t="str">
            <v>VITAVON W TF</v>
          </cell>
          <cell r="I256">
            <v>0</v>
          </cell>
          <cell r="J256">
            <v>389.22500000000002</v>
          </cell>
          <cell r="N256">
            <v>211.2</v>
          </cell>
          <cell r="O256">
            <v>600.42499999999995</v>
          </cell>
          <cell r="S256">
            <v>0</v>
          </cell>
          <cell r="X256">
            <v>181.2</v>
          </cell>
          <cell r="AB256">
            <v>0</v>
          </cell>
          <cell r="AG256">
            <v>78.400000000000006</v>
          </cell>
          <cell r="AK256">
            <v>6.8000000000000114</v>
          </cell>
          <cell r="AL256">
            <v>96</v>
          </cell>
          <cell r="AO256">
            <v>79.2</v>
          </cell>
          <cell r="AP256">
            <v>208</v>
          </cell>
          <cell r="AT256">
            <v>6.8000000000000114</v>
          </cell>
          <cell r="AU256">
            <v>128</v>
          </cell>
          <cell r="BC256">
            <v>6.8000000000000114</v>
          </cell>
          <cell r="BD256">
            <v>128</v>
          </cell>
          <cell r="BL256">
            <v>0</v>
          </cell>
          <cell r="BM256">
            <v>128</v>
          </cell>
          <cell r="BU256">
            <v>9.3999999999999773</v>
          </cell>
          <cell r="BV256">
            <v>128</v>
          </cell>
          <cell r="CD256">
            <v>6.1999999999999771</v>
          </cell>
          <cell r="CE256">
            <v>128</v>
          </cell>
          <cell r="CI256">
            <v>192</v>
          </cell>
          <cell r="CM256">
            <v>6.1999999999999771</v>
          </cell>
          <cell r="CN256">
            <v>128</v>
          </cell>
          <cell r="CR256">
            <v>143.6</v>
          </cell>
          <cell r="CV256">
            <v>0</v>
          </cell>
          <cell r="CW256">
            <v>91.2</v>
          </cell>
          <cell r="DA256">
            <v>122.4</v>
          </cell>
          <cell r="DE256">
            <v>0</v>
          </cell>
          <cell r="DJ256">
            <v>34.799999999999997</v>
          </cell>
          <cell r="DN256">
            <v>0</v>
          </cell>
          <cell r="DS256">
            <v>10</v>
          </cell>
          <cell r="DW256">
            <v>0</v>
          </cell>
          <cell r="DX256">
            <v>193.6</v>
          </cell>
          <cell r="EA256">
            <v>81.2</v>
          </cell>
          <cell r="EB256">
            <v>152.80000000000001</v>
          </cell>
          <cell r="EF256">
            <v>0</v>
          </cell>
          <cell r="EG256">
            <v>156.80000000000001</v>
          </cell>
          <cell r="EK256">
            <v>189.6</v>
          </cell>
          <cell r="EO256">
            <v>0</v>
          </cell>
          <cell r="EP256">
            <v>64.8</v>
          </cell>
          <cell r="ET256">
            <v>136</v>
          </cell>
          <cell r="EY256">
            <v>62</v>
          </cell>
          <cell r="FC256">
            <v>48.8</v>
          </cell>
          <cell r="FG256">
            <v>0</v>
          </cell>
          <cell r="FH256">
            <v>99.2</v>
          </cell>
          <cell r="FK256">
            <v>48.8</v>
          </cell>
          <cell r="FL256">
            <v>73.599999999999994</v>
          </cell>
          <cell r="FP256">
            <v>0</v>
          </cell>
          <cell r="FQ256">
            <v>63.6</v>
          </cell>
          <cell r="FU256">
            <v>141.19999999999999</v>
          </cell>
          <cell r="FY256">
            <v>0</v>
          </cell>
          <cell r="FZ256">
            <v>63.6</v>
          </cell>
          <cell r="GD256">
            <v>78.8</v>
          </cell>
          <cell r="GH256">
            <v>0</v>
          </cell>
          <cell r="GI256">
            <v>16</v>
          </cell>
          <cell r="GM256">
            <v>3.2</v>
          </cell>
          <cell r="GQ256">
            <v>99.2</v>
          </cell>
          <cell r="GU256">
            <v>35.200000000000003</v>
          </cell>
          <cell r="GV256">
            <v>3.2</v>
          </cell>
        </row>
        <row r="257">
          <cell r="A257">
            <v>215</v>
          </cell>
          <cell r="B257" t="str">
            <v>FG</v>
          </cell>
          <cell r="C257" t="str">
            <v>FM</v>
          </cell>
          <cell r="D257" t="str">
            <v>AMWAY</v>
          </cell>
          <cell r="I257">
            <v>0</v>
          </cell>
          <cell r="N257">
            <v>132.19999999999999</v>
          </cell>
          <cell r="O257">
            <v>132.19999999999999</v>
          </cell>
          <cell r="S257">
            <v>0</v>
          </cell>
          <cell r="X257">
            <v>103</v>
          </cell>
          <cell r="AB257">
            <v>0</v>
          </cell>
          <cell r="AG257">
            <v>43</v>
          </cell>
          <cell r="AK257">
            <v>0</v>
          </cell>
          <cell r="AP257">
            <v>43</v>
          </cell>
          <cell r="AT257">
            <v>0</v>
          </cell>
          <cell r="AY257">
            <v>43</v>
          </cell>
          <cell r="BC257">
            <v>0</v>
          </cell>
          <cell r="BH257">
            <v>43</v>
          </cell>
          <cell r="BL257">
            <v>8.5999999999999943</v>
          </cell>
          <cell r="BP257">
            <v>102.4</v>
          </cell>
          <cell r="BQ257">
            <v>43</v>
          </cell>
          <cell r="BU257">
            <v>0</v>
          </cell>
          <cell r="BZ257">
            <v>142.6</v>
          </cell>
          <cell r="CD257">
            <v>0</v>
          </cell>
          <cell r="CI257">
            <v>61</v>
          </cell>
          <cell r="CM257">
            <v>0</v>
          </cell>
          <cell r="CR257">
            <v>34.200000000000003</v>
          </cell>
          <cell r="CV257">
            <v>0</v>
          </cell>
          <cell r="CZ257">
            <v>97.6</v>
          </cell>
          <cell r="DA257">
            <v>34.200000000000003</v>
          </cell>
          <cell r="DE257">
            <v>0</v>
          </cell>
          <cell r="DJ257">
            <v>102.6</v>
          </cell>
          <cell r="DN257">
            <v>0</v>
          </cell>
          <cell r="DS257">
            <v>102.6</v>
          </cell>
          <cell r="DW257">
            <v>0</v>
          </cell>
          <cell r="EB257">
            <v>60.2</v>
          </cell>
          <cell r="EF257">
            <v>0</v>
          </cell>
          <cell r="EJ257">
            <v>154.80000000000001</v>
          </cell>
          <cell r="EK257">
            <v>61.4</v>
          </cell>
          <cell r="EO257">
            <v>0</v>
          </cell>
          <cell r="ET257">
            <v>145</v>
          </cell>
          <cell r="FC257">
            <v>120.2</v>
          </cell>
          <cell r="FG257">
            <v>0</v>
          </cell>
          <cell r="FL257">
            <v>106.6</v>
          </cell>
          <cell r="FP257">
            <v>0</v>
          </cell>
          <cell r="FU257">
            <v>75</v>
          </cell>
          <cell r="FY257">
            <v>0</v>
          </cell>
          <cell r="GD257">
            <v>75</v>
          </cell>
          <cell r="GH257">
            <v>0</v>
          </cell>
          <cell r="GM257">
            <v>75</v>
          </cell>
          <cell r="GQ257">
            <v>0</v>
          </cell>
          <cell r="GU257">
            <v>49.2</v>
          </cell>
          <cell r="GV257">
            <v>168.2</v>
          </cell>
        </row>
        <row r="258">
          <cell r="A258">
            <v>216</v>
          </cell>
          <cell r="B258" t="str">
            <v>FG</v>
          </cell>
          <cell r="C258" t="str">
            <v>FM</v>
          </cell>
          <cell r="D258" t="str">
            <v>FA SAUDI</v>
          </cell>
          <cell r="I258">
            <v>210</v>
          </cell>
          <cell r="J258">
            <v>29.2</v>
          </cell>
          <cell r="O258">
            <v>239.2</v>
          </cell>
          <cell r="S258">
            <v>10</v>
          </cell>
          <cell r="T258">
            <v>29.2</v>
          </cell>
          <cell r="AB258">
            <v>10</v>
          </cell>
          <cell r="AC258">
            <v>29.2</v>
          </cell>
          <cell r="AK258">
            <v>10</v>
          </cell>
          <cell r="AL258">
            <v>29.2</v>
          </cell>
          <cell r="AT258">
            <v>10</v>
          </cell>
          <cell r="AU258">
            <v>29.2</v>
          </cell>
          <cell r="BC258">
            <v>10</v>
          </cell>
          <cell r="BD258">
            <v>29.2</v>
          </cell>
          <cell r="BL258">
            <v>10</v>
          </cell>
          <cell r="BU258">
            <v>167</v>
          </cell>
          <cell r="BV258">
            <v>29.2</v>
          </cell>
          <cell r="CD258">
            <v>5.3</v>
          </cell>
          <cell r="CE258">
            <v>29.2</v>
          </cell>
          <cell r="CM258">
            <v>5.3</v>
          </cell>
          <cell r="CN258">
            <v>29.2</v>
          </cell>
          <cell r="CV258">
            <v>5.3</v>
          </cell>
          <cell r="CW258">
            <v>29.2</v>
          </cell>
          <cell r="DE258">
            <v>33.299999999999997</v>
          </cell>
          <cell r="DF258">
            <v>29.2</v>
          </cell>
          <cell r="DN258">
            <v>22.3</v>
          </cell>
          <cell r="DO258">
            <v>29.2</v>
          </cell>
          <cell r="DW258">
            <v>22.3</v>
          </cell>
          <cell r="DX258">
            <v>29.2</v>
          </cell>
          <cell r="EF258">
            <v>22.3</v>
          </cell>
          <cell r="EG258">
            <v>29.2</v>
          </cell>
          <cell r="EO258">
            <v>22.3</v>
          </cell>
          <cell r="EP258">
            <v>29.2</v>
          </cell>
          <cell r="EY258">
            <v>29.2</v>
          </cell>
          <cell r="FG258">
            <v>14.3</v>
          </cell>
          <cell r="FH258">
            <v>29.2</v>
          </cell>
          <cell r="FP258">
            <v>14.3</v>
          </cell>
          <cell r="FQ258">
            <v>29.2</v>
          </cell>
          <cell r="FY258">
            <v>14.3</v>
          </cell>
          <cell r="FZ258">
            <v>29.2</v>
          </cell>
          <cell r="GH258">
            <v>14.3</v>
          </cell>
          <cell r="GQ258">
            <v>14.3</v>
          </cell>
          <cell r="GR258">
            <v>29.2</v>
          </cell>
        </row>
        <row r="259">
          <cell r="A259">
            <v>217</v>
          </cell>
          <cell r="B259" t="str">
            <v>FG</v>
          </cell>
          <cell r="C259" t="str">
            <v>FM</v>
          </cell>
          <cell r="D259" t="str">
            <v>LE CHAT</v>
          </cell>
          <cell r="I259">
            <v>23</v>
          </cell>
          <cell r="O259">
            <v>23</v>
          </cell>
          <cell r="S259">
            <v>23</v>
          </cell>
          <cell r="AB259">
            <v>23</v>
          </cell>
          <cell r="AK259">
            <v>23</v>
          </cell>
          <cell r="AT259">
            <v>23</v>
          </cell>
          <cell r="BC259">
            <v>23</v>
          </cell>
          <cell r="BL259">
            <v>23</v>
          </cell>
          <cell r="BU259">
            <v>23</v>
          </cell>
          <cell r="CD259">
            <v>23</v>
          </cell>
          <cell r="CM259">
            <v>23</v>
          </cell>
          <cell r="CV259">
            <v>23</v>
          </cell>
          <cell r="DE259">
            <v>23</v>
          </cell>
          <cell r="DN259">
            <v>23</v>
          </cell>
          <cell r="DW259">
            <v>23</v>
          </cell>
          <cell r="EF259">
            <v>23</v>
          </cell>
          <cell r="EO259">
            <v>23</v>
          </cell>
          <cell r="FG259">
            <v>23</v>
          </cell>
          <cell r="FP259">
            <v>23</v>
          </cell>
          <cell r="FY259">
            <v>23</v>
          </cell>
          <cell r="GH259">
            <v>23</v>
          </cell>
          <cell r="GQ259">
            <v>23</v>
          </cell>
        </row>
        <row r="260">
          <cell r="A260">
            <v>218</v>
          </cell>
          <cell r="B260" t="str">
            <v>FG</v>
          </cell>
          <cell r="C260" t="str">
            <v>FM</v>
          </cell>
          <cell r="D260" t="str">
            <v>SDM NOODLES</v>
          </cell>
          <cell r="I260">
            <v>26</v>
          </cell>
          <cell r="O260">
            <v>26</v>
          </cell>
          <cell r="S260">
            <v>26</v>
          </cell>
          <cell r="AB260">
            <v>26</v>
          </cell>
          <cell r="AK260">
            <v>26</v>
          </cell>
          <cell r="AT260">
            <v>26</v>
          </cell>
          <cell r="BC260">
            <v>26</v>
          </cell>
          <cell r="BL260">
            <v>26</v>
          </cell>
          <cell r="BU260">
            <v>26</v>
          </cell>
          <cell r="CD260">
            <v>26</v>
          </cell>
          <cell r="CM260">
            <v>26</v>
          </cell>
          <cell r="CV260">
            <v>26</v>
          </cell>
          <cell r="DE260">
            <v>26</v>
          </cell>
          <cell r="DN260">
            <v>26</v>
          </cell>
          <cell r="DW260">
            <v>26</v>
          </cell>
          <cell r="EF260">
            <v>26</v>
          </cell>
          <cell r="EO260">
            <v>26</v>
          </cell>
          <cell r="FG260">
            <v>26</v>
          </cell>
          <cell r="FP260">
            <v>26</v>
          </cell>
          <cell r="FY260">
            <v>26</v>
          </cell>
          <cell r="GH260">
            <v>26</v>
          </cell>
          <cell r="GQ260">
            <v>26</v>
          </cell>
        </row>
        <row r="261">
          <cell r="A261">
            <v>219</v>
          </cell>
          <cell r="B261" t="str">
            <v>FG</v>
          </cell>
          <cell r="C261" t="str">
            <v>FM</v>
          </cell>
          <cell r="D261" t="str">
            <v>ITC</v>
          </cell>
          <cell r="I261">
            <v>0</v>
          </cell>
          <cell r="J261">
            <v>169.3</v>
          </cell>
          <cell r="O261">
            <v>169.3</v>
          </cell>
          <cell r="S261">
            <v>0</v>
          </cell>
          <cell r="T261">
            <v>211.9</v>
          </cell>
          <cell r="AB261">
            <v>0</v>
          </cell>
          <cell r="AC261">
            <v>219.1</v>
          </cell>
          <cell r="AK261">
            <v>252</v>
          </cell>
          <cell r="AL261">
            <v>161.5</v>
          </cell>
          <cell r="AT261">
            <v>87</v>
          </cell>
          <cell r="AU261">
            <v>446.7</v>
          </cell>
          <cell r="BC261">
            <v>0</v>
          </cell>
          <cell r="BD261">
            <v>547.5</v>
          </cell>
          <cell r="BG261">
            <v>32</v>
          </cell>
          <cell r="BL261">
            <v>0</v>
          </cell>
          <cell r="BM261">
            <v>551.5</v>
          </cell>
          <cell r="BU261">
            <v>0</v>
          </cell>
          <cell r="BV261">
            <v>431.1</v>
          </cell>
          <cell r="CD261">
            <v>0</v>
          </cell>
          <cell r="CE261">
            <v>305.10000000000002</v>
          </cell>
          <cell r="CM261">
            <v>0</v>
          </cell>
          <cell r="CN261">
            <v>227.1</v>
          </cell>
          <cell r="CV261">
            <v>137.19999999999999</v>
          </cell>
          <cell r="CW261">
            <v>169.1</v>
          </cell>
          <cell r="DE261">
            <v>0</v>
          </cell>
          <cell r="DF261">
            <v>371.5</v>
          </cell>
          <cell r="DN261">
            <v>0</v>
          </cell>
          <cell r="DO261">
            <v>229.1</v>
          </cell>
          <cell r="DW261">
            <v>0</v>
          </cell>
          <cell r="DX261">
            <v>200.7</v>
          </cell>
          <cell r="EF261">
            <v>0</v>
          </cell>
          <cell r="EG261">
            <v>230.3</v>
          </cell>
          <cell r="EO261">
            <v>0</v>
          </cell>
          <cell r="EP261">
            <v>421.9</v>
          </cell>
          <cell r="EY261">
            <v>334.7</v>
          </cell>
          <cell r="FG261">
            <v>0</v>
          </cell>
          <cell r="FH261">
            <v>273.10000000000002</v>
          </cell>
          <cell r="FP261">
            <v>0</v>
          </cell>
          <cell r="FQ261">
            <v>308.5</v>
          </cell>
          <cell r="FY261">
            <v>0</v>
          </cell>
          <cell r="FZ261">
            <v>281.3</v>
          </cell>
          <cell r="GH261">
            <v>0</v>
          </cell>
          <cell r="GI261">
            <v>224.1</v>
          </cell>
          <cell r="GQ261">
            <v>0</v>
          </cell>
          <cell r="GR261">
            <v>138.1</v>
          </cell>
        </row>
        <row r="262">
          <cell r="A262">
            <v>220</v>
          </cell>
          <cell r="B262" t="str">
            <v>FG</v>
          </cell>
          <cell r="C262" t="str">
            <v>FM</v>
          </cell>
          <cell r="D262" t="str">
            <v>GENERAL NOODLES</v>
          </cell>
          <cell r="I262">
            <v>4.8</v>
          </cell>
          <cell r="O262">
            <v>4.8</v>
          </cell>
          <cell r="S262">
            <v>4.8</v>
          </cell>
          <cell r="AB262">
            <v>4.8</v>
          </cell>
          <cell r="AK262">
            <v>4.8</v>
          </cell>
          <cell r="AT262">
            <v>4.8</v>
          </cell>
          <cell r="BC262">
            <v>4.8</v>
          </cell>
          <cell r="BL262">
            <v>32.799999999999997</v>
          </cell>
          <cell r="BU262">
            <v>29</v>
          </cell>
          <cell r="CD262">
            <v>18</v>
          </cell>
          <cell r="CM262">
            <v>11.4</v>
          </cell>
          <cell r="CV262">
            <v>15.7</v>
          </cell>
          <cell r="DE262">
            <v>4.3</v>
          </cell>
          <cell r="DN262">
            <v>4.7249999999999996</v>
          </cell>
          <cell r="DW262">
            <v>4.7249999999999996</v>
          </cell>
          <cell r="EF262">
            <v>4.7249999999999996</v>
          </cell>
          <cell r="EO262">
            <v>2.4</v>
          </cell>
          <cell r="FG262">
            <v>2.4</v>
          </cell>
          <cell r="FP262">
            <v>38.200000000000003</v>
          </cell>
          <cell r="FY262">
            <v>38.200000000000003</v>
          </cell>
          <cell r="GH262">
            <v>38.200000000000003</v>
          </cell>
          <cell r="GQ262">
            <v>25</v>
          </cell>
        </row>
        <row r="263">
          <cell r="A263">
            <v>221</v>
          </cell>
          <cell r="B263" t="str">
            <v>FG</v>
          </cell>
          <cell r="C263" t="str">
            <v>FM</v>
          </cell>
          <cell r="D263" t="str">
            <v>NEAT SCRAP SOAP</v>
          </cell>
          <cell r="I263">
            <v>33</v>
          </cell>
          <cell r="O263">
            <v>33</v>
          </cell>
          <cell r="S263">
            <v>33</v>
          </cell>
          <cell r="AB263">
            <v>15</v>
          </cell>
          <cell r="AK263">
            <v>15</v>
          </cell>
          <cell r="AT263">
            <v>12</v>
          </cell>
          <cell r="BC263">
            <v>14</v>
          </cell>
          <cell r="BL263">
            <v>15</v>
          </cell>
          <cell r="BU263">
            <v>15</v>
          </cell>
          <cell r="CD263">
            <v>15</v>
          </cell>
          <cell r="CM263">
            <v>15</v>
          </cell>
          <cell r="CV263">
            <v>20</v>
          </cell>
          <cell r="DE263">
            <v>20</v>
          </cell>
          <cell r="DN263">
            <v>20</v>
          </cell>
          <cell r="DW263">
            <v>29</v>
          </cell>
          <cell r="EF263">
            <v>29</v>
          </cell>
          <cell r="EO263">
            <v>29</v>
          </cell>
          <cell r="FG263">
            <v>29</v>
          </cell>
          <cell r="FP263">
            <v>30</v>
          </cell>
          <cell r="FY263">
            <v>30</v>
          </cell>
          <cell r="GH263">
            <v>30</v>
          </cell>
          <cell r="GQ263">
            <v>30</v>
          </cell>
        </row>
        <row r="264">
          <cell r="A264">
            <v>222</v>
          </cell>
          <cell r="B264" t="str">
            <v>FG</v>
          </cell>
          <cell r="C264" t="str">
            <v>FM</v>
          </cell>
          <cell r="D264" t="str">
            <v>DAVID OPEC</v>
          </cell>
          <cell r="J264">
            <v>0.8</v>
          </cell>
          <cell r="O264">
            <v>0.8</v>
          </cell>
          <cell r="T264">
            <v>0.8</v>
          </cell>
          <cell r="AC264">
            <v>0.8</v>
          </cell>
          <cell r="AL264">
            <v>0.8</v>
          </cell>
          <cell r="AU264">
            <v>0.8</v>
          </cell>
          <cell r="BD264">
            <v>0.8</v>
          </cell>
          <cell r="BM264">
            <v>0.8</v>
          </cell>
          <cell r="BV264">
            <v>0.8</v>
          </cell>
          <cell r="CE264">
            <v>0.8</v>
          </cell>
          <cell r="CN264">
            <v>0.8</v>
          </cell>
          <cell r="CW264">
            <v>0.8</v>
          </cell>
          <cell r="DF264">
            <v>0.8</v>
          </cell>
          <cell r="DO264">
            <v>0.8</v>
          </cell>
          <cell r="DX264">
            <v>0.8</v>
          </cell>
          <cell r="EG264">
            <v>0.8</v>
          </cell>
          <cell r="EP264">
            <v>0.8</v>
          </cell>
          <cell r="EY264">
            <v>0.8</v>
          </cell>
          <cell r="FH264">
            <v>0.8</v>
          </cell>
          <cell r="FQ264">
            <v>0.8</v>
          </cell>
          <cell r="FZ264">
            <v>0.8</v>
          </cell>
          <cell r="GI264">
            <v>0.8</v>
          </cell>
        </row>
        <row r="265">
          <cell r="A265">
            <v>223</v>
          </cell>
          <cell r="B265" t="str">
            <v>FG</v>
          </cell>
          <cell r="C265" t="str">
            <v>FM</v>
          </cell>
          <cell r="D265" t="str">
            <v>DABUR VATICA</v>
          </cell>
          <cell r="J265">
            <v>1.756</v>
          </cell>
          <cell r="O265">
            <v>1.756</v>
          </cell>
          <cell r="T265">
            <v>1.756</v>
          </cell>
          <cell r="AC265">
            <v>1.756</v>
          </cell>
          <cell r="AL265">
            <v>1.756</v>
          </cell>
          <cell r="AU265">
            <v>1.756</v>
          </cell>
          <cell r="BD265">
            <v>1.756</v>
          </cell>
          <cell r="BM265">
            <v>1.756</v>
          </cell>
          <cell r="BV265">
            <v>1.756</v>
          </cell>
          <cell r="CE265">
            <v>1.756</v>
          </cell>
          <cell r="CN265">
            <v>1.756</v>
          </cell>
          <cell r="CW265">
            <v>1.756</v>
          </cell>
          <cell r="DF265">
            <v>1.756</v>
          </cell>
          <cell r="DO265">
            <v>1.756</v>
          </cell>
          <cell r="DX265">
            <v>1.756</v>
          </cell>
        </row>
        <row r="266">
          <cell r="A266">
            <v>224</v>
          </cell>
          <cell r="B266" t="str">
            <v>FG</v>
          </cell>
          <cell r="C266" t="str">
            <v>FM</v>
          </cell>
          <cell r="D266" t="str">
            <v>MARGO</v>
          </cell>
          <cell r="J266">
            <v>198.80099999999999</v>
          </cell>
          <cell r="O266">
            <v>198.80099999999999</v>
          </cell>
          <cell r="T266">
            <v>347.351</v>
          </cell>
          <cell r="AC266">
            <v>610.30100000000004</v>
          </cell>
          <cell r="AL266">
            <v>702.65099999999995</v>
          </cell>
          <cell r="AU266">
            <v>599.50099999999998</v>
          </cell>
          <cell r="BD266">
            <v>494.70100000000002</v>
          </cell>
          <cell r="BM266">
            <v>350.30099999999999</v>
          </cell>
          <cell r="BV266">
            <v>253.3</v>
          </cell>
          <cell r="CE266">
            <v>291.8</v>
          </cell>
          <cell r="CN266">
            <v>295.95</v>
          </cell>
          <cell r="CW266">
            <v>242.75</v>
          </cell>
          <cell r="DF266">
            <v>182.65</v>
          </cell>
          <cell r="DO266">
            <v>150.65</v>
          </cell>
          <cell r="DX266">
            <v>134.65</v>
          </cell>
          <cell r="EG266">
            <v>273.3</v>
          </cell>
          <cell r="EP266">
            <v>341.35</v>
          </cell>
          <cell r="EY266">
            <v>353.65</v>
          </cell>
          <cell r="FH266">
            <v>289.64999999999998</v>
          </cell>
          <cell r="FQ266">
            <v>257.64999999999998</v>
          </cell>
          <cell r="FZ266">
            <v>241.65</v>
          </cell>
          <cell r="GI266">
            <v>209.65</v>
          </cell>
          <cell r="GR266">
            <v>209.65</v>
          </cell>
        </row>
        <row r="267">
          <cell r="A267">
            <v>225</v>
          </cell>
          <cell r="B267" t="str">
            <v>FG</v>
          </cell>
          <cell r="C267" t="str">
            <v>FM</v>
          </cell>
          <cell r="D267" t="str">
            <v>OIL BASED NOODLES</v>
          </cell>
          <cell r="O267">
            <v>0</v>
          </cell>
        </row>
        <row r="268">
          <cell r="A268">
            <v>226</v>
          </cell>
          <cell r="B268" t="str">
            <v>FG</v>
          </cell>
          <cell r="C268" t="str">
            <v>SM</v>
          </cell>
          <cell r="D268" t="str">
            <v>TRANSLUCENT</v>
          </cell>
          <cell r="J268">
            <v>33.173000000000002</v>
          </cell>
          <cell r="N268">
            <v>221.6</v>
          </cell>
          <cell r="O268">
            <v>254.773</v>
          </cell>
          <cell r="T268">
            <v>93.923000000000002</v>
          </cell>
          <cell r="X268">
            <v>203</v>
          </cell>
          <cell r="AC268">
            <v>93.923000000000002</v>
          </cell>
          <cell r="AG268">
            <v>203</v>
          </cell>
          <cell r="AL268">
            <v>93.697999999999993</v>
          </cell>
          <cell r="AP268">
            <v>182.6</v>
          </cell>
          <cell r="AU268">
            <v>44.423000000000002</v>
          </cell>
          <cell r="AX268">
            <v>33.075000000000003</v>
          </cell>
          <cell r="AY268">
            <v>121.41</v>
          </cell>
          <cell r="BD268">
            <v>121.373</v>
          </cell>
          <cell r="BG268">
            <v>16.2</v>
          </cell>
          <cell r="BH268">
            <v>92.120999999999881</v>
          </cell>
          <cell r="BM268">
            <v>88.522999999999996</v>
          </cell>
          <cell r="BP268">
            <v>97.2</v>
          </cell>
          <cell r="BQ268">
            <v>67.12</v>
          </cell>
          <cell r="BV268">
            <v>191.24799999999999</v>
          </cell>
          <cell r="BY268">
            <v>95.9</v>
          </cell>
          <cell r="BZ268">
            <v>94.07</v>
          </cell>
          <cell r="CE268">
            <v>148.59800000000001</v>
          </cell>
          <cell r="CH268">
            <v>64</v>
          </cell>
          <cell r="CI268">
            <v>100.64</v>
          </cell>
          <cell r="CN268">
            <v>116.598</v>
          </cell>
          <cell r="CR268">
            <v>110.77</v>
          </cell>
          <cell r="CW268">
            <v>130.84800000000001</v>
          </cell>
          <cell r="CZ268">
            <v>81</v>
          </cell>
          <cell r="DA268">
            <v>38.17</v>
          </cell>
          <cell r="DF268">
            <v>151.673</v>
          </cell>
          <cell r="DI268">
            <v>129.25</v>
          </cell>
          <cell r="DJ268">
            <v>57.47</v>
          </cell>
          <cell r="DO268">
            <v>113.69799999999999</v>
          </cell>
          <cell r="DR268">
            <v>82.125</v>
          </cell>
          <cell r="DS268">
            <v>144.4</v>
          </cell>
          <cell r="DX268">
            <v>317.923</v>
          </cell>
          <cell r="EA268">
            <v>81.7</v>
          </cell>
          <cell r="EB268">
            <v>176.67</v>
          </cell>
          <cell r="EG268">
            <v>256.82299999999998</v>
          </cell>
          <cell r="EJ268">
            <v>16</v>
          </cell>
          <cell r="EK268">
            <v>175.02</v>
          </cell>
          <cell r="EP268">
            <v>162.048</v>
          </cell>
          <cell r="ET268">
            <v>108.02</v>
          </cell>
          <cell r="EY268">
            <v>42.472999999999999</v>
          </cell>
          <cell r="FC268">
            <v>84.65</v>
          </cell>
          <cell r="FH268">
            <v>164.71799999999999</v>
          </cell>
          <cell r="FK268">
            <v>35.055</v>
          </cell>
          <cell r="FL268">
            <v>62.74</v>
          </cell>
          <cell r="FQ268">
            <v>170.44300000000001</v>
          </cell>
          <cell r="FT268">
            <v>75.25</v>
          </cell>
          <cell r="FU268">
            <v>45.83</v>
          </cell>
          <cell r="FZ268">
            <v>151.74299999999999</v>
          </cell>
          <cell r="GC268">
            <v>15.75</v>
          </cell>
          <cell r="GD268">
            <v>81.91</v>
          </cell>
          <cell r="GI268">
            <v>34.542999999999999</v>
          </cell>
          <cell r="GL268">
            <v>63.674999999999997</v>
          </cell>
          <cell r="GM268">
            <v>78.94</v>
          </cell>
          <cell r="GR268">
            <v>80.13</v>
          </cell>
          <cell r="GU268">
            <v>15.975</v>
          </cell>
          <cell r="GV268">
            <v>26.31</v>
          </cell>
        </row>
        <row r="269">
          <cell r="A269">
            <v>227</v>
          </cell>
          <cell r="B269" t="str">
            <v>FG</v>
          </cell>
          <cell r="C269" t="str">
            <v>SM</v>
          </cell>
          <cell r="D269" t="str">
            <v>TETMOSOL</v>
          </cell>
          <cell r="O269">
            <v>0</v>
          </cell>
        </row>
        <row r="270">
          <cell r="A270">
            <v>228</v>
          </cell>
          <cell r="B270" t="str">
            <v>FG</v>
          </cell>
          <cell r="C270" t="str">
            <v>FM</v>
          </cell>
          <cell r="D270" t="str">
            <v xml:space="preserve">J &amp; J </v>
          </cell>
          <cell r="J270">
            <v>0.8</v>
          </cell>
          <cell r="O270">
            <v>0.8</v>
          </cell>
          <cell r="T270">
            <v>0.8</v>
          </cell>
          <cell r="AC270">
            <v>0.8</v>
          </cell>
          <cell r="AL270">
            <v>0.8</v>
          </cell>
          <cell r="AU270">
            <v>0.8</v>
          </cell>
          <cell r="BD270">
            <v>0.8</v>
          </cell>
          <cell r="BM270">
            <v>0.8</v>
          </cell>
          <cell r="BV270">
            <v>0.8</v>
          </cell>
          <cell r="CE270">
            <v>0.8</v>
          </cell>
          <cell r="CN270">
            <v>0.8</v>
          </cell>
          <cell r="CW270">
            <v>0.8</v>
          </cell>
          <cell r="DF270">
            <v>0.8</v>
          </cell>
          <cell r="DO270">
            <v>0.8</v>
          </cell>
          <cell r="DX270">
            <v>0.8</v>
          </cell>
          <cell r="EG270">
            <v>0.8</v>
          </cell>
          <cell r="EP270">
            <v>0.8</v>
          </cell>
          <cell r="EY270">
            <v>0.8</v>
          </cell>
          <cell r="FH270">
            <v>0.8</v>
          </cell>
          <cell r="FQ270">
            <v>0.8</v>
          </cell>
          <cell r="FZ270">
            <v>0.8</v>
          </cell>
          <cell r="GI270">
            <v>0.8</v>
          </cell>
        </row>
        <row r="271">
          <cell r="A271">
            <v>229</v>
          </cell>
          <cell r="B271" t="str">
            <v>FG</v>
          </cell>
          <cell r="C271" t="str">
            <v>FM</v>
          </cell>
          <cell r="D271" t="str">
            <v>JBS 80:20</v>
          </cell>
          <cell r="O271">
            <v>0</v>
          </cell>
        </row>
        <row r="272">
          <cell r="A272">
            <v>230</v>
          </cell>
          <cell r="B272" t="str">
            <v>FG</v>
          </cell>
          <cell r="C272" t="str">
            <v>FM</v>
          </cell>
          <cell r="D272" t="str">
            <v>IMPORTED NOODLES</v>
          </cell>
          <cell r="J272">
            <v>332.8</v>
          </cell>
          <cell r="N272">
            <v>52</v>
          </cell>
          <cell r="O272">
            <v>384.8</v>
          </cell>
          <cell r="T272">
            <v>244.8</v>
          </cell>
          <cell r="X272">
            <v>52</v>
          </cell>
          <cell r="AC272">
            <v>216.8</v>
          </cell>
          <cell r="AG272">
            <v>52</v>
          </cell>
          <cell r="AL272">
            <v>194</v>
          </cell>
          <cell r="AP272">
            <v>52</v>
          </cell>
          <cell r="AU272">
            <v>168</v>
          </cell>
          <cell r="AY272">
            <v>52</v>
          </cell>
          <cell r="BD272">
            <v>64.8</v>
          </cell>
          <cell r="BH272">
            <v>52</v>
          </cell>
          <cell r="BQ272">
            <v>52</v>
          </cell>
          <cell r="BZ272">
            <v>52</v>
          </cell>
          <cell r="CI272">
            <v>52</v>
          </cell>
          <cell r="CR272">
            <v>52</v>
          </cell>
          <cell r="DA272">
            <v>52</v>
          </cell>
          <cell r="DJ272">
            <v>52</v>
          </cell>
          <cell r="DS272">
            <v>52</v>
          </cell>
          <cell r="EB272">
            <v>52</v>
          </cell>
          <cell r="EK272">
            <v>52</v>
          </cell>
          <cell r="ET272">
            <v>52</v>
          </cell>
          <cell r="FC272">
            <v>52</v>
          </cell>
          <cell r="FL272">
            <v>52</v>
          </cell>
          <cell r="FU272">
            <v>52</v>
          </cell>
          <cell r="GD272">
            <v>52</v>
          </cell>
          <cell r="GM272">
            <v>52</v>
          </cell>
          <cell r="GV272">
            <v>52</v>
          </cell>
        </row>
        <row r="273">
          <cell r="A273">
            <v>231</v>
          </cell>
          <cell r="B273" t="str">
            <v>FG</v>
          </cell>
          <cell r="C273" t="str">
            <v>FM</v>
          </cell>
          <cell r="D273" t="str">
            <v>HAWAI SYNDAATE BASE REGULER</v>
          </cell>
          <cell r="O273">
            <v>0</v>
          </cell>
        </row>
        <row r="274">
          <cell r="F274">
            <v>0</v>
          </cell>
          <cell r="G274">
            <v>0</v>
          </cell>
          <cell r="H274">
            <v>0</v>
          </cell>
          <cell r="I274">
            <v>491.85</v>
          </cell>
          <cell r="J274">
            <v>1214.9559999999999</v>
          </cell>
          <cell r="K274">
            <v>0</v>
          </cell>
          <cell r="L274">
            <v>0</v>
          </cell>
          <cell r="M274">
            <v>741.40000000000009</v>
          </cell>
          <cell r="N274">
            <v>1800.08</v>
          </cell>
          <cell r="O274">
            <v>4248.2860000000001</v>
          </cell>
          <cell r="P274">
            <v>0</v>
          </cell>
          <cell r="Q274">
            <v>0</v>
          </cell>
          <cell r="R274">
            <v>0</v>
          </cell>
          <cell r="S274">
            <v>418.75000000000006</v>
          </cell>
          <cell r="T274">
            <v>1388.2559999999996</v>
          </cell>
          <cell r="U274">
            <v>0</v>
          </cell>
          <cell r="V274">
            <v>0</v>
          </cell>
          <cell r="W274">
            <v>129.6</v>
          </cell>
          <cell r="X274">
            <v>1713.55</v>
          </cell>
          <cell r="Y274">
            <v>0</v>
          </cell>
          <cell r="Z274">
            <v>0</v>
          </cell>
          <cell r="AA274">
            <v>0</v>
          </cell>
          <cell r="AB274">
            <v>351</v>
          </cell>
          <cell r="AC274">
            <v>1487.1059999999998</v>
          </cell>
          <cell r="AD274">
            <v>0</v>
          </cell>
          <cell r="AE274">
            <v>0</v>
          </cell>
          <cell r="AF274">
            <v>16.5</v>
          </cell>
          <cell r="AG274">
            <v>1430.15</v>
          </cell>
          <cell r="AH274">
            <v>0</v>
          </cell>
          <cell r="AI274">
            <v>0</v>
          </cell>
          <cell r="AJ274">
            <v>0</v>
          </cell>
          <cell r="AK274">
            <v>436.2</v>
          </cell>
          <cell r="AL274">
            <v>1506.8309999999999</v>
          </cell>
          <cell r="AM274">
            <v>0</v>
          </cell>
          <cell r="AN274">
            <v>0</v>
          </cell>
          <cell r="AO274">
            <v>470.4</v>
          </cell>
          <cell r="AP274">
            <v>1124.96</v>
          </cell>
          <cell r="AQ274">
            <v>0</v>
          </cell>
          <cell r="AR274">
            <v>0</v>
          </cell>
          <cell r="AS274">
            <v>0</v>
          </cell>
          <cell r="AT274">
            <v>368.1</v>
          </cell>
          <cell r="AU274">
            <v>1703.3309999999997</v>
          </cell>
          <cell r="AV274">
            <v>0</v>
          </cell>
          <cell r="AW274">
            <v>0</v>
          </cell>
          <cell r="AX274">
            <v>274.67500000000001</v>
          </cell>
          <cell r="AY274">
            <v>966.9</v>
          </cell>
          <cell r="AZ274">
            <v>0</v>
          </cell>
          <cell r="BA274">
            <v>0</v>
          </cell>
          <cell r="BB274">
            <v>0</v>
          </cell>
          <cell r="BC274">
            <v>361.2</v>
          </cell>
          <cell r="BD274">
            <v>1694.1059999999998</v>
          </cell>
          <cell r="BE274">
            <v>0</v>
          </cell>
          <cell r="BF274">
            <v>0</v>
          </cell>
          <cell r="BG274">
            <v>533</v>
          </cell>
          <cell r="BH274">
            <v>795.80099999999982</v>
          </cell>
          <cell r="BI274">
            <v>0</v>
          </cell>
          <cell r="BJ274">
            <v>0</v>
          </cell>
          <cell r="BK274">
            <v>0</v>
          </cell>
          <cell r="BL274">
            <v>244.39999999999998</v>
          </cell>
          <cell r="BM274">
            <v>1659.4559999999997</v>
          </cell>
          <cell r="BN274">
            <v>0</v>
          </cell>
          <cell r="BO274">
            <v>0</v>
          </cell>
          <cell r="BP274">
            <v>292.39999999999998</v>
          </cell>
          <cell r="BQ274">
            <v>900.03000000000009</v>
          </cell>
          <cell r="BR274">
            <v>0</v>
          </cell>
          <cell r="BS274">
            <v>0</v>
          </cell>
          <cell r="BT274">
            <v>0</v>
          </cell>
          <cell r="BU274">
            <v>398</v>
          </cell>
          <cell r="BV274">
            <v>1451.568</v>
          </cell>
          <cell r="BW274">
            <v>0</v>
          </cell>
          <cell r="BX274">
            <v>0</v>
          </cell>
          <cell r="BY274">
            <v>160.30000000000001</v>
          </cell>
          <cell r="BZ274">
            <v>857.82999999999993</v>
          </cell>
          <cell r="CA274">
            <v>0</v>
          </cell>
          <cell r="CB274">
            <v>0</v>
          </cell>
          <cell r="CC274">
            <v>0</v>
          </cell>
          <cell r="CD274">
            <v>505</v>
          </cell>
          <cell r="CE274">
            <v>1292.2179999999998</v>
          </cell>
          <cell r="CF274">
            <v>0</v>
          </cell>
          <cell r="CG274">
            <v>0</v>
          </cell>
          <cell r="CH274">
            <v>186</v>
          </cell>
          <cell r="CI274">
            <v>836.43500000000006</v>
          </cell>
          <cell r="CJ274">
            <v>0</v>
          </cell>
          <cell r="CK274">
            <v>0</v>
          </cell>
          <cell r="CL274">
            <v>0</v>
          </cell>
          <cell r="CM274">
            <v>424.5</v>
          </cell>
          <cell r="CN274">
            <v>1144.7679999999998</v>
          </cell>
          <cell r="CO274">
            <v>0</v>
          </cell>
          <cell r="CP274">
            <v>0</v>
          </cell>
          <cell r="CQ274">
            <v>244</v>
          </cell>
          <cell r="CR274">
            <v>698.97</v>
          </cell>
          <cell r="CS274">
            <v>0</v>
          </cell>
          <cell r="CT274">
            <v>0</v>
          </cell>
          <cell r="CU274">
            <v>0</v>
          </cell>
          <cell r="CV274">
            <v>389.3</v>
          </cell>
          <cell r="CW274">
            <v>970.81799999999976</v>
          </cell>
          <cell r="CX274">
            <v>0</v>
          </cell>
          <cell r="CY274">
            <v>0</v>
          </cell>
          <cell r="CZ274">
            <v>343</v>
          </cell>
          <cell r="DA274">
            <v>499.37</v>
          </cell>
          <cell r="DB274">
            <v>0</v>
          </cell>
          <cell r="DC274">
            <v>0</v>
          </cell>
          <cell r="DD274">
            <v>0</v>
          </cell>
          <cell r="DE274">
            <v>337.40000000000003</v>
          </cell>
          <cell r="DF274">
            <v>995.54299999999989</v>
          </cell>
          <cell r="DG274">
            <v>0</v>
          </cell>
          <cell r="DH274">
            <v>0</v>
          </cell>
          <cell r="DI274">
            <v>596.45000000000005</v>
          </cell>
          <cell r="DJ274">
            <v>631.66999999999996</v>
          </cell>
          <cell r="DK274">
            <v>0</v>
          </cell>
          <cell r="DL274">
            <v>0</v>
          </cell>
          <cell r="DM274">
            <v>0</v>
          </cell>
          <cell r="DN274">
            <v>277.57500000000005</v>
          </cell>
          <cell r="DO274">
            <v>729.26799999999992</v>
          </cell>
          <cell r="DP274">
            <v>0</v>
          </cell>
          <cell r="DQ274">
            <v>0</v>
          </cell>
          <cell r="DR274">
            <v>374.92500000000001</v>
          </cell>
          <cell r="DS274">
            <v>1002.3499999999999</v>
          </cell>
          <cell r="DT274">
            <v>0</v>
          </cell>
          <cell r="DU274">
            <v>0</v>
          </cell>
          <cell r="DV274">
            <v>0</v>
          </cell>
          <cell r="DW274">
            <v>342.57500000000005</v>
          </cell>
          <cell r="DX274">
            <v>1095.0929999999998</v>
          </cell>
          <cell r="DY274">
            <v>0</v>
          </cell>
          <cell r="DZ274">
            <v>0</v>
          </cell>
          <cell r="EA274">
            <v>341.7</v>
          </cell>
          <cell r="EB274">
            <v>933.2</v>
          </cell>
          <cell r="EC274">
            <v>0</v>
          </cell>
          <cell r="ED274">
            <v>0</v>
          </cell>
          <cell r="EE274">
            <v>0</v>
          </cell>
          <cell r="EF274">
            <v>237.50500000000002</v>
          </cell>
          <cell r="EG274">
            <v>1055.0869999999998</v>
          </cell>
          <cell r="EH274">
            <v>0</v>
          </cell>
          <cell r="EI274">
            <v>0</v>
          </cell>
          <cell r="EJ274">
            <v>308.8</v>
          </cell>
          <cell r="EK274">
            <v>934.34999999999991</v>
          </cell>
          <cell r="EL274">
            <v>0</v>
          </cell>
          <cell r="EM274">
            <v>0</v>
          </cell>
          <cell r="EN274">
            <v>0</v>
          </cell>
          <cell r="EO274">
            <v>224.70000000000002</v>
          </cell>
          <cell r="EP274">
            <v>1199.1619999999998</v>
          </cell>
          <cell r="EQ274">
            <v>0</v>
          </cell>
          <cell r="ER274">
            <v>0</v>
          </cell>
          <cell r="ES274">
            <v>506.4</v>
          </cell>
          <cell r="ET274">
            <v>803.89999999999986</v>
          </cell>
          <cell r="EU274">
            <v>0</v>
          </cell>
          <cell r="EV274">
            <v>0</v>
          </cell>
          <cell r="EW274">
            <v>0</v>
          </cell>
          <cell r="EX274">
            <v>0</v>
          </cell>
          <cell r="EY274">
            <v>1121.1869999999997</v>
          </cell>
          <cell r="EZ274">
            <v>0</v>
          </cell>
          <cell r="FA274">
            <v>0</v>
          </cell>
          <cell r="FB274">
            <v>0</v>
          </cell>
          <cell r="FC274">
            <v>672.07500000000005</v>
          </cell>
          <cell r="FD274">
            <v>0</v>
          </cell>
          <cell r="FE274">
            <v>0</v>
          </cell>
          <cell r="FF274">
            <v>0</v>
          </cell>
          <cell r="FG274">
            <v>316.5</v>
          </cell>
          <cell r="FH274">
            <v>1126.6319999999998</v>
          </cell>
          <cell r="FI274">
            <v>0</v>
          </cell>
          <cell r="FJ274">
            <v>0</v>
          </cell>
          <cell r="FK274">
            <v>99.85499999999999</v>
          </cell>
          <cell r="FL274">
            <v>1017.37</v>
          </cell>
          <cell r="FM274">
            <v>0</v>
          </cell>
          <cell r="FN274">
            <v>0</v>
          </cell>
          <cell r="FO274">
            <v>0</v>
          </cell>
          <cell r="FP274">
            <v>359.59999999999997</v>
          </cell>
          <cell r="FQ274">
            <v>1063.4569999999999</v>
          </cell>
          <cell r="FR274">
            <v>0</v>
          </cell>
          <cell r="FS274">
            <v>0</v>
          </cell>
          <cell r="FT274">
            <v>358.45</v>
          </cell>
          <cell r="FU274">
            <v>910.86000000000024</v>
          </cell>
          <cell r="FV274">
            <v>0</v>
          </cell>
          <cell r="FW274">
            <v>0</v>
          </cell>
          <cell r="FX274">
            <v>0</v>
          </cell>
          <cell r="FY274">
            <v>378.8</v>
          </cell>
          <cell r="FZ274">
            <v>982.85699999999997</v>
          </cell>
          <cell r="GA274">
            <v>0</v>
          </cell>
          <cell r="GB274">
            <v>0</v>
          </cell>
          <cell r="GC274">
            <v>119.75</v>
          </cell>
          <cell r="GD274">
            <v>881.34</v>
          </cell>
          <cell r="GE274">
            <v>0</v>
          </cell>
          <cell r="GF274">
            <v>0</v>
          </cell>
          <cell r="GG274">
            <v>0</v>
          </cell>
          <cell r="GH274">
            <v>275.60000000000002</v>
          </cell>
          <cell r="GI274">
            <v>800.8069999999999</v>
          </cell>
          <cell r="GJ274">
            <v>0</v>
          </cell>
          <cell r="GK274">
            <v>0</v>
          </cell>
          <cell r="GL274">
            <v>701.67499999999995</v>
          </cell>
          <cell r="GM274">
            <v>687.56999999999994</v>
          </cell>
          <cell r="GN274">
            <v>0</v>
          </cell>
          <cell r="GO274">
            <v>0</v>
          </cell>
          <cell r="GP274">
            <v>0</v>
          </cell>
          <cell r="GQ274">
            <v>244.60000000000002</v>
          </cell>
          <cell r="GR274">
            <v>752.99099999999987</v>
          </cell>
          <cell r="GS274">
            <v>0</v>
          </cell>
          <cell r="GT274">
            <v>0</v>
          </cell>
          <cell r="GU274">
            <v>307.97500000000002</v>
          </cell>
          <cell r="GV274">
            <v>919.74</v>
          </cell>
        </row>
        <row r="275">
          <cell r="F275">
            <v>2501.5605</v>
          </cell>
          <cell r="G275">
            <v>9768.6310424000003</v>
          </cell>
          <cell r="H275">
            <v>11089.055</v>
          </cell>
          <cell r="I275">
            <v>14056.962000000003</v>
          </cell>
          <cell r="J275">
            <v>2039.8239999999996</v>
          </cell>
          <cell r="K275">
            <v>7565.1100000000006</v>
          </cell>
          <cell r="L275">
            <v>1994.7180000000001</v>
          </cell>
          <cell r="M275">
            <v>6538.7459999999992</v>
          </cell>
          <cell r="N275">
            <v>1800.08</v>
          </cell>
          <cell r="O275">
            <v>57362.686542399999</v>
          </cell>
          <cell r="P275">
            <v>2467.2209699999999</v>
          </cell>
          <cell r="Q275">
            <v>8658.5618600000016</v>
          </cell>
          <cell r="R275">
            <v>8831.1999999999989</v>
          </cell>
          <cell r="S275">
            <v>13822.912000000002</v>
          </cell>
          <cell r="T275">
            <v>1947.7939999999999</v>
          </cell>
          <cell r="U275">
            <v>8733.1479999999992</v>
          </cell>
          <cell r="V275">
            <v>3139.0440000000003</v>
          </cell>
          <cell r="W275">
            <v>5027.0300000000007</v>
          </cell>
          <cell r="X275">
            <v>1713.55</v>
          </cell>
          <cell r="Y275">
            <v>2578.26757</v>
          </cell>
          <cell r="Z275">
            <v>9228.7527624000013</v>
          </cell>
          <cell r="AA275">
            <v>7279.6059999999998</v>
          </cell>
          <cell r="AB275">
            <v>14788.573999999999</v>
          </cell>
          <cell r="AC275">
            <v>2385.627</v>
          </cell>
          <cell r="AD275">
            <v>5719.4500000000007</v>
          </cell>
          <cell r="AE275">
            <v>2540.1000000000004</v>
          </cell>
          <cell r="AF275">
            <v>10349.871000000001</v>
          </cell>
          <cell r="AG275">
            <v>1430.15</v>
          </cell>
          <cell r="AH275">
            <v>2801.3251379999997</v>
          </cell>
          <cell r="AI275">
            <v>8975.8935023999984</v>
          </cell>
          <cell r="AJ275">
            <v>8266.7200000000012</v>
          </cell>
          <cell r="AK275">
            <v>15036.241999999998</v>
          </cell>
          <cell r="AL275">
            <v>2629.4539999999997</v>
          </cell>
          <cell r="AM275">
            <v>4994.4879999999994</v>
          </cell>
          <cell r="AN275">
            <v>9346.2900000000009</v>
          </cell>
          <cell r="AO275">
            <v>1686.23</v>
          </cell>
          <cell r="AP275">
            <v>1124.96</v>
          </cell>
          <cell r="AQ275">
            <v>2356.4056880000003</v>
          </cell>
          <cell r="AR275">
            <v>9893.067482399998</v>
          </cell>
          <cell r="AS275">
            <v>8375.8000000000011</v>
          </cell>
          <cell r="AT275">
            <v>13930.267</v>
          </cell>
          <cell r="AU275">
            <v>3129.1919999999996</v>
          </cell>
          <cell r="AV275">
            <v>7703.8439999999991</v>
          </cell>
          <cell r="AW275">
            <v>5056.7650000000003</v>
          </cell>
          <cell r="AX275">
            <v>1573.4349999999999</v>
          </cell>
          <cell r="AY275">
            <v>966.9</v>
          </cell>
          <cell r="AZ275">
            <v>3280.4619680000001</v>
          </cell>
          <cell r="BA275">
            <v>9471.4639823999987</v>
          </cell>
          <cell r="BB275">
            <v>7960.0959999999995</v>
          </cell>
          <cell r="BC275">
            <v>14692.03</v>
          </cell>
          <cell r="BD275">
            <v>3184.4559999999992</v>
          </cell>
          <cell r="BE275">
            <v>8099.9210000000003</v>
          </cell>
          <cell r="BF275">
            <v>2713.8150000000001</v>
          </cell>
          <cell r="BG275">
            <v>4911.28</v>
          </cell>
          <cell r="BH275">
            <v>795.80099999999982</v>
          </cell>
          <cell r="BI275">
            <v>3164.3590000000004</v>
          </cell>
          <cell r="BJ275">
            <v>9385.5611823999989</v>
          </cell>
          <cell r="BK275">
            <v>5665.7259999999997</v>
          </cell>
          <cell r="BL275">
            <v>14451.046000000002</v>
          </cell>
          <cell r="BM275">
            <v>3214.0829999999996</v>
          </cell>
          <cell r="BN275">
            <v>7347.0190000000002</v>
          </cell>
          <cell r="BO275">
            <v>3881.4340000000002</v>
          </cell>
          <cell r="BP275">
            <v>1493.42</v>
          </cell>
          <cell r="BQ275">
            <v>900.03000000000009</v>
          </cell>
          <cell r="BR275">
            <v>3073.8474500000002</v>
          </cell>
          <cell r="BS275">
            <v>9864.4455423999989</v>
          </cell>
          <cell r="BT275">
            <v>6028.8760000000002</v>
          </cell>
          <cell r="BU275">
            <v>13780.081000000002</v>
          </cell>
          <cell r="BV275">
            <v>2873.9849999999997</v>
          </cell>
          <cell r="BW275">
            <v>7344.0569999999998</v>
          </cell>
          <cell r="BX275">
            <v>2545.1840000000002</v>
          </cell>
          <cell r="BY275">
            <v>1417.1999999999998</v>
          </cell>
          <cell r="BZ275">
            <v>857.82999999999993</v>
          </cell>
          <cell r="CA275">
            <v>2932.7787700000003</v>
          </cell>
          <cell r="CB275">
            <v>9736.4843423999992</v>
          </cell>
          <cell r="CC275">
            <v>5961.1759999999995</v>
          </cell>
          <cell r="CD275">
            <v>14736.666000000001</v>
          </cell>
          <cell r="CE275">
            <v>2872.1</v>
          </cell>
          <cell r="CF275">
            <v>7254.6840000000002</v>
          </cell>
          <cell r="CG275">
            <v>0</v>
          </cell>
          <cell r="CH275">
            <v>6559.32</v>
          </cell>
          <cell r="CI275">
            <v>836.43500000000006</v>
          </cell>
          <cell r="CJ275">
            <v>2539.52187</v>
          </cell>
          <cell r="CK275">
            <v>9365.244452400002</v>
          </cell>
          <cell r="CL275">
            <v>6086.9560000000001</v>
          </cell>
          <cell r="CM275">
            <v>15235.316000000001</v>
          </cell>
          <cell r="CN275">
            <v>2755.6639999999998</v>
          </cell>
          <cell r="CO275">
            <v>6064.7909999999993</v>
          </cell>
          <cell r="CP275">
            <v>1881.0540000000001</v>
          </cell>
          <cell r="CQ275">
            <v>6706.7439999999997</v>
          </cell>
          <cell r="CR275">
            <v>698.97</v>
          </cell>
          <cell r="CS275">
            <v>2314.2072480000002</v>
          </cell>
          <cell r="CT275">
            <v>8989.758752400001</v>
          </cell>
          <cell r="CU275">
            <v>6427.6860000000006</v>
          </cell>
          <cell r="CV275">
            <v>14656.890000000001</v>
          </cell>
          <cell r="CW275">
            <v>2532.4809999999998</v>
          </cell>
          <cell r="CX275">
            <v>5631.485999999999</v>
          </cell>
          <cell r="CY275">
            <v>1478.704</v>
          </cell>
          <cell r="CZ275">
            <v>6750.75</v>
          </cell>
          <cell r="DA275">
            <v>499.37</v>
          </cell>
          <cell r="DB275">
            <v>2132.3150179999998</v>
          </cell>
          <cell r="DC275">
            <v>8163.8750524000025</v>
          </cell>
          <cell r="DD275">
            <v>5767.1779999999999</v>
          </cell>
          <cell r="DE275">
            <v>13953.720999999998</v>
          </cell>
          <cell r="DF275">
            <v>2541.3049999999998</v>
          </cell>
          <cell r="DG275">
            <v>6889.93</v>
          </cell>
          <cell r="DH275">
            <v>3913.7179999999998</v>
          </cell>
          <cell r="DI275">
            <v>8706.01</v>
          </cell>
          <cell r="DJ275">
            <v>631.66999999999996</v>
          </cell>
          <cell r="DK275">
            <v>1740.6131799999998</v>
          </cell>
          <cell r="DL275">
            <v>7473.6084524000007</v>
          </cell>
          <cell r="DM275">
            <v>5961.1459999999997</v>
          </cell>
          <cell r="DN275">
            <v>13615.684999999999</v>
          </cell>
          <cell r="DO275">
            <v>2296.5429999999997</v>
          </cell>
          <cell r="DP275">
            <v>8051.244999999999</v>
          </cell>
          <cell r="DQ275">
            <v>960.80400000000009</v>
          </cell>
          <cell r="DR275">
            <v>10852.404999999999</v>
          </cell>
          <cell r="DS275">
            <v>1002.3499999999999</v>
          </cell>
          <cell r="DT275">
            <v>1951.99468</v>
          </cell>
          <cell r="DU275">
            <v>7478.6731523999988</v>
          </cell>
          <cell r="DV275">
            <v>6164.9460000000008</v>
          </cell>
          <cell r="DW275">
            <v>13290.407999999999</v>
          </cell>
          <cell r="DX275">
            <v>2424.6970000000001</v>
          </cell>
          <cell r="DY275">
            <v>8439.7740000000013</v>
          </cell>
          <cell r="DZ275">
            <v>7127.2830000000004</v>
          </cell>
          <cell r="EA275">
            <v>1342.25</v>
          </cell>
          <cell r="EB275">
            <v>933.2</v>
          </cell>
          <cell r="EC275">
            <v>2354.1805300000001</v>
          </cell>
          <cell r="ED275">
            <v>7438.4816523999998</v>
          </cell>
          <cell r="EE275">
            <v>7158.5759999999991</v>
          </cell>
          <cell r="EF275">
            <v>13313.650000000001</v>
          </cell>
          <cell r="EG275">
            <v>2306.5059999999994</v>
          </cell>
          <cell r="EH275">
            <v>9356.1519999999982</v>
          </cell>
          <cell r="EI275">
            <v>4954.9129999999996</v>
          </cell>
          <cell r="EJ275">
            <v>4144.53</v>
          </cell>
          <cell r="EK275">
            <v>934.34999999999991</v>
          </cell>
          <cell r="EL275">
            <v>2478.8063499999998</v>
          </cell>
          <cell r="EM275">
            <v>6069.6082523999994</v>
          </cell>
          <cell r="EN275">
            <v>6895.9960000000001</v>
          </cell>
          <cell r="EO275">
            <v>13955.941000000003</v>
          </cell>
          <cell r="EP275">
            <v>2801.4109999999996</v>
          </cell>
          <cell r="EQ275">
            <v>9509.1869999999999</v>
          </cell>
          <cell r="ER275">
            <v>2548.31</v>
          </cell>
          <cell r="ES275">
            <v>4822.2389999999996</v>
          </cell>
          <cell r="ET275">
            <v>803.89999999999986</v>
          </cell>
          <cell r="EU275">
            <v>2608.3906499999998</v>
          </cell>
          <cell r="EV275">
            <v>6421.6038049000008</v>
          </cell>
          <cell r="EW275">
            <v>6611.4559999999992</v>
          </cell>
          <cell r="EX275">
            <v>12157.329999999998</v>
          </cell>
          <cell r="EY275">
            <v>2857.8289999999997</v>
          </cell>
          <cell r="EZ275">
            <v>9475.893</v>
          </cell>
          <cell r="FA275">
            <v>3036.6689999999999</v>
          </cell>
          <cell r="FB275">
            <v>1077.49</v>
          </cell>
          <cell r="FC275">
            <v>672.07500000000005</v>
          </cell>
          <cell r="FD275">
            <v>1974.83725</v>
          </cell>
          <cell r="FE275">
            <v>6950.0324524000007</v>
          </cell>
          <cell r="FF275">
            <v>7047.1059999999998</v>
          </cell>
          <cell r="FG275">
            <v>13428.520999999999</v>
          </cell>
          <cell r="FH275">
            <v>2625.5360000000001</v>
          </cell>
          <cell r="FI275">
            <v>6899.1119999999992</v>
          </cell>
          <cell r="FJ275">
            <v>2657.8090000000002</v>
          </cell>
          <cell r="FK275">
            <v>1799.7850000000001</v>
          </cell>
          <cell r="FL275">
            <v>1017.37</v>
          </cell>
          <cell r="FM275">
            <v>2632.3622299999997</v>
          </cell>
          <cell r="FN275">
            <v>6399.8248049000013</v>
          </cell>
          <cell r="FO275">
            <v>6811.3509999999987</v>
          </cell>
          <cell r="FP275">
            <v>13643.711235714287</v>
          </cell>
          <cell r="FQ275">
            <v>2704.7749999999996</v>
          </cell>
          <cell r="FR275">
            <v>7695.8760000000002</v>
          </cell>
          <cell r="FS275">
            <v>7701.96</v>
          </cell>
          <cell r="FT275">
            <v>2175.0500000000002</v>
          </cell>
          <cell r="FU275">
            <v>910.86000000000024</v>
          </cell>
          <cell r="FV275">
            <v>2800.7691500000001</v>
          </cell>
          <cell r="FW275">
            <v>6205.5501049000004</v>
          </cell>
          <cell r="FX275">
            <v>5881.8909999999996</v>
          </cell>
          <cell r="FY275">
            <v>14156.003007142857</v>
          </cell>
          <cell r="FZ275">
            <v>2651.7759999999998</v>
          </cell>
          <cell r="GA275">
            <v>8226.8649999999998</v>
          </cell>
          <cell r="GB275">
            <v>6380.99</v>
          </cell>
          <cell r="GC275">
            <v>1994.21</v>
          </cell>
          <cell r="GD275">
            <v>881.34</v>
          </cell>
          <cell r="GE275">
            <v>2278.2832679999997</v>
          </cell>
          <cell r="GF275">
            <v>5920.4696049000004</v>
          </cell>
          <cell r="GG275">
            <v>5519.5059999999994</v>
          </cell>
          <cell r="GH275">
            <v>14339.381551428574</v>
          </cell>
          <cell r="GI275">
            <v>2394.8310000000001</v>
          </cell>
          <cell r="GJ275">
            <v>8034.85</v>
          </cell>
          <cell r="GK275">
            <v>7642.259</v>
          </cell>
          <cell r="GL275">
            <v>2612.2549999999997</v>
          </cell>
          <cell r="GM275">
            <v>687.56999999999994</v>
          </cell>
          <cell r="GN275">
            <v>1613.254688</v>
          </cell>
          <cell r="GO275">
            <v>6521.3964049000006</v>
          </cell>
          <cell r="GP275">
            <v>7633.0110000000004</v>
          </cell>
          <cell r="GQ275">
            <v>14642.102982142855</v>
          </cell>
          <cell r="GR275">
            <v>2437.4830000000002</v>
          </cell>
          <cell r="GS275">
            <v>7741.7900000000009</v>
          </cell>
          <cell r="GT275">
            <v>5314.9740000000002</v>
          </cell>
          <cell r="GU275">
            <v>2537.8250000000003</v>
          </cell>
          <cell r="GV275">
            <v>919.74</v>
          </cell>
        </row>
        <row r="276">
          <cell r="O276">
            <v>57354.686542400006</v>
          </cell>
        </row>
      </sheetData>
      <sheetData sheetId="3">
        <row r="606">
          <cell r="A606" t="str">
            <v>NO: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 quarter"/>
      <sheetName val="2nd quarter"/>
      <sheetName val="3rd quarter"/>
      <sheetName val="DATA"/>
    </sheetNames>
    <sheetDataSet>
      <sheetData sheetId="0"/>
      <sheetData sheetId="1"/>
      <sheetData sheetId="2"/>
      <sheetData sheetId="3">
        <row r="606">
          <cell r="A606" t="str">
            <v>NO:</v>
          </cell>
          <cell r="D606" t="str">
            <v>MATERIAL</v>
          </cell>
          <cell r="F606">
            <v>109</v>
          </cell>
          <cell r="G606" t="str">
            <v>109 B</v>
          </cell>
          <cell r="H606" t="str">
            <v>SEWREE</v>
          </cell>
          <cell r="I606" t="str">
            <v>TALOJA</v>
          </cell>
          <cell r="J606" t="str">
            <v>KUTCH-1</v>
          </cell>
          <cell r="K606" t="str">
            <v>KUTCH-2</v>
          </cell>
          <cell r="L606" t="str">
            <v>KUTCH-O</v>
          </cell>
          <cell r="M606" t="str">
            <v>GIT</v>
          </cell>
          <cell r="N606" t="str">
            <v>BADDI</v>
          </cell>
          <cell r="O606">
            <v>109</v>
          </cell>
          <cell r="P606" t="str">
            <v>109 B</v>
          </cell>
          <cell r="Q606" t="str">
            <v>SEWREE</v>
          </cell>
          <cell r="R606" t="str">
            <v>TALOJA</v>
          </cell>
          <cell r="S606" t="str">
            <v>KUTCH-1</v>
          </cell>
          <cell r="T606" t="str">
            <v>KUTCH-2</v>
          </cell>
          <cell r="U606" t="str">
            <v>KUTCH-O</v>
          </cell>
          <cell r="V606" t="str">
            <v>GIT</v>
          </cell>
          <cell r="W606" t="str">
            <v>BADDI</v>
          </cell>
          <cell r="X606">
            <v>109</v>
          </cell>
          <cell r="Y606" t="str">
            <v>109 B</v>
          </cell>
          <cell r="Z606" t="str">
            <v>SEWREE</v>
          </cell>
          <cell r="AA606" t="str">
            <v>TALOJA</v>
          </cell>
          <cell r="AB606" t="str">
            <v>KUTCH-1</v>
          </cell>
          <cell r="AC606" t="str">
            <v>KUTCH-2</v>
          </cell>
          <cell r="AD606" t="str">
            <v>KUTCH-O</v>
          </cell>
          <cell r="AE606" t="str">
            <v>GIT</v>
          </cell>
          <cell r="AF606" t="str">
            <v>BADDI</v>
          </cell>
          <cell r="AG606">
            <v>109</v>
          </cell>
          <cell r="AH606" t="str">
            <v>109 B</v>
          </cell>
          <cell r="AI606" t="str">
            <v>SEWREE</v>
          </cell>
          <cell r="AJ606" t="str">
            <v>TALOJA</v>
          </cell>
          <cell r="AK606" t="str">
            <v>KUTCH-1</v>
          </cell>
          <cell r="AL606" t="str">
            <v>KUTCH-2</v>
          </cell>
          <cell r="AM606" t="str">
            <v>KUTCH-O</v>
          </cell>
          <cell r="AN606" t="str">
            <v>GIT</v>
          </cell>
          <cell r="AO606" t="str">
            <v>BADDI</v>
          </cell>
          <cell r="AP606">
            <v>109</v>
          </cell>
          <cell r="AQ606" t="str">
            <v>109 B</v>
          </cell>
          <cell r="AR606" t="str">
            <v>SEWREE</v>
          </cell>
          <cell r="AS606" t="str">
            <v>TALOJA</v>
          </cell>
          <cell r="AT606" t="str">
            <v>KUTCH-1</v>
          </cell>
          <cell r="AU606" t="str">
            <v>KUTCH-2</v>
          </cell>
          <cell r="AV606" t="str">
            <v>KUTCH-O</v>
          </cell>
          <cell r="AW606" t="str">
            <v>GIT</v>
          </cell>
          <cell r="AX606" t="str">
            <v>BADDI</v>
          </cell>
          <cell r="AY606">
            <v>109</v>
          </cell>
          <cell r="AZ606" t="str">
            <v>109 B</v>
          </cell>
          <cell r="BA606" t="str">
            <v>SEWREE</v>
          </cell>
          <cell r="BB606" t="str">
            <v>TALOJA</v>
          </cell>
          <cell r="BC606" t="str">
            <v>KUTCH-1</v>
          </cell>
          <cell r="BD606" t="str">
            <v>KUTCH-2</v>
          </cell>
          <cell r="BE606" t="str">
            <v>KUTCH-O</v>
          </cell>
          <cell r="BF606" t="str">
            <v>GIT</v>
          </cell>
          <cell r="BG606" t="str">
            <v>BADDI</v>
          </cell>
          <cell r="BH606">
            <v>109</v>
          </cell>
          <cell r="BI606" t="str">
            <v>109 B</v>
          </cell>
          <cell r="BJ606" t="str">
            <v>SEWREE</v>
          </cell>
          <cell r="BK606" t="str">
            <v>TALOJA</v>
          </cell>
          <cell r="BL606" t="str">
            <v>KUTCH-1</v>
          </cell>
          <cell r="BM606" t="str">
            <v>KUTCH-2</v>
          </cell>
          <cell r="BN606" t="str">
            <v>KUTCH-O</v>
          </cell>
          <cell r="BO606" t="str">
            <v>GIT</v>
          </cell>
          <cell r="BP606" t="str">
            <v>BADDI</v>
          </cell>
          <cell r="BQ606">
            <v>109</v>
          </cell>
          <cell r="BR606" t="str">
            <v>109 B</v>
          </cell>
          <cell r="BS606" t="str">
            <v>SEWREE</v>
          </cell>
          <cell r="BT606" t="str">
            <v>TALOJA</v>
          </cell>
          <cell r="BU606" t="str">
            <v>KUTCH-1</v>
          </cell>
          <cell r="BV606" t="str">
            <v>KUTCH-2</v>
          </cell>
          <cell r="BW606" t="str">
            <v>KUTCH-O</v>
          </cell>
          <cell r="BX606" t="str">
            <v>GIT</v>
          </cell>
          <cell r="BY606" t="str">
            <v>BADDI</v>
          </cell>
          <cell r="BZ606">
            <v>109</v>
          </cell>
          <cell r="CA606" t="str">
            <v>109 B</v>
          </cell>
          <cell r="CB606" t="str">
            <v>SEWREE</v>
          </cell>
          <cell r="CC606" t="str">
            <v>TALOJA</v>
          </cell>
          <cell r="CD606" t="str">
            <v>KUTCH-1</v>
          </cell>
          <cell r="CE606" t="str">
            <v>KUTCH-2</v>
          </cell>
          <cell r="CF606" t="str">
            <v>KUTCH-O</v>
          </cell>
          <cell r="CG606" t="str">
            <v>GIT</v>
          </cell>
          <cell r="CH606" t="str">
            <v>BADDI</v>
          </cell>
          <cell r="CI606">
            <v>109</v>
          </cell>
          <cell r="CJ606" t="str">
            <v>109 B</v>
          </cell>
          <cell r="CK606" t="str">
            <v>SEWREE</v>
          </cell>
          <cell r="CL606" t="str">
            <v>TALOJA</v>
          </cell>
          <cell r="CM606" t="str">
            <v>KUTCH-1</v>
          </cell>
          <cell r="CN606" t="str">
            <v>KUTCH-2</v>
          </cell>
          <cell r="CO606" t="str">
            <v>KUTCH-O</v>
          </cell>
          <cell r="CP606" t="str">
            <v>GIT</v>
          </cell>
          <cell r="CQ606" t="str">
            <v>BADDI</v>
          </cell>
          <cell r="CR606">
            <v>109</v>
          </cell>
          <cell r="CS606" t="str">
            <v>109 B</v>
          </cell>
          <cell r="CT606" t="str">
            <v>SEWREE</v>
          </cell>
          <cell r="CU606" t="str">
            <v>TALOJA</v>
          </cell>
          <cell r="CV606" t="str">
            <v>KUTCH-1</v>
          </cell>
          <cell r="CW606" t="str">
            <v>KUTCH-2</v>
          </cell>
          <cell r="CX606" t="str">
            <v>KUTCH-O</v>
          </cell>
          <cell r="CY606" t="str">
            <v>GIT</v>
          </cell>
          <cell r="CZ606" t="str">
            <v>BADDI</v>
          </cell>
          <cell r="DA606">
            <v>109</v>
          </cell>
          <cell r="DB606" t="str">
            <v>109 B</v>
          </cell>
          <cell r="DC606" t="str">
            <v>SEWREE</v>
          </cell>
          <cell r="DD606" t="str">
            <v>TALOJA</v>
          </cell>
          <cell r="DE606" t="str">
            <v>KUTCH-1</v>
          </cell>
          <cell r="DF606" t="str">
            <v>KUTCH-2</v>
          </cell>
          <cell r="DG606" t="str">
            <v>KUTCH-O</v>
          </cell>
          <cell r="DH606" t="str">
            <v>GIT</v>
          </cell>
          <cell r="DI606" t="str">
            <v>BADDI</v>
          </cell>
          <cell r="DJ606">
            <v>109</v>
          </cell>
          <cell r="DK606" t="str">
            <v>109 B</v>
          </cell>
          <cell r="DL606" t="str">
            <v>SEWREE</v>
          </cell>
          <cell r="DM606" t="str">
            <v>TALOJA</v>
          </cell>
          <cell r="DN606" t="str">
            <v>KUTCH-1</v>
          </cell>
          <cell r="DO606" t="str">
            <v>KUTCH-2</v>
          </cell>
          <cell r="DP606" t="str">
            <v>KUTCH-O</v>
          </cell>
          <cell r="DQ606" t="str">
            <v>GIT</v>
          </cell>
          <cell r="DR606" t="str">
            <v>BADDI</v>
          </cell>
          <cell r="DS606">
            <v>109</v>
          </cell>
          <cell r="DT606" t="str">
            <v>109 B</v>
          </cell>
          <cell r="DU606" t="str">
            <v>SEWREE</v>
          </cell>
          <cell r="DV606" t="str">
            <v>TALOJA</v>
          </cell>
          <cell r="DW606" t="str">
            <v>KUTCH-1</v>
          </cell>
          <cell r="DX606" t="str">
            <v>KUTCH-2</v>
          </cell>
          <cell r="DY606" t="str">
            <v>KUTCH-O</v>
          </cell>
          <cell r="DZ606" t="str">
            <v>GIT</v>
          </cell>
          <cell r="EA606" t="str">
            <v>BADDI</v>
          </cell>
          <cell r="EB606">
            <v>109</v>
          </cell>
          <cell r="EC606" t="str">
            <v>109 B</v>
          </cell>
          <cell r="ED606" t="str">
            <v>SEWREE</v>
          </cell>
          <cell r="EE606" t="str">
            <v>TALOJA</v>
          </cell>
          <cell r="EF606" t="str">
            <v>KUTCH-1</v>
          </cell>
          <cell r="EG606" t="str">
            <v>KUTCH-2</v>
          </cell>
          <cell r="EH606" t="str">
            <v>KUTCH-O</v>
          </cell>
          <cell r="EI606" t="str">
            <v>GIT</v>
          </cell>
          <cell r="EJ606" t="str">
            <v>BADDI</v>
          </cell>
          <cell r="EK606">
            <v>109</v>
          </cell>
          <cell r="EL606" t="str">
            <v>109 B</v>
          </cell>
          <cell r="EM606" t="str">
            <v>SEWREE</v>
          </cell>
          <cell r="EN606" t="str">
            <v>TALOJA</v>
          </cell>
          <cell r="EO606" t="str">
            <v>KUTCH-1</v>
          </cell>
          <cell r="EP606" t="str">
            <v>KUTCH-2</v>
          </cell>
          <cell r="EQ606" t="str">
            <v>KUTCH-O</v>
          </cell>
          <cell r="ER606" t="str">
            <v>GIT</v>
          </cell>
          <cell r="ES606" t="str">
            <v>BADDI</v>
          </cell>
        </row>
        <row r="607">
          <cell r="A607" t="str">
            <v>RAW MATERIALS</v>
          </cell>
        </row>
        <row r="608">
          <cell r="A608">
            <v>1</v>
          </cell>
          <cell r="B608" t="str">
            <v>RM</v>
          </cell>
          <cell r="C608" t="str">
            <v>FM</v>
          </cell>
          <cell r="D608" t="str">
            <v>CPKO-5%</v>
          </cell>
          <cell r="E608" t="str">
            <v>CPKO-5%</v>
          </cell>
          <cell r="K608">
            <v>5184.5559999999996</v>
          </cell>
          <cell r="L608">
            <v>1453.3019999999999</v>
          </cell>
          <cell r="M608">
            <v>19.48</v>
          </cell>
          <cell r="T608">
            <v>5316.28</v>
          </cell>
          <cell r="U608">
            <v>554.56200000000001</v>
          </cell>
          <cell r="V608">
            <v>19.48</v>
          </cell>
          <cell r="AC608">
            <v>3317.4169999999999</v>
          </cell>
          <cell r="AE608">
            <v>19.48</v>
          </cell>
          <cell r="AL608">
            <v>63.314999999999998</v>
          </cell>
          <cell r="AM608">
            <v>1991.81</v>
          </cell>
          <cell r="AN608">
            <v>19.48</v>
          </cell>
          <cell r="AU608">
            <v>689.61500000000001</v>
          </cell>
          <cell r="AV608">
            <v>521.16</v>
          </cell>
          <cell r="AW608">
            <v>19.48</v>
          </cell>
          <cell r="BD608">
            <v>78.691000000000003</v>
          </cell>
          <cell r="BF608">
            <v>19.48</v>
          </cell>
          <cell r="BM608">
            <v>78.691000000000003</v>
          </cell>
          <cell r="BO608">
            <v>3019.48</v>
          </cell>
          <cell r="BV608">
            <v>78.691000000000003</v>
          </cell>
          <cell r="BW608">
            <v>2985.8</v>
          </cell>
          <cell r="BX608">
            <v>19.48</v>
          </cell>
          <cell r="CE608">
            <v>301.74</v>
          </cell>
          <cell r="CF608">
            <v>591.14</v>
          </cell>
          <cell r="CG608">
            <v>3019.48</v>
          </cell>
          <cell r="CN608">
            <v>1692.319</v>
          </cell>
          <cell r="CO608">
            <v>1237.95</v>
          </cell>
          <cell r="CP608">
            <v>6019.48</v>
          </cell>
          <cell r="CW608">
            <v>1325.0920000000001</v>
          </cell>
          <cell r="CX608">
            <v>683.36</v>
          </cell>
          <cell r="CY608">
            <v>6019.48</v>
          </cell>
          <cell r="DF608">
            <v>905.03200000000004</v>
          </cell>
          <cell r="DG608">
            <v>5682.6809999999996</v>
          </cell>
          <cell r="DH608">
            <v>6019.48</v>
          </cell>
          <cell r="DO608">
            <v>189.94399999999999</v>
          </cell>
          <cell r="DP608">
            <v>5076.3140000000003</v>
          </cell>
          <cell r="DQ608">
            <v>2019.48</v>
          </cell>
          <cell r="DX608">
            <v>1803.8689999999999</v>
          </cell>
          <cell r="DY608">
            <v>1337.644</v>
          </cell>
          <cell r="DZ608">
            <v>19.48</v>
          </cell>
          <cell r="EG608">
            <v>2425.4079999999999</v>
          </cell>
          <cell r="EI608">
            <v>2019.5140000000001</v>
          </cell>
          <cell r="EP608">
            <v>1379.807</v>
          </cell>
          <cell r="EQ608">
            <v>1990.2180000000001</v>
          </cell>
          <cell r="ER608">
            <v>2000.0340000000001</v>
          </cell>
        </row>
        <row r="609">
          <cell r="A609">
            <v>2</v>
          </cell>
          <cell r="B609" t="str">
            <v>RM</v>
          </cell>
          <cell r="C609" t="str">
            <v>FM</v>
          </cell>
          <cell r="D609" t="str">
            <v>CPKO-23%</v>
          </cell>
          <cell r="E609" t="str">
            <v>CPKO-23%</v>
          </cell>
          <cell r="AW609">
            <v>999.96500000000003</v>
          </cell>
          <cell r="BF609">
            <v>999.96500000000003</v>
          </cell>
          <cell r="BN609">
            <v>986.03800000000001</v>
          </cell>
          <cell r="BO609">
            <v>999.96500000000003</v>
          </cell>
          <cell r="BW609">
            <v>986.03800000000001</v>
          </cell>
          <cell r="CF609">
            <v>986.03800000000001</v>
          </cell>
          <cell r="CN609">
            <v>7.77</v>
          </cell>
          <cell r="CW609">
            <v>7.77</v>
          </cell>
          <cell r="DF609">
            <v>7.77</v>
          </cell>
          <cell r="DK609">
            <v>602.82000000000005</v>
          </cell>
          <cell r="DO609">
            <v>7.77</v>
          </cell>
          <cell r="DT609">
            <v>272.33999999999997</v>
          </cell>
          <cell r="DX609">
            <v>7.77</v>
          </cell>
          <cell r="EC609">
            <v>272.33999999999997</v>
          </cell>
          <cell r="EG609">
            <v>7.77</v>
          </cell>
          <cell r="EL609">
            <v>290.7</v>
          </cell>
          <cell r="EP609">
            <v>7.77</v>
          </cell>
        </row>
        <row r="610">
          <cell r="A610">
            <v>3</v>
          </cell>
          <cell r="B610" t="str">
            <v>RM</v>
          </cell>
          <cell r="C610" t="str">
            <v>FM</v>
          </cell>
          <cell r="D610" t="str">
            <v>CNO-C</v>
          </cell>
          <cell r="E610" t="str">
            <v>CNO-C</v>
          </cell>
        </row>
        <row r="611">
          <cell r="A611">
            <v>4</v>
          </cell>
          <cell r="B611" t="str">
            <v>RM</v>
          </cell>
          <cell r="C611" t="str">
            <v>FM</v>
          </cell>
          <cell r="D611" t="str">
            <v>CNO-R</v>
          </cell>
          <cell r="E611" t="str">
            <v>CNO-R</v>
          </cell>
        </row>
        <row r="612">
          <cell r="A612">
            <v>5</v>
          </cell>
          <cell r="B612" t="str">
            <v>RM</v>
          </cell>
          <cell r="C612" t="str">
            <v>FM</v>
          </cell>
          <cell r="D612" t="str">
            <v>PKFAD</v>
          </cell>
          <cell r="E612" t="str">
            <v>PKFAD</v>
          </cell>
        </row>
        <row r="613">
          <cell r="A613">
            <v>6</v>
          </cell>
          <cell r="B613" t="str">
            <v>RM</v>
          </cell>
          <cell r="C613" t="str">
            <v>FM</v>
          </cell>
          <cell r="D613" t="str">
            <v>RBDPS</v>
          </cell>
          <cell r="E613" t="str">
            <v>RBDPS</v>
          </cell>
          <cell r="H613">
            <v>462.142</v>
          </cell>
          <cell r="Q613">
            <v>462.142</v>
          </cell>
          <cell r="Y613">
            <v>3.80592</v>
          </cell>
          <cell r="Z613">
            <v>70.911999999999992</v>
          </cell>
          <cell r="AE613">
            <v>1000</v>
          </cell>
          <cell r="AH613">
            <v>444.02400000000006</v>
          </cell>
          <cell r="AI613">
            <v>492.77</v>
          </cell>
          <cell r="BA613">
            <v>3.59</v>
          </cell>
          <cell r="BF613">
            <v>1500</v>
          </cell>
          <cell r="BJ613">
            <v>3.59</v>
          </cell>
          <cell r="BO613">
            <v>1500</v>
          </cell>
          <cell r="BR613">
            <v>352.04760000000005</v>
          </cell>
          <cell r="BS613">
            <v>106.87</v>
          </cell>
          <cell r="CA613">
            <v>33.3018</v>
          </cell>
          <cell r="CB613">
            <v>106.87</v>
          </cell>
          <cell r="CJ613">
            <v>502.69860000000006</v>
          </cell>
          <cell r="CK613">
            <v>496.44600000000003</v>
          </cell>
          <cell r="CS613">
            <v>501.11280000000005</v>
          </cell>
          <cell r="CT613">
            <v>352.416</v>
          </cell>
          <cell r="CU613">
            <v>127</v>
          </cell>
          <cell r="DB613">
            <v>501.11280000000005</v>
          </cell>
          <cell r="DC613">
            <v>208.09599999999998</v>
          </cell>
          <cell r="DD613">
            <v>212</v>
          </cell>
          <cell r="DK613">
            <v>509.8347</v>
          </cell>
          <cell r="DL613">
            <v>202.92599999999999</v>
          </cell>
          <cell r="DM613">
            <v>81</v>
          </cell>
          <cell r="DT613">
            <v>507.45600000000007</v>
          </cell>
          <cell r="DU613">
            <v>202.92599999999999</v>
          </cell>
          <cell r="EC613">
            <v>508.24890000000005</v>
          </cell>
          <cell r="ED613">
            <v>202.92599999999999</v>
          </cell>
          <cell r="EE613">
            <v>22.4</v>
          </cell>
          <cell r="EL613">
            <v>507.45600000000007</v>
          </cell>
          <cell r="EM613">
            <v>184.226</v>
          </cell>
          <cell r="EN613">
            <v>365</v>
          </cell>
          <cell r="EP613">
            <v>115.8</v>
          </cell>
          <cell r="ER613">
            <v>158.18</v>
          </cell>
        </row>
        <row r="614">
          <cell r="A614">
            <v>7</v>
          </cell>
          <cell r="B614" t="str">
            <v>RM</v>
          </cell>
          <cell r="C614" t="str">
            <v>FM</v>
          </cell>
          <cell r="D614" t="str">
            <v>CPS-5%</v>
          </cell>
          <cell r="E614" t="str">
            <v>CPS-5%</v>
          </cell>
        </row>
        <row r="615">
          <cell r="A615">
            <v>8</v>
          </cell>
          <cell r="B615" t="str">
            <v>RM</v>
          </cell>
          <cell r="C615" t="str">
            <v>FM</v>
          </cell>
          <cell r="D615" t="str">
            <v>CPS-20%</v>
          </cell>
          <cell r="E615" t="str">
            <v>CPS-20%</v>
          </cell>
        </row>
        <row r="616">
          <cell r="A616">
            <v>9</v>
          </cell>
          <cell r="B616" t="str">
            <v>RM</v>
          </cell>
          <cell r="C616" t="str">
            <v>FM</v>
          </cell>
          <cell r="D616" t="str">
            <v>CPS-23%-HLL</v>
          </cell>
          <cell r="E616" t="str">
            <v>CPS-23%-HLL</v>
          </cell>
        </row>
        <row r="617">
          <cell r="A617">
            <v>10</v>
          </cell>
          <cell r="B617" t="str">
            <v>RM</v>
          </cell>
          <cell r="C617" t="str">
            <v>FM</v>
          </cell>
          <cell r="D617" t="str">
            <v>CPO</v>
          </cell>
          <cell r="E617" t="str">
            <v>CPO</v>
          </cell>
        </row>
        <row r="618">
          <cell r="A618">
            <v>11</v>
          </cell>
          <cell r="B618" t="str">
            <v>RM</v>
          </cell>
          <cell r="C618" t="str">
            <v>FM</v>
          </cell>
          <cell r="D618" t="str">
            <v>RBDPN</v>
          </cell>
          <cell r="E618" t="str">
            <v>RBDPN</v>
          </cell>
          <cell r="H618">
            <v>4054.9060000000004</v>
          </cell>
          <cell r="L618">
            <v>1985.451</v>
          </cell>
          <cell r="Q618">
            <v>3776.8510000000001</v>
          </cell>
          <cell r="U618">
            <v>1985.451</v>
          </cell>
          <cell r="Z618">
            <v>3319.0210000000002</v>
          </cell>
          <cell r="AD618">
            <v>1449.3109999999999</v>
          </cell>
          <cell r="AI618">
            <v>2351.2780000000002</v>
          </cell>
          <cell r="AM618">
            <v>261.64100000000002</v>
          </cell>
          <cell r="AR618">
            <v>1782.5120000000002</v>
          </cell>
          <cell r="AV618">
            <v>38.261000000000003</v>
          </cell>
          <cell r="BA618">
            <v>1182.8319999999999</v>
          </cell>
          <cell r="BE618">
            <v>6.9610000000000003</v>
          </cell>
          <cell r="BJ618">
            <v>867.43599999999992</v>
          </cell>
          <cell r="BS618">
            <v>577.11799999999994</v>
          </cell>
          <cell r="CB618">
            <v>388.714</v>
          </cell>
          <cell r="CK618">
            <v>359.64400000000001</v>
          </cell>
          <cell r="CT618">
            <v>359.64400000000001</v>
          </cell>
          <cell r="DC618">
            <v>334.65100000000001</v>
          </cell>
          <cell r="DL618">
            <v>334.65100000000001</v>
          </cell>
          <cell r="DU618">
            <v>219.44399999999999</v>
          </cell>
          <cell r="ED618">
            <v>141.584</v>
          </cell>
          <cell r="EM618">
            <v>62.774000000000001</v>
          </cell>
        </row>
        <row r="619">
          <cell r="A619">
            <v>12</v>
          </cell>
          <cell r="B619" t="str">
            <v>RM</v>
          </cell>
          <cell r="C619" t="str">
            <v>FM</v>
          </cell>
          <cell r="D619" t="str">
            <v>PFAD</v>
          </cell>
          <cell r="E619" t="str">
            <v>PFAD</v>
          </cell>
          <cell r="G619">
            <v>1519.49</v>
          </cell>
          <cell r="H619">
            <v>2164.6030000000001</v>
          </cell>
          <cell r="M619">
            <v>224.15</v>
          </cell>
          <cell r="P619">
            <v>1391.02</v>
          </cell>
          <cell r="Q619">
            <v>1989.4960000000001</v>
          </cell>
          <cell r="Y619">
            <v>1018.9</v>
          </cell>
          <cell r="Z619">
            <v>1989.4960000000001</v>
          </cell>
          <cell r="AE619">
            <v>5000</v>
          </cell>
          <cell r="AH619">
            <v>1244.83</v>
          </cell>
          <cell r="AI619">
            <v>5748.0940000000001</v>
          </cell>
          <cell r="AQ619">
            <v>1508.415</v>
          </cell>
          <cell r="AR619">
            <v>5011.4340000000002</v>
          </cell>
          <cell r="AZ619">
            <v>1499.5550000000001</v>
          </cell>
          <cell r="BA619">
            <v>4466.9740000000002</v>
          </cell>
          <cell r="BI619">
            <v>1590.37</v>
          </cell>
          <cell r="BJ619">
            <v>3496.5930000000008</v>
          </cell>
          <cell r="BR619">
            <v>1687.83</v>
          </cell>
          <cell r="BS619">
            <v>2680.6360000000004</v>
          </cell>
          <cell r="CA619">
            <v>1674.54</v>
          </cell>
          <cell r="CB619">
            <v>2239.13</v>
          </cell>
          <cell r="CJ619">
            <v>1399.88</v>
          </cell>
          <cell r="CK619">
            <v>3993.76</v>
          </cell>
          <cell r="CS619">
            <v>1612.52</v>
          </cell>
          <cell r="CT619">
            <v>6224.6710000000003</v>
          </cell>
          <cell r="DB619">
            <v>1608.09</v>
          </cell>
          <cell r="DC619">
            <v>5653.5109999999995</v>
          </cell>
          <cell r="DK619">
            <v>1322.355</v>
          </cell>
          <cell r="DL619">
            <v>5143.4709999999995</v>
          </cell>
          <cell r="DQ619">
            <v>999.95799999999997</v>
          </cell>
          <cell r="DT619">
            <v>1138.51</v>
          </cell>
          <cell r="DU619">
            <v>5210.2749999999996</v>
          </cell>
          <cell r="EC619">
            <v>1266.98</v>
          </cell>
          <cell r="ED619">
            <v>4115.2650000000003</v>
          </cell>
          <cell r="EI619">
            <v>2999.9319999999998</v>
          </cell>
          <cell r="EL619">
            <v>1151.8</v>
          </cell>
          <cell r="EM619">
            <v>3831.55</v>
          </cell>
          <cell r="ER619">
            <v>2999.9319999999998</v>
          </cell>
        </row>
        <row r="620">
          <cell r="A620">
            <v>13</v>
          </cell>
          <cell r="B620" t="str">
            <v>RM</v>
          </cell>
          <cell r="C620" t="str">
            <v>FM</v>
          </cell>
          <cell r="D620" t="str">
            <v>MUSTARD OIL-EXPELLER</v>
          </cell>
          <cell r="E620" t="str">
            <v>MUSTARD OIL-EXPELLER</v>
          </cell>
          <cell r="K620">
            <v>9.16</v>
          </cell>
          <cell r="T620">
            <v>9.16</v>
          </cell>
          <cell r="AC620">
            <v>9.16</v>
          </cell>
          <cell r="AL620">
            <v>9.16</v>
          </cell>
          <cell r="AU620">
            <v>9.16</v>
          </cell>
          <cell r="BD620">
            <v>9.16</v>
          </cell>
          <cell r="BM620">
            <v>9.16</v>
          </cell>
          <cell r="BV620">
            <v>90.96</v>
          </cell>
          <cell r="CE620">
            <v>491.38</v>
          </cell>
          <cell r="CN620">
            <v>669.22</v>
          </cell>
          <cell r="CW620">
            <v>42.28</v>
          </cell>
          <cell r="CX620">
            <v>752.24</v>
          </cell>
          <cell r="DF620">
            <v>105.61</v>
          </cell>
          <cell r="DO620">
            <v>273.33999999999997</v>
          </cell>
          <cell r="DP620">
            <v>1014.735</v>
          </cell>
          <cell r="DX620">
            <v>676.86</v>
          </cell>
          <cell r="EG620">
            <v>358.06</v>
          </cell>
          <cell r="EP620">
            <v>813.96</v>
          </cell>
        </row>
        <row r="621">
          <cell r="A621">
            <v>14</v>
          </cell>
          <cell r="B621" t="str">
            <v>RM</v>
          </cell>
          <cell r="C621" t="str">
            <v>FM</v>
          </cell>
          <cell r="D621" t="str">
            <v>MUSTARD OIL-REFINED</v>
          </cell>
          <cell r="E621" t="str">
            <v>MUSTARD OIL-REFINED</v>
          </cell>
          <cell r="DX621">
            <v>292.41000000000003</v>
          </cell>
          <cell r="DY621">
            <v>698.101</v>
          </cell>
          <cell r="EC621">
            <v>301.11876000000001</v>
          </cell>
          <cell r="EG621">
            <v>368.37600000000003</v>
          </cell>
          <cell r="EH621">
            <v>602.90200000000004</v>
          </cell>
          <cell r="EI621">
            <v>332.6</v>
          </cell>
          <cell r="EL621">
            <v>214.55136000000002</v>
          </cell>
          <cell r="EP621">
            <v>113.003</v>
          </cell>
          <cell r="ER621">
            <v>180.9</v>
          </cell>
        </row>
        <row r="622">
          <cell r="A622">
            <v>15</v>
          </cell>
          <cell r="B622" t="str">
            <v>RM</v>
          </cell>
          <cell r="C622" t="str">
            <v>FM</v>
          </cell>
          <cell r="D622" t="str">
            <v>CRUDE GLYCERINE</v>
          </cell>
          <cell r="E622" t="str">
            <v>CRUDE GLYCERINE</v>
          </cell>
          <cell r="F622">
            <v>95.63</v>
          </cell>
          <cell r="H622">
            <v>493.62</v>
          </cell>
          <cell r="J622">
            <v>56.838000000000001</v>
          </cell>
          <cell r="K622">
            <v>112.17</v>
          </cell>
          <cell r="L622">
            <v>400</v>
          </cell>
          <cell r="O622">
            <v>56.33</v>
          </cell>
          <cell r="Q622">
            <v>493.62</v>
          </cell>
          <cell r="S622">
            <v>116.458</v>
          </cell>
          <cell r="U622">
            <v>116.157</v>
          </cell>
          <cell r="V622">
            <v>400</v>
          </cell>
          <cell r="X622">
            <v>144.1</v>
          </cell>
          <cell r="Z622">
            <v>493.62</v>
          </cell>
          <cell r="AB622">
            <v>177.42500000000001</v>
          </cell>
          <cell r="AC622">
            <v>252.768</v>
          </cell>
          <cell r="AE622">
            <v>500</v>
          </cell>
          <cell r="AG622">
            <v>115.94</v>
          </cell>
          <cell r="AL622">
            <v>314.83</v>
          </cell>
          <cell r="AN622">
            <v>400</v>
          </cell>
          <cell r="AP622">
            <v>199.12</v>
          </cell>
          <cell r="AR622">
            <v>401.72</v>
          </cell>
          <cell r="AU622">
            <v>244.01599999999999</v>
          </cell>
          <cell r="AV622">
            <v>162.84800000000001</v>
          </cell>
          <cell r="AY622">
            <v>166.37</v>
          </cell>
          <cell r="BA622">
            <v>366.18</v>
          </cell>
          <cell r="BC622">
            <v>58.881</v>
          </cell>
          <cell r="BD622">
            <v>677.07500000000005</v>
          </cell>
          <cell r="BH622">
            <v>140.16999999999999</v>
          </cell>
          <cell r="BJ622">
            <v>336.01</v>
          </cell>
          <cell r="BL622">
            <v>180.07599999999999</v>
          </cell>
          <cell r="BM622">
            <v>269.18599999999998</v>
          </cell>
          <cell r="BQ622">
            <v>37.99</v>
          </cell>
          <cell r="BS622">
            <v>336.01</v>
          </cell>
          <cell r="BU622">
            <v>307.38499999999999</v>
          </cell>
          <cell r="BW622">
            <v>25.556000000000001</v>
          </cell>
          <cell r="BZ622">
            <v>107.42</v>
          </cell>
          <cell r="CB622">
            <v>336.01</v>
          </cell>
          <cell r="CD622">
            <v>178.05600000000001</v>
          </cell>
          <cell r="CE622">
            <v>274.84699999999998</v>
          </cell>
          <cell r="CI622">
            <v>233.18</v>
          </cell>
          <cell r="CK622">
            <v>322.77999999999997</v>
          </cell>
          <cell r="CM622">
            <v>293.63299999999998</v>
          </cell>
          <cell r="CN622">
            <v>111.602</v>
          </cell>
          <cell r="CP622">
            <v>400</v>
          </cell>
          <cell r="CR622">
            <v>241.04</v>
          </cell>
          <cell r="CT622">
            <v>293.27999999999997</v>
          </cell>
          <cell r="CV622">
            <v>125.468</v>
          </cell>
          <cell r="CW622">
            <v>260.78500000000003</v>
          </cell>
          <cell r="CY622">
            <v>400</v>
          </cell>
          <cell r="DA622">
            <v>201.74</v>
          </cell>
          <cell r="DC622">
            <v>248.42</v>
          </cell>
          <cell r="DE622">
            <v>329.37900000000002</v>
          </cell>
          <cell r="DF622">
            <v>194.16499999999999</v>
          </cell>
          <cell r="DH622">
            <v>400</v>
          </cell>
          <cell r="DJ622">
            <v>179.47</v>
          </cell>
          <cell r="DL622">
            <v>217.36</v>
          </cell>
          <cell r="DN622">
            <v>362.77800000000002</v>
          </cell>
          <cell r="DO622">
            <v>204.98400000000001</v>
          </cell>
          <cell r="DQ622">
            <v>488.13</v>
          </cell>
          <cell r="DS622">
            <v>276.41000000000003</v>
          </cell>
          <cell r="DU622">
            <v>217.36</v>
          </cell>
          <cell r="DW622">
            <v>543.75099999999998</v>
          </cell>
          <cell r="DX622">
            <v>267.69299999999998</v>
          </cell>
          <cell r="EB622">
            <v>220.74</v>
          </cell>
          <cell r="ED622">
            <v>203.41</v>
          </cell>
          <cell r="EF622">
            <v>639.17499999999995</v>
          </cell>
          <cell r="EG622">
            <v>702.85500000000002</v>
          </cell>
          <cell r="EK622">
            <v>193.23</v>
          </cell>
          <cell r="EM622">
            <v>203.41</v>
          </cell>
          <cell r="EO622">
            <v>392.11200000000002</v>
          </cell>
          <cell r="EP622">
            <v>974.226</v>
          </cell>
        </row>
        <row r="623">
          <cell r="A623">
            <v>16</v>
          </cell>
          <cell r="B623" t="str">
            <v>RM</v>
          </cell>
          <cell r="C623" t="str">
            <v>FM</v>
          </cell>
          <cell r="D623" t="str">
            <v>CAUSTIC SODA</v>
          </cell>
          <cell r="E623" t="str">
            <v>CAUSTIC SODA</v>
          </cell>
          <cell r="I623">
            <v>383.7</v>
          </cell>
          <cell r="J623">
            <v>32.323999999999998</v>
          </cell>
          <cell r="R623">
            <v>326</v>
          </cell>
          <cell r="S623">
            <v>34.723999999999997</v>
          </cell>
          <cell r="V623">
            <v>30</v>
          </cell>
          <cell r="AA623">
            <v>282</v>
          </cell>
          <cell r="AB623">
            <v>51.706000000000003</v>
          </cell>
          <cell r="AE623">
            <v>48.1</v>
          </cell>
          <cell r="AI623">
            <v>462.97</v>
          </cell>
          <cell r="AJ623">
            <v>401.3</v>
          </cell>
          <cell r="AS623">
            <v>425.2</v>
          </cell>
          <cell r="AT623">
            <v>220.79900000000001</v>
          </cell>
          <cell r="BB623">
            <v>419.8</v>
          </cell>
          <cell r="BC623">
            <v>307.678</v>
          </cell>
          <cell r="BK623">
            <v>541.20000000000005</v>
          </cell>
          <cell r="BL623">
            <v>285.39400000000001</v>
          </cell>
          <cell r="BO623">
            <v>15</v>
          </cell>
          <cell r="BT623">
            <v>677</v>
          </cell>
          <cell r="BU623">
            <v>254.75399999999999</v>
          </cell>
          <cell r="BX623">
            <v>29.82</v>
          </cell>
          <cell r="CC623">
            <v>913</v>
          </cell>
          <cell r="CD623">
            <v>235.648</v>
          </cell>
          <cell r="CL623">
            <v>1117</v>
          </cell>
          <cell r="CM623">
            <v>214.941</v>
          </cell>
          <cell r="CU623">
            <v>1016</v>
          </cell>
          <cell r="CV623">
            <v>214.941</v>
          </cell>
          <cell r="DD623">
            <v>1061</v>
          </cell>
          <cell r="DE623">
            <v>196.923</v>
          </cell>
          <cell r="DH623">
            <v>40.14</v>
          </cell>
          <cell r="DM623">
            <v>1022</v>
          </cell>
          <cell r="DN623">
            <v>165.87299999999999</v>
          </cell>
          <cell r="DQ623">
            <v>31.52</v>
          </cell>
          <cell r="DV623">
            <v>944</v>
          </cell>
          <cell r="DW623">
            <v>131.47900000000001</v>
          </cell>
          <cell r="EE623">
            <v>648.1</v>
          </cell>
          <cell r="EF623">
            <v>98.316999999999993</v>
          </cell>
          <cell r="EN623">
            <v>461</v>
          </cell>
          <cell r="EO623">
            <v>76.197000000000003</v>
          </cell>
        </row>
        <row r="624">
          <cell r="A624">
            <v>17</v>
          </cell>
          <cell r="B624" t="str">
            <v>RM</v>
          </cell>
          <cell r="C624" t="str">
            <v>FM</v>
          </cell>
          <cell r="D624" t="str">
            <v>MINERAL OIL(SAVANOL-82)</v>
          </cell>
          <cell r="E624" t="str">
            <v>MINERAL OIL(SAVANOL-82)</v>
          </cell>
        </row>
        <row r="625">
          <cell r="A625">
            <v>237</v>
          </cell>
          <cell r="B625" t="str">
            <v>RM</v>
          </cell>
          <cell r="C625" t="str">
            <v>FM</v>
          </cell>
          <cell r="D625" t="str">
            <v>NEEM OIL</v>
          </cell>
          <cell r="E625" t="str">
            <v>NEEM OIL</v>
          </cell>
          <cell r="DW625">
            <v>9</v>
          </cell>
          <cell r="EF625">
            <v>8</v>
          </cell>
          <cell r="EO625">
            <v>8</v>
          </cell>
        </row>
        <row r="626">
          <cell r="D626" t="str">
            <v>RM TOTAL</v>
          </cell>
          <cell r="E626" t="str">
            <v>RM TOTAL</v>
          </cell>
          <cell r="F626">
            <v>95.63</v>
          </cell>
          <cell r="G626">
            <v>1519.49</v>
          </cell>
          <cell r="H626">
            <v>7175.2710000000006</v>
          </cell>
          <cell r="I626">
            <v>383.7</v>
          </cell>
          <cell r="J626">
            <v>89.162000000000006</v>
          </cell>
          <cell r="K626">
            <v>5305.8859999999995</v>
          </cell>
          <cell r="L626">
            <v>3838.7529999999997</v>
          </cell>
          <cell r="M626">
            <v>243.63</v>
          </cell>
          <cell r="N626">
            <v>0</v>
          </cell>
          <cell r="O626">
            <v>56.33</v>
          </cell>
          <cell r="P626">
            <v>1391.02</v>
          </cell>
          <cell r="Q626">
            <v>6722.1090000000004</v>
          </cell>
          <cell r="R626">
            <v>326</v>
          </cell>
          <cell r="S626">
            <v>151.18199999999999</v>
          </cell>
          <cell r="T626">
            <v>5325.44</v>
          </cell>
          <cell r="U626">
            <v>2656.17</v>
          </cell>
          <cell r="V626">
            <v>449.48</v>
          </cell>
          <cell r="W626">
            <v>0</v>
          </cell>
          <cell r="X626">
            <v>144.1</v>
          </cell>
          <cell r="Y626">
            <v>1022.70592</v>
          </cell>
          <cell r="Z626">
            <v>5873.049</v>
          </cell>
          <cell r="AA626">
            <v>282</v>
          </cell>
          <cell r="AB626">
            <v>229.13100000000003</v>
          </cell>
          <cell r="AC626">
            <v>3579.3449999999998</v>
          </cell>
          <cell r="AD626">
            <v>1449.3109999999999</v>
          </cell>
          <cell r="AE626">
            <v>6567.58</v>
          </cell>
          <cell r="AF626">
            <v>0</v>
          </cell>
          <cell r="AG626">
            <v>115.94</v>
          </cell>
          <cell r="AH626">
            <v>1688.854</v>
          </cell>
          <cell r="AI626">
            <v>9055.1119999999992</v>
          </cell>
          <cell r="AJ626">
            <v>401.3</v>
          </cell>
          <cell r="AK626">
            <v>0</v>
          </cell>
          <cell r="AL626">
            <v>387.30499999999995</v>
          </cell>
          <cell r="AM626">
            <v>2253.451</v>
          </cell>
          <cell r="AN626">
            <v>419.48</v>
          </cell>
          <cell r="AO626">
            <v>0</v>
          </cell>
          <cell r="AP626">
            <v>199.12</v>
          </cell>
          <cell r="AQ626">
            <v>1508.415</v>
          </cell>
          <cell r="AR626">
            <v>7195.6660000000002</v>
          </cell>
          <cell r="AS626">
            <v>425.2</v>
          </cell>
          <cell r="AT626">
            <v>220.79900000000001</v>
          </cell>
          <cell r="AU626">
            <v>942.79099999999994</v>
          </cell>
          <cell r="AV626">
            <v>722.26900000000001</v>
          </cell>
          <cell r="AW626">
            <v>1019.4450000000001</v>
          </cell>
          <cell r="AX626">
            <v>0</v>
          </cell>
          <cell r="AY626">
            <v>166.37</v>
          </cell>
          <cell r="AZ626">
            <v>1499.5550000000001</v>
          </cell>
          <cell r="BA626">
            <v>6019.576</v>
          </cell>
          <cell r="BB626">
            <v>419.8</v>
          </cell>
          <cell r="BC626">
            <v>366.55899999999997</v>
          </cell>
          <cell r="BD626">
            <v>764.92600000000004</v>
          </cell>
          <cell r="BE626">
            <v>6.9610000000000003</v>
          </cell>
          <cell r="BF626">
            <v>2519.4450000000002</v>
          </cell>
          <cell r="BG626">
            <v>0</v>
          </cell>
          <cell r="BH626">
            <v>140.16999999999999</v>
          </cell>
          <cell r="BI626">
            <v>1590.37</v>
          </cell>
          <cell r="BJ626">
            <v>4703.6290000000008</v>
          </cell>
          <cell r="BK626">
            <v>541.20000000000005</v>
          </cell>
          <cell r="BL626">
            <v>465.47</v>
          </cell>
          <cell r="BM626">
            <v>357.03699999999998</v>
          </cell>
          <cell r="BN626">
            <v>986.03800000000001</v>
          </cell>
          <cell r="BO626">
            <v>5534.4449999999997</v>
          </cell>
          <cell r="BP626">
            <v>0</v>
          </cell>
          <cell r="BQ626">
            <v>37.99</v>
          </cell>
          <cell r="BR626">
            <v>2039.8776</v>
          </cell>
          <cell r="BS626">
            <v>3700.634</v>
          </cell>
          <cell r="BT626">
            <v>677</v>
          </cell>
          <cell r="BU626">
            <v>562.13900000000001</v>
          </cell>
          <cell r="BV626">
            <v>169.65100000000001</v>
          </cell>
          <cell r="BW626">
            <v>3997.3940000000002</v>
          </cell>
          <cell r="BX626">
            <v>49.3</v>
          </cell>
          <cell r="BY626">
            <v>0</v>
          </cell>
          <cell r="BZ626">
            <v>107.42</v>
          </cell>
          <cell r="CA626">
            <v>1707.8417999999999</v>
          </cell>
          <cell r="CB626">
            <v>3070.7240000000002</v>
          </cell>
          <cell r="CC626">
            <v>913</v>
          </cell>
          <cell r="CD626">
            <v>413.70400000000001</v>
          </cell>
          <cell r="CE626">
            <v>1067.9670000000001</v>
          </cell>
          <cell r="CF626">
            <v>1577.1779999999999</v>
          </cell>
          <cell r="CG626">
            <v>3019.48</v>
          </cell>
          <cell r="CH626">
            <v>0</v>
          </cell>
          <cell r="CI626">
            <v>233.18</v>
          </cell>
          <cell r="CJ626">
            <v>1902.5786000000003</v>
          </cell>
          <cell r="CK626">
            <v>5172.63</v>
          </cell>
          <cell r="CL626">
            <v>1117</v>
          </cell>
          <cell r="CM626">
            <v>508.57399999999996</v>
          </cell>
          <cell r="CN626">
            <v>2480.9110000000001</v>
          </cell>
          <cell r="CO626">
            <v>1237.95</v>
          </cell>
          <cell r="CP626">
            <v>6419.48</v>
          </cell>
          <cell r="CQ626">
            <v>0</v>
          </cell>
          <cell r="CR626">
            <v>241.04</v>
          </cell>
          <cell r="CS626">
            <v>2113.6327999999999</v>
          </cell>
          <cell r="CT626">
            <v>7230.0109999999995</v>
          </cell>
          <cell r="CU626">
            <v>1143</v>
          </cell>
          <cell r="CV626">
            <v>340.40899999999999</v>
          </cell>
          <cell r="CW626">
            <v>1635.9270000000001</v>
          </cell>
          <cell r="CX626">
            <v>1435.6</v>
          </cell>
          <cell r="CY626">
            <v>6419.48</v>
          </cell>
          <cell r="CZ626">
            <v>0</v>
          </cell>
          <cell r="DA626">
            <v>201.74</v>
          </cell>
          <cell r="DB626">
            <v>2109.2028</v>
          </cell>
          <cell r="DC626">
            <v>6444.6779999999999</v>
          </cell>
          <cell r="DD626">
            <v>1273</v>
          </cell>
          <cell r="DE626">
            <v>526.30200000000002</v>
          </cell>
          <cell r="DF626">
            <v>1212.577</v>
          </cell>
          <cell r="DG626">
            <v>5682.6809999999996</v>
          </cell>
          <cell r="DH626">
            <v>6459.62</v>
          </cell>
          <cell r="DI626">
            <v>0</v>
          </cell>
          <cell r="DJ626">
            <v>179.47</v>
          </cell>
          <cell r="DK626">
            <v>2435.0097000000001</v>
          </cell>
          <cell r="DL626">
            <v>5898.4079999999994</v>
          </cell>
          <cell r="DM626">
            <v>1103</v>
          </cell>
          <cell r="DN626">
            <v>528.65100000000007</v>
          </cell>
          <cell r="DO626">
            <v>676.03800000000001</v>
          </cell>
          <cell r="DP626">
            <v>6091.049</v>
          </cell>
          <cell r="DQ626">
            <v>3539.0880000000002</v>
          </cell>
          <cell r="DR626">
            <v>0</v>
          </cell>
          <cell r="DS626">
            <v>276.41000000000003</v>
          </cell>
          <cell r="DT626">
            <v>1918.306</v>
          </cell>
          <cell r="DU626">
            <v>5850.0049999999992</v>
          </cell>
          <cell r="DV626">
            <v>944</v>
          </cell>
          <cell r="DW626">
            <v>675.23</v>
          </cell>
          <cell r="DX626">
            <v>3048.6019999999999</v>
          </cell>
          <cell r="DY626">
            <v>2035.7449999999999</v>
          </cell>
          <cell r="DZ626">
            <v>19.48</v>
          </cell>
          <cell r="EA626">
            <v>0</v>
          </cell>
          <cell r="EB626">
            <v>220.74</v>
          </cell>
          <cell r="EC626">
            <v>2348.6876600000001</v>
          </cell>
          <cell r="ED626">
            <v>4663.1850000000004</v>
          </cell>
          <cell r="EE626">
            <v>670.5</v>
          </cell>
          <cell r="EF626">
            <v>737.49199999999996</v>
          </cell>
          <cell r="EG626">
            <v>3862.4690000000001</v>
          </cell>
          <cell r="EH626">
            <v>602.90200000000004</v>
          </cell>
          <cell r="EI626">
            <v>5352.0460000000003</v>
          </cell>
          <cell r="EJ626">
            <v>0</v>
          </cell>
          <cell r="EK626">
            <v>193.23</v>
          </cell>
          <cell r="EL626">
            <v>2164.5073600000001</v>
          </cell>
          <cell r="EM626">
            <v>4281.96</v>
          </cell>
          <cell r="EN626">
            <v>826</v>
          </cell>
          <cell r="EO626">
            <v>476.30900000000003</v>
          </cell>
          <cell r="EP626">
            <v>3404.5660000000003</v>
          </cell>
          <cell r="EQ626">
            <v>1990.2180000000001</v>
          </cell>
          <cell r="ER626">
            <v>5339.0459999999994</v>
          </cell>
          <cell r="ES626">
            <v>0</v>
          </cell>
        </row>
        <row r="627">
          <cell r="A627" t="str">
            <v>SPLIT FATTY ACIDS</v>
          </cell>
        </row>
        <row r="628">
          <cell r="A628">
            <v>18</v>
          </cell>
          <cell r="B628" t="str">
            <v>SRM</v>
          </cell>
          <cell r="C628" t="str">
            <v>FM</v>
          </cell>
          <cell r="D628" t="str">
            <v>SCPKO</v>
          </cell>
          <cell r="E628" t="str">
            <v>SCPKO</v>
          </cell>
          <cell r="F628">
            <v>57.095999999999997</v>
          </cell>
          <cell r="G628">
            <v>272.33999999999997</v>
          </cell>
          <cell r="H628">
            <v>318.18</v>
          </cell>
          <cell r="I628">
            <v>562.70000000000005</v>
          </cell>
          <cell r="K628">
            <v>568.52</v>
          </cell>
          <cell r="M628">
            <v>133.99</v>
          </cell>
          <cell r="O628">
            <v>34.008000000000003</v>
          </cell>
          <cell r="P628">
            <v>354.96</v>
          </cell>
          <cell r="Q628">
            <v>198.46</v>
          </cell>
          <cell r="R628">
            <v>319.7</v>
          </cell>
          <cell r="T628">
            <v>854.53</v>
          </cell>
          <cell r="V628">
            <v>847.51</v>
          </cell>
          <cell r="Y628">
            <v>15.3</v>
          </cell>
          <cell r="Z628">
            <v>0.53</v>
          </cell>
          <cell r="AA628">
            <v>162.6</v>
          </cell>
          <cell r="AC628">
            <v>1246.99</v>
          </cell>
          <cell r="AE628">
            <v>982.71</v>
          </cell>
          <cell r="AH628">
            <v>94.86</v>
          </cell>
          <cell r="AJ628">
            <v>529.83000000000004</v>
          </cell>
          <cell r="AL628">
            <v>1752.23</v>
          </cell>
          <cell r="AN628">
            <v>640.93000000000006</v>
          </cell>
          <cell r="AQ628">
            <v>263.16000000000003</v>
          </cell>
          <cell r="AR628">
            <v>0.53</v>
          </cell>
          <cell r="AS628">
            <v>210</v>
          </cell>
          <cell r="AU628">
            <v>611.41499999999996</v>
          </cell>
          <cell r="AW628">
            <v>758.49</v>
          </cell>
          <cell r="AZ628">
            <v>232.56</v>
          </cell>
          <cell r="BA628">
            <v>0.53</v>
          </cell>
          <cell r="BB628">
            <v>148</v>
          </cell>
          <cell r="BD628">
            <v>113</v>
          </cell>
          <cell r="BF628">
            <v>381.39</v>
          </cell>
          <cell r="BI628">
            <v>134.63999999999999</v>
          </cell>
          <cell r="BJ628">
            <v>0.53</v>
          </cell>
          <cell r="BK628">
            <v>25.6</v>
          </cell>
          <cell r="BM628">
            <v>113</v>
          </cell>
          <cell r="BS628">
            <v>0.53</v>
          </cell>
          <cell r="BT628">
            <v>25.6</v>
          </cell>
          <cell r="BV628">
            <v>113</v>
          </cell>
          <cell r="CB628">
            <v>0.53</v>
          </cell>
          <cell r="CC628">
            <v>647.1</v>
          </cell>
          <cell r="CE628">
            <v>574.19100000000003</v>
          </cell>
          <cell r="CG628">
            <v>883.69</v>
          </cell>
          <cell r="CK628">
            <v>0.53</v>
          </cell>
          <cell r="CL628">
            <v>486</v>
          </cell>
          <cell r="CN628">
            <v>163.43</v>
          </cell>
          <cell r="CT628">
            <v>0.53</v>
          </cell>
          <cell r="CU628">
            <v>87.7</v>
          </cell>
          <cell r="CW628">
            <v>455.536</v>
          </cell>
          <cell r="CY628">
            <v>407.83</v>
          </cell>
          <cell r="DB628">
            <v>39.78</v>
          </cell>
          <cell r="DC628">
            <v>0.53</v>
          </cell>
          <cell r="DD628">
            <v>327</v>
          </cell>
          <cell r="DF628">
            <v>443.52</v>
          </cell>
          <cell r="DH628">
            <v>837.94</v>
          </cell>
          <cell r="DK628">
            <v>16.564499999999999</v>
          </cell>
          <cell r="DL628">
            <v>0.53</v>
          </cell>
          <cell r="DM628">
            <v>124.2</v>
          </cell>
          <cell r="DO628">
            <v>956.87199999999996</v>
          </cell>
          <cell r="DQ628">
            <v>436.91</v>
          </cell>
          <cell r="DT628">
            <v>311.41260000000005</v>
          </cell>
          <cell r="DV628">
            <v>480.5</v>
          </cell>
          <cell r="DX628">
            <v>1656.229</v>
          </cell>
          <cell r="DZ628">
            <v>65.36</v>
          </cell>
          <cell r="EC628">
            <v>311.41260000000005</v>
          </cell>
          <cell r="EE628">
            <v>606.6</v>
          </cell>
          <cell r="EG628">
            <v>2111.0619999999999</v>
          </cell>
          <cell r="EL628">
            <v>309.20400000000001</v>
          </cell>
          <cell r="EN628">
            <v>825.8</v>
          </cell>
          <cell r="EP628">
            <v>3013.6930000000002</v>
          </cell>
        </row>
        <row r="629">
          <cell r="A629">
            <v>19</v>
          </cell>
          <cell r="B629" t="str">
            <v>SRM</v>
          </cell>
          <cell r="C629" t="str">
            <v>FM</v>
          </cell>
          <cell r="D629" t="str">
            <v>SCNO</v>
          </cell>
          <cell r="E629" t="str">
            <v>SCNO</v>
          </cell>
          <cell r="AN629">
            <v>15</v>
          </cell>
        </row>
        <row r="630">
          <cell r="A630">
            <v>20</v>
          </cell>
          <cell r="B630" t="str">
            <v>SRM</v>
          </cell>
          <cell r="C630" t="str">
            <v>FM</v>
          </cell>
          <cell r="D630" t="str">
            <v>SCPKO-HLL</v>
          </cell>
          <cell r="E630" t="str">
            <v>SCPKO-HLL</v>
          </cell>
          <cell r="K630">
            <v>467.61</v>
          </cell>
          <cell r="T630">
            <v>467.61</v>
          </cell>
          <cell r="AC630">
            <v>467.61</v>
          </cell>
          <cell r="AL630">
            <v>231.61</v>
          </cell>
          <cell r="AU630">
            <v>231.61</v>
          </cell>
          <cell r="BD630">
            <v>231.61</v>
          </cell>
          <cell r="BM630">
            <v>120.92</v>
          </cell>
          <cell r="BV630">
            <v>120.92</v>
          </cell>
          <cell r="CE630">
            <v>120.92</v>
          </cell>
          <cell r="CN630">
            <v>992.53399999999999</v>
          </cell>
          <cell r="CW630">
            <v>899.274</v>
          </cell>
          <cell r="DF630">
            <v>855.45399999999995</v>
          </cell>
          <cell r="DO630">
            <v>855.45399999999995</v>
          </cell>
          <cell r="DX630">
            <v>855.45399999999995</v>
          </cell>
          <cell r="EG630">
            <v>855.45399999999995</v>
          </cell>
          <cell r="EP630">
            <v>797.774</v>
          </cell>
        </row>
        <row r="631">
          <cell r="A631">
            <v>21</v>
          </cell>
          <cell r="B631" t="str">
            <v>SRM</v>
          </cell>
          <cell r="C631" t="str">
            <v>FM</v>
          </cell>
          <cell r="D631" t="str">
            <v>SPKFAD</v>
          </cell>
          <cell r="E631" t="str">
            <v>SPKFAD</v>
          </cell>
          <cell r="EK631">
            <v>86.4</v>
          </cell>
        </row>
        <row r="632">
          <cell r="A632">
            <v>22</v>
          </cell>
          <cell r="B632" t="str">
            <v>SRM</v>
          </cell>
          <cell r="C632" t="str">
            <v>FM</v>
          </cell>
          <cell r="D632" t="str">
            <v>SCPS</v>
          </cell>
          <cell r="E632" t="str">
            <v>SCPS</v>
          </cell>
        </row>
        <row r="633">
          <cell r="A633">
            <v>23</v>
          </cell>
          <cell r="B633" t="str">
            <v>SRM</v>
          </cell>
          <cell r="C633" t="str">
            <v>FM</v>
          </cell>
          <cell r="D633" t="str">
            <v>SRBDPS</v>
          </cell>
          <cell r="E633" t="str">
            <v>SRBDPS</v>
          </cell>
          <cell r="G633">
            <v>307.64519999999999</v>
          </cell>
          <cell r="P633">
            <v>308.74520000000001</v>
          </cell>
          <cell r="AG633">
            <v>82.08</v>
          </cell>
          <cell r="AR633">
            <v>492.77</v>
          </cell>
          <cell r="AY633">
            <v>259.065</v>
          </cell>
          <cell r="BH633">
            <v>133.38</v>
          </cell>
          <cell r="BQ633">
            <v>157.32</v>
          </cell>
          <cell r="BZ633">
            <v>482.22</v>
          </cell>
          <cell r="CI633">
            <v>217.17</v>
          </cell>
          <cell r="CR633">
            <v>215.46</v>
          </cell>
          <cell r="DA633">
            <v>215.46</v>
          </cell>
          <cell r="DJ633">
            <v>215.46</v>
          </cell>
        </row>
        <row r="634">
          <cell r="A634">
            <v>24</v>
          </cell>
          <cell r="B634" t="str">
            <v>SRM</v>
          </cell>
          <cell r="C634" t="str">
            <v>FM</v>
          </cell>
          <cell r="D634" t="str">
            <v>SCPO</v>
          </cell>
          <cell r="E634" t="str">
            <v>SCPO</v>
          </cell>
          <cell r="K634">
            <v>0.48899999999999999</v>
          </cell>
          <cell r="T634">
            <v>0.48899999999999999</v>
          </cell>
          <cell r="AC634">
            <v>0.48899999999999999</v>
          </cell>
          <cell r="AL634">
            <v>0.48899999999999999</v>
          </cell>
          <cell r="AU634">
            <v>0.48899999999999999</v>
          </cell>
          <cell r="BD634">
            <v>0.48899999999999999</v>
          </cell>
          <cell r="BM634">
            <v>0.48899999999999999</v>
          </cell>
          <cell r="BV634">
            <v>0.48899999999999999</v>
          </cell>
          <cell r="CE634">
            <v>0.48899999999999999</v>
          </cell>
          <cell r="CN634">
            <v>0.48899999999999999</v>
          </cell>
          <cell r="CW634">
            <v>0.48899999999999999</v>
          </cell>
          <cell r="DF634">
            <v>0.48899999999999999</v>
          </cell>
          <cell r="DO634">
            <v>0.48899999999999999</v>
          </cell>
          <cell r="DX634">
            <v>0.48899999999999999</v>
          </cell>
          <cell r="EG634">
            <v>0.48899999999999999</v>
          </cell>
          <cell r="EP634">
            <v>0.48899999999999999</v>
          </cell>
        </row>
        <row r="635">
          <cell r="A635">
            <v>25</v>
          </cell>
          <cell r="B635" t="str">
            <v>SRM</v>
          </cell>
          <cell r="C635" t="str">
            <v>FM</v>
          </cell>
          <cell r="D635" t="str">
            <v>SPFAD</v>
          </cell>
          <cell r="E635" t="str">
            <v>SPFAD</v>
          </cell>
          <cell r="F635">
            <v>217.2</v>
          </cell>
          <cell r="G635">
            <v>76.196700000000007</v>
          </cell>
          <cell r="H635">
            <v>408.98</v>
          </cell>
          <cell r="I635">
            <v>294.2</v>
          </cell>
          <cell r="O635">
            <v>388.8</v>
          </cell>
          <cell r="Q635">
            <v>349.2</v>
          </cell>
          <cell r="R635">
            <v>658.7</v>
          </cell>
          <cell r="X635">
            <v>370.8</v>
          </cell>
          <cell r="Z635">
            <v>349.2</v>
          </cell>
          <cell r="AA635">
            <v>518.6</v>
          </cell>
          <cell r="AG635">
            <v>430.8</v>
          </cell>
          <cell r="AI635">
            <v>524.91</v>
          </cell>
          <cell r="AJ635">
            <v>472.3</v>
          </cell>
          <cell r="AP635">
            <v>493.2</v>
          </cell>
          <cell r="AR635">
            <v>385.19</v>
          </cell>
          <cell r="AS635">
            <v>161</v>
          </cell>
          <cell r="AW635">
            <v>30</v>
          </cell>
          <cell r="AY635">
            <v>168</v>
          </cell>
          <cell r="BA635">
            <v>144.4</v>
          </cell>
          <cell r="BB635">
            <v>472.5</v>
          </cell>
          <cell r="BH635">
            <v>430.8</v>
          </cell>
          <cell r="BJ635">
            <v>96.95</v>
          </cell>
          <cell r="BK635">
            <v>482.2</v>
          </cell>
          <cell r="BO635">
            <v>62</v>
          </cell>
          <cell r="BQ635">
            <v>124.8</v>
          </cell>
          <cell r="BS635">
            <v>574.42999999999995</v>
          </cell>
          <cell r="BT635">
            <v>255</v>
          </cell>
          <cell r="BX635">
            <v>176.78</v>
          </cell>
          <cell r="BZ635">
            <v>176.4</v>
          </cell>
          <cell r="CB635">
            <v>366.06</v>
          </cell>
          <cell r="CC635">
            <v>270.60000000000002</v>
          </cell>
          <cell r="CI635">
            <v>258</v>
          </cell>
          <cell r="CK635">
            <v>425.44</v>
          </cell>
          <cell r="CL635">
            <v>597.6</v>
          </cell>
          <cell r="CR635">
            <v>387.4</v>
          </cell>
          <cell r="CT635">
            <v>425.44</v>
          </cell>
          <cell r="CU635">
            <v>597.6</v>
          </cell>
          <cell r="DA635">
            <v>427.9</v>
          </cell>
          <cell r="DC635">
            <v>425.44</v>
          </cell>
          <cell r="DD635">
            <v>597.6</v>
          </cell>
          <cell r="DJ635">
            <v>176.4</v>
          </cell>
          <cell r="DL635">
            <v>425.44</v>
          </cell>
          <cell r="DM635">
            <v>667.9</v>
          </cell>
          <cell r="DS635">
            <v>70.8</v>
          </cell>
          <cell r="DU635">
            <v>425.44</v>
          </cell>
          <cell r="DV635">
            <v>511.7</v>
          </cell>
          <cell r="EB635">
            <v>497.6</v>
          </cell>
          <cell r="ED635">
            <v>927.3</v>
          </cell>
          <cell r="EE635">
            <v>145</v>
          </cell>
          <cell r="EK635">
            <v>159.6</v>
          </cell>
          <cell r="EM635">
            <v>927.3</v>
          </cell>
          <cell r="EN635">
            <v>0.9</v>
          </cell>
          <cell r="ER635">
            <v>46.37</v>
          </cell>
        </row>
        <row r="636">
          <cell r="A636">
            <v>26</v>
          </cell>
          <cell r="B636" t="str">
            <v>SRM</v>
          </cell>
          <cell r="C636" t="str">
            <v>FM</v>
          </cell>
          <cell r="D636" t="str">
            <v>SCPS-HLL</v>
          </cell>
          <cell r="E636" t="str">
            <v>SCPS-HLL</v>
          </cell>
        </row>
        <row r="637">
          <cell r="A637">
            <v>27</v>
          </cell>
          <cell r="B637" t="str">
            <v>SRM</v>
          </cell>
          <cell r="C637" t="str">
            <v>FM</v>
          </cell>
          <cell r="D637" t="str">
            <v>SMUSTARD OIL</v>
          </cell>
          <cell r="E637" t="str">
            <v>SMUSTARD OIL</v>
          </cell>
          <cell r="EB637">
            <v>54.72</v>
          </cell>
          <cell r="EG637">
            <v>116.16800000000001</v>
          </cell>
          <cell r="EK637">
            <v>111.15</v>
          </cell>
          <cell r="EN637">
            <v>76.5</v>
          </cell>
          <cell r="EP637">
            <v>209.16800000000001</v>
          </cell>
          <cell r="ER637">
            <v>361.03999999999996</v>
          </cell>
        </row>
        <row r="638">
          <cell r="A638">
            <v>28</v>
          </cell>
          <cell r="B638" t="str">
            <v>SRM</v>
          </cell>
          <cell r="C638" t="str">
            <v>FM</v>
          </cell>
          <cell r="D638" t="str">
            <v>SMUSTARD OIL-EXPELLER</v>
          </cell>
          <cell r="E638" t="str">
            <v>SMUSTARD OIL-EXPELLER</v>
          </cell>
          <cell r="I638">
            <v>373.78</v>
          </cell>
          <cell r="K638">
            <v>90.191999999999993</v>
          </cell>
          <cell r="M638">
            <v>95.54</v>
          </cell>
          <cell r="R638">
            <v>316.3</v>
          </cell>
          <cell r="T638">
            <v>3.0619999999999998</v>
          </cell>
          <cell r="V638">
            <v>125.28</v>
          </cell>
          <cell r="AC638">
            <v>3.0619999999999998</v>
          </cell>
          <cell r="AL638">
            <v>3.0619999999999998</v>
          </cell>
          <cell r="AU638">
            <v>3.0619999999999998</v>
          </cell>
          <cell r="BD638">
            <v>3.0619999999999998</v>
          </cell>
          <cell r="BM638">
            <v>3.0619999999999998</v>
          </cell>
          <cell r="BV638">
            <v>3.0619999999999998</v>
          </cell>
          <cell r="CE638">
            <v>3.0619999999999998</v>
          </cell>
          <cell r="CN638">
            <v>3.0619999999999998</v>
          </cell>
          <cell r="CW638">
            <v>3.0619999999999998</v>
          </cell>
          <cell r="DF638">
            <v>3.0619999999999998</v>
          </cell>
          <cell r="DO638">
            <v>3.0619999999999998</v>
          </cell>
          <cell r="DX638">
            <v>3.0619999999999998</v>
          </cell>
        </row>
        <row r="639">
          <cell r="D639" t="str">
            <v>SRM TOTAL</v>
          </cell>
          <cell r="E639" t="str">
            <v>SRM TOTAL</v>
          </cell>
          <cell r="F639">
            <v>274.29599999999999</v>
          </cell>
          <cell r="G639">
            <v>656.18189999999993</v>
          </cell>
          <cell r="H639">
            <v>727.16000000000008</v>
          </cell>
          <cell r="I639">
            <v>1230.68</v>
          </cell>
          <cell r="J639">
            <v>0</v>
          </cell>
          <cell r="K639">
            <v>1126.8110000000001</v>
          </cell>
          <cell r="L639">
            <v>0</v>
          </cell>
          <cell r="M639">
            <v>229.53000000000003</v>
          </cell>
          <cell r="N639">
            <v>0</v>
          </cell>
          <cell r="O639">
            <v>422.80799999999999</v>
          </cell>
          <cell r="P639">
            <v>663.70519999999999</v>
          </cell>
          <cell r="Q639">
            <v>547.66</v>
          </cell>
          <cell r="R639">
            <v>1294.7</v>
          </cell>
          <cell r="S639">
            <v>0</v>
          </cell>
          <cell r="T639">
            <v>1325.6909999999998</v>
          </cell>
          <cell r="U639">
            <v>0</v>
          </cell>
          <cell r="V639">
            <v>972.79</v>
          </cell>
          <cell r="W639">
            <v>0</v>
          </cell>
          <cell r="X639">
            <v>370.8</v>
          </cell>
          <cell r="Y639">
            <v>15.3</v>
          </cell>
          <cell r="Z639">
            <v>349.72999999999996</v>
          </cell>
          <cell r="AA639">
            <v>681.2</v>
          </cell>
          <cell r="AB639">
            <v>0</v>
          </cell>
          <cell r="AC639">
            <v>1718.1509999999998</v>
          </cell>
          <cell r="AD639">
            <v>0</v>
          </cell>
          <cell r="AE639">
            <v>982.71</v>
          </cell>
          <cell r="AF639">
            <v>0</v>
          </cell>
          <cell r="AG639">
            <v>512.88</v>
          </cell>
          <cell r="AH639">
            <v>94.86</v>
          </cell>
          <cell r="AI639">
            <v>524.91</v>
          </cell>
          <cell r="AJ639">
            <v>1002.1300000000001</v>
          </cell>
          <cell r="AK639">
            <v>0</v>
          </cell>
          <cell r="AL639">
            <v>1987.3910000000001</v>
          </cell>
          <cell r="AM639">
            <v>0</v>
          </cell>
          <cell r="AN639">
            <v>655.93000000000006</v>
          </cell>
          <cell r="AO639">
            <v>0</v>
          </cell>
          <cell r="AP639">
            <v>493.2</v>
          </cell>
          <cell r="AQ639">
            <v>263.16000000000003</v>
          </cell>
          <cell r="AR639">
            <v>878.49</v>
          </cell>
          <cell r="AS639">
            <v>371</v>
          </cell>
          <cell r="AT639">
            <v>0</v>
          </cell>
          <cell r="AU639">
            <v>846.57600000000002</v>
          </cell>
          <cell r="AV639">
            <v>0</v>
          </cell>
          <cell r="AW639">
            <v>788.49</v>
          </cell>
          <cell r="AX639">
            <v>0</v>
          </cell>
          <cell r="AY639">
            <v>427.065</v>
          </cell>
          <cell r="AZ639">
            <v>232.56</v>
          </cell>
          <cell r="BA639">
            <v>144.93</v>
          </cell>
          <cell r="BB639">
            <v>620.5</v>
          </cell>
          <cell r="BC639">
            <v>0</v>
          </cell>
          <cell r="BD639">
            <v>348.161</v>
          </cell>
          <cell r="BE639">
            <v>0</v>
          </cell>
          <cell r="BF639">
            <v>381.39</v>
          </cell>
          <cell r="BG639">
            <v>0</v>
          </cell>
          <cell r="BH639">
            <v>564.18000000000006</v>
          </cell>
          <cell r="BI639">
            <v>134.63999999999999</v>
          </cell>
          <cell r="BJ639">
            <v>97.48</v>
          </cell>
          <cell r="BK639">
            <v>507.8</v>
          </cell>
          <cell r="BL639">
            <v>0</v>
          </cell>
          <cell r="BM639">
            <v>237.47100000000003</v>
          </cell>
          <cell r="BN639">
            <v>0</v>
          </cell>
          <cell r="BO639">
            <v>62</v>
          </cell>
          <cell r="BP639">
            <v>0</v>
          </cell>
          <cell r="BQ639">
            <v>282.12</v>
          </cell>
          <cell r="BR639">
            <v>0</v>
          </cell>
          <cell r="BS639">
            <v>574.95999999999992</v>
          </cell>
          <cell r="BT639">
            <v>280.60000000000002</v>
          </cell>
          <cell r="BU639">
            <v>0</v>
          </cell>
          <cell r="BV639">
            <v>237.47100000000003</v>
          </cell>
          <cell r="BW639">
            <v>0</v>
          </cell>
          <cell r="BX639">
            <v>176.78</v>
          </cell>
          <cell r="BY639">
            <v>0</v>
          </cell>
          <cell r="BZ639">
            <v>658.62</v>
          </cell>
          <cell r="CA639">
            <v>0</v>
          </cell>
          <cell r="CB639">
            <v>366.59</v>
          </cell>
          <cell r="CC639">
            <v>917.7</v>
          </cell>
          <cell r="CD639">
            <v>0</v>
          </cell>
          <cell r="CE639">
            <v>698.66200000000003</v>
          </cell>
          <cell r="CF639">
            <v>0</v>
          </cell>
          <cell r="CG639">
            <v>883.69</v>
          </cell>
          <cell r="CH639">
            <v>0</v>
          </cell>
          <cell r="CI639">
            <v>475.16999999999996</v>
          </cell>
          <cell r="CJ639">
            <v>0</v>
          </cell>
          <cell r="CK639">
            <v>425.96999999999997</v>
          </cell>
          <cell r="CL639">
            <v>1083.5999999999999</v>
          </cell>
          <cell r="CM639">
            <v>0</v>
          </cell>
          <cell r="CN639">
            <v>1159.5149999999999</v>
          </cell>
          <cell r="CO639">
            <v>0</v>
          </cell>
          <cell r="CP639">
            <v>0</v>
          </cell>
          <cell r="CQ639">
            <v>0</v>
          </cell>
          <cell r="CR639">
            <v>602.86</v>
          </cell>
          <cell r="CS639">
            <v>0</v>
          </cell>
          <cell r="CT639">
            <v>425.96999999999997</v>
          </cell>
          <cell r="CU639">
            <v>685.30000000000007</v>
          </cell>
          <cell r="CV639">
            <v>0</v>
          </cell>
          <cell r="CW639">
            <v>1358.3609999999999</v>
          </cell>
          <cell r="CX639">
            <v>0</v>
          </cell>
          <cell r="CY639">
            <v>407.83</v>
          </cell>
          <cell r="CZ639">
            <v>0</v>
          </cell>
          <cell r="DA639">
            <v>643.36</v>
          </cell>
          <cell r="DB639">
            <v>39.78</v>
          </cell>
          <cell r="DC639">
            <v>425.96999999999997</v>
          </cell>
          <cell r="DD639">
            <v>924.6</v>
          </cell>
          <cell r="DE639">
            <v>0</v>
          </cell>
          <cell r="DF639">
            <v>1302.5249999999999</v>
          </cell>
          <cell r="DG639">
            <v>0</v>
          </cell>
          <cell r="DH639">
            <v>837.94</v>
          </cell>
          <cell r="DI639">
            <v>0</v>
          </cell>
          <cell r="DJ639">
            <v>391.86</v>
          </cell>
          <cell r="DK639">
            <v>16.564499999999999</v>
          </cell>
          <cell r="DL639">
            <v>425.96999999999997</v>
          </cell>
          <cell r="DM639">
            <v>792.1</v>
          </cell>
          <cell r="DN639">
            <v>0</v>
          </cell>
          <cell r="DO639">
            <v>1815.877</v>
          </cell>
          <cell r="DP639">
            <v>0</v>
          </cell>
          <cell r="DQ639">
            <v>436.91</v>
          </cell>
          <cell r="DR639">
            <v>0</v>
          </cell>
          <cell r="DS639">
            <v>70.8</v>
          </cell>
          <cell r="DT639">
            <v>311.41260000000005</v>
          </cell>
          <cell r="DU639">
            <v>425.44</v>
          </cell>
          <cell r="DV639">
            <v>992.2</v>
          </cell>
          <cell r="DW639">
            <v>0</v>
          </cell>
          <cell r="DX639">
            <v>2515.2339999999999</v>
          </cell>
          <cell r="DY639">
            <v>0</v>
          </cell>
          <cell r="DZ639">
            <v>65.36</v>
          </cell>
          <cell r="EA639">
            <v>0</v>
          </cell>
          <cell r="EB639">
            <v>552.32000000000005</v>
          </cell>
          <cell r="EC639">
            <v>311.41260000000005</v>
          </cell>
          <cell r="ED639">
            <v>927.3</v>
          </cell>
          <cell r="EE639">
            <v>751.6</v>
          </cell>
          <cell r="EF639">
            <v>0</v>
          </cell>
          <cell r="EG639">
            <v>3083.1729999999998</v>
          </cell>
          <cell r="EH639">
            <v>0</v>
          </cell>
          <cell r="EI639">
            <v>0</v>
          </cell>
          <cell r="EJ639">
            <v>0</v>
          </cell>
          <cell r="EK639">
            <v>357.15</v>
          </cell>
          <cell r="EL639">
            <v>309.20400000000001</v>
          </cell>
          <cell r="EM639">
            <v>927.3</v>
          </cell>
          <cell r="EN639">
            <v>903.19999999999993</v>
          </cell>
          <cell r="EO639">
            <v>0</v>
          </cell>
          <cell r="EP639">
            <v>4021.1240000000003</v>
          </cell>
          <cell r="EQ639">
            <v>0</v>
          </cell>
          <cell r="ER639">
            <v>407.40999999999997</v>
          </cell>
          <cell r="ES639">
            <v>0</v>
          </cell>
        </row>
        <row r="640">
          <cell r="A640" t="str">
            <v>IN-PROCESS FATTY ACIDS</v>
          </cell>
        </row>
        <row r="641">
          <cell r="A641">
            <v>29</v>
          </cell>
          <cell r="B641" t="str">
            <v>IPRM</v>
          </cell>
          <cell r="C641" t="str">
            <v>FM</v>
          </cell>
          <cell r="D641" t="str">
            <v>B/PSCPKO&gt;C14</v>
          </cell>
          <cell r="E641" t="str">
            <v xml:space="preserve">B/P PKO </v>
          </cell>
          <cell r="F641">
            <v>76.44</v>
          </cell>
          <cell r="O641">
            <v>62.712000000000003</v>
          </cell>
          <cell r="P641">
            <v>63.432000000000009</v>
          </cell>
          <cell r="R641">
            <v>84.6</v>
          </cell>
          <cell r="Y641">
            <v>252.61794000000003</v>
          </cell>
          <cell r="AA641">
            <v>58.9</v>
          </cell>
          <cell r="AE641">
            <v>14.67</v>
          </cell>
          <cell r="AH641">
            <v>117.34920000000001</v>
          </cell>
          <cell r="AQ641">
            <v>362.35530000000006</v>
          </cell>
          <cell r="AS641">
            <v>205</v>
          </cell>
          <cell r="AZ641">
            <v>307.64519999999999</v>
          </cell>
          <cell r="BB641">
            <v>229.9</v>
          </cell>
          <cell r="BF641">
            <v>53.14</v>
          </cell>
          <cell r="BI641">
            <v>273.7278</v>
          </cell>
          <cell r="BK641">
            <v>3.7</v>
          </cell>
          <cell r="CJ641">
            <v>490.01220000000001</v>
          </cell>
          <cell r="CL641">
            <v>123.2</v>
          </cell>
          <cell r="CS641">
            <v>380.59200000000004</v>
          </cell>
          <cell r="CU641">
            <v>25.8</v>
          </cell>
          <cell r="CY641">
            <v>35.79</v>
          </cell>
          <cell r="DB641">
            <v>277.51499999999999</v>
          </cell>
          <cell r="DD641">
            <v>136.1</v>
          </cell>
          <cell r="DH641">
            <v>49.78</v>
          </cell>
          <cell r="DK641">
            <v>371.0772</v>
          </cell>
          <cell r="DM641">
            <v>33.1</v>
          </cell>
          <cell r="DQ641">
            <v>68.91</v>
          </cell>
          <cell r="DT641">
            <v>621.63360000000011</v>
          </cell>
          <cell r="DV641">
            <v>145.30000000000001</v>
          </cell>
          <cell r="EC641">
            <v>375.83460000000002</v>
          </cell>
          <cell r="EL641">
            <v>375.83460000000002</v>
          </cell>
        </row>
        <row r="642">
          <cell r="A642">
            <v>30</v>
          </cell>
          <cell r="B642" t="str">
            <v>IPRM</v>
          </cell>
          <cell r="C642" t="str">
            <v>FM</v>
          </cell>
          <cell r="D642" t="str">
            <v>B/P CNO&gt;C14</v>
          </cell>
          <cell r="E642" t="str">
            <v>B/P CNO&gt;C14</v>
          </cell>
        </row>
        <row r="643">
          <cell r="A643">
            <v>31</v>
          </cell>
          <cell r="B643" t="str">
            <v>IPRM</v>
          </cell>
          <cell r="C643" t="str">
            <v>FM</v>
          </cell>
          <cell r="D643" t="str">
            <v>SB/PSCPKO&gt;C14</v>
          </cell>
          <cell r="E643" t="str">
            <v>S B/P PKO</v>
          </cell>
          <cell r="Y643">
            <v>6.3432000000000004</v>
          </cell>
          <cell r="AH643">
            <v>137.96460000000002</v>
          </cell>
          <cell r="AQ643">
            <v>14.272200000000002</v>
          </cell>
          <cell r="AZ643">
            <v>434.50920000000002</v>
          </cell>
          <cell r="BI643">
            <v>621.63360000000011</v>
          </cell>
          <cell r="BQ643">
            <v>40.247999999999998</v>
          </cell>
          <cell r="BR643">
            <v>386.93520000000001</v>
          </cell>
          <cell r="CA643">
            <v>217.25460000000001</v>
          </cell>
          <cell r="CJ643">
            <v>14.272200000000002</v>
          </cell>
          <cell r="CS643">
            <v>372.66300000000007</v>
          </cell>
          <cell r="DB643">
            <v>96.733800000000002</v>
          </cell>
          <cell r="DD643">
            <v>498.8</v>
          </cell>
          <cell r="DK643">
            <v>402.79320000000001</v>
          </cell>
          <cell r="DM643">
            <v>613.9</v>
          </cell>
          <cell r="DT643">
            <v>224.39070000000001</v>
          </cell>
          <cell r="DV643">
            <v>608.4</v>
          </cell>
          <cell r="EB643">
            <v>137.61000000000001</v>
          </cell>
          <cell r="EC643">
            <v>131.62140000000002</v>
          </cell>
        </row>
        <row r="644">
          <cell r="A644">
            <v>32</v>
          </cell>
          <cell r="B644" t="str">
            <v>IPRM</v>
          </cell>
          <cell r="C644" t="str">
            <v>FM</v>
          </cell>
          <cell r="D644" t="str">
            <v>B/PSCNO&gt;C14</v>
          </cell>
          <cell r="E644" t="str">
            <v>S B/P CNO</v>
          </cell>
        </row>
        <row r="645">
          <cell r="A645">
            <v>33</v>
          </cell>
          <cell r="B645" t="str">
            <v>IPRM</v>
          </cell>
          <cell r="C645" t="str">
            <v>SM</v>
          </cell>
          <cell r="D645" t="str">
            <v>B/PSCPKO&gt;C16</v>
          </cell>
          <cell r="E645" t="str">
            <v>B/P&gt;C16 - OLEIC K</v>
          </cell>
          <cell r="DV645">
            <v>67.400000000000006</v>
          </cell>
        </row>
        <row r="646">
          <cell r="A646">
            <v>34</v>
          </cell>
          <cell r="B646" t="str">
            <v>IPRM</v>
          </cell>
          <cell r="C646" t="str">
            <v>SM</v>
          </cell>
          <cell r="D646" t="str">
            <v>HYD C16/C18 FOR DTP-7</v>
          </cell>
          <cell r="E646" t="str">
            <v>HYD C16/C18 FOR DTP-7</v>
          </cell>
        </row>
        <row r="647">
          <cell r="A647">
            <v>35</v>
          </cell>
          <cell r="B647" t="str">
            <v>IPRM</v>
          </cell>
          <cell r="C647" t="str">
            <v>NM</v>
          </cell>
          <cell r="D647" t="str">
            <v>L/E PKO(C6-C8)-C6@65%</v>
          </cell>
          <cell r="E647" t="str">
            <v>C6&gt;50%</v>
          </cell>
        </row>
        <row r="648">
          <cell r="A648">
            <v>36</v>
          </cell>
          <cell r="B648" t="str">
            <v>IPRM</v>
          </cell>
          <cell r="C648" t="str">
            <v>FM</v>
          </cell>
          <cell r="D648" t="str">
            <v>L/E PKO(C6-C12)</v>
          </cell>
          <cell r="E648" t="str">
            <v>TALOJA</v>
          </cell>
          <cell r="F648">
            <v>15.5855</v>
          </cell>
          <cell r="I648">
            <v>142.19999999999999</v>
          </cell>
          <cell r="O648">
            <v>22.7395</v>
          </cell>
          <cell r="P648">
            <v>299.09729999999996</v>
          </cell>
          <cell r="Y648">
            <v>551.17379999999991</v>
          </cell>
          <cell r="AP648">
            <v>4.8544999999999998</v>
          </cell>
          <cell r="AZ648">
            <v>530.03189999999995</v>
          </cell>
          <cell r="BB648">
            <v>70</v>
          </cell>
          <cell r="BI648">
            <v>424.32239999999996</v>
          </cell>
          <cell r="BQ648">
            <v>4.8099999999999996</v>
          </cell>
          <cell r="BR648">
            <v>442.21170000000001</v>
          </cell>
          <cell r="CA648">
            <v>453.5958</v>
          </cell>
          <cell r="CI648">
            <v>21</v>
          </cell>
          <cell r="DB648">
            <v>88.095060000000004</v>
          </cell>
          <cell r="DK648">
            <v>268.86816000000005</v>
          </cell>
          <cell r="DS648">
            <v>21.92</v>
          </cell>
          <cell r="DT648">
            <v>165.32676000000001</v>
          </cell>
          <cell r="DZ648">
            <v>13.9</v>
          </cell>
        </row>
        <row r="649">
          <cell r="A649">
            <v>37</v>
          </cell>
          <cell r="B649" t="str">
            <v>IPRM</v>
          </cell>
          <cell r="C649" t="str">
            <v>FM</v>
          </cell>
          <cell r="D649" t="str">
            <v>HYD.L/EPKO(C6-C12)</v>
          </cell>
          <cell r="E649" t="str">
            <v>H L/E PKO</v>
          </cell>
          <cell r="G649">
            <v>183.17500000000001</v>
          </cell>
          <cell r="H649">
            <v>678.31</v>
          </cell>
          <cell r="P649">
            <v>182.32499999999999</v>
          </cell>
          <cell r="Q649">
            <v>678.31</v>
          </cell>
          <cell r="Y649">
            <v>187.85</v>
          </cell>
          <cell r="Z649">
            <v>678.31</v>
          </cell>
          <cell r="AG649">
            <v>93.872</v>
          </cell>
          <cell r="AH649">
            <v>187.85</v>
          </cell>
          <cell r="AI649">
            <v>678.31</v>
          </cell>
          <cell r="AR649">
            <v>678.31</v>
          </cell>
          <cell r="BA649">
            <v>678.31</v>
          </cell>
          <cell r="BH649">
            <v>57.42</v>
          </cell>
          <cell r="BI649">
            <v>280.07499999999999</v>
          </cell>
          <cell r="BJ649">
            <v>678.31</v>
          </cell>
          <cell r="BS649">
            <v>678.31</v>
          </cell>
          <cell r="CB649">
            <v>678.31</v>
          </cell>
          <cell r="CI649">
            <v>122.9</v>
          </cell>
          <cell r="CK649">
            <v>587.84</v>
          </cell>
          <cell r="CS649">
            <v>153</v>
          </cell>
          <cell r="CT649">
            <v>587.84</v>
          </cell>
          <cell r="DB649">
            <v>152.15</v>
          </cell>
          <cell r="DC649">
            <v>587.84</v>
          </cell>
          <cell r="DK649">
            <v>151.72499999999999</v>
          </cell>
          <cell r="DL649">
            <v>587.84</v>
          </cell>
          <cell r="DS649">
            <v>59.688000000000002</v>
          </cell>
          <cell r="DT649">
            <v>155.55000000000001</v>
          </cell>
          <cell r="DU649">
            <v>587.84</v>
          </cell>
          <cell r="ED649">
            <v>587.84</v>
          </cell>
          <cell r="EK649">
            <v>101.4</v>
          </cell>
          <cell r="EL649">
            <v>100.3</v>
          </cell>
          <cell r="EM649">
            <v>381.61</v>
          </cell>
        </row>
        <row r="650">
          <cell r="A650">
            <v>38</v>
          </cell>
          <cell r="B650" t="str">
            <v>IPRM</v>
          </cell>
          <cell r="C650" t="str">
            <v>FM</v>
          </cell>
          <cell r="D650" t="str">
            <v>L/E PKO(C8-C12)</v>
          </cell>
          <cell r="E650" t="str">
            <v>L/E PKO</v>
          </cell>
          <cell r="G650">
            <v>268.19759999999997</v>
          </cell>
          <cell r="R650">
            <v>168.8</v>
          </cell>
          <cell r="AA650">
            <v>91.3</v>
          </cell>
          <cell r="AG650">
            <v>7</v>
          </cell>
          <cell r="AH650">
            <v>396.67529999999999</v>
          </cell>
          <cell r="AJ650">
            <v>262.72199999999998</v>
          </cell>
          <cell r="AQ650">
            <v>430.82759999999996</v>
          </cell>
          <cell r="AS650">
            <v>130.9</v>
          </cell>
          <cell r="BB650">
            <v>227</v>
          </cell>
          <cell r="BR650">
            <v>282.2</v>
          </cell>
          <cell r="BT650">
            <v>7.3</v>
          </cell>
          <cell r="CC650">
            <v>7.3</v>
          </cell>
          <cell r="CL650">
            <v>80</v>
          </cell>
          <cell r="CU650">
            <v>122</v>
          </cell>
          <cell r="DD650">
            <v>111.5</v>
          </cell>
          <cell r="DM650">
            <v>51.7</v>
          </cell>
        </row>
        <row r="651">
          <cell r="A651">
            <v>39</v>
          </cell>
          <cell r="B651" t="str">
            <v>IPRM</v>
          </cell>
          <cell r="C651" t="str">
            <v>FM</v>
          </cell>
          <cell r="D651" t="str">
            <v>L/E PKO(C10-C12)</v>
          </cell>
          <cell r="E651" t="str">
            <v>B/P OF C8 H</v>
          </cell>
          <cell r="G651">
            <v>650.178</v>
          </cell>
          <cell r="P651">
            <v>650.178</v>
          </cell>
          <cell r="Y651">
            <v>650.178</v>
          </cell>
          <cell r="AG651">
            <v>50.231999999999999</v>
          </cell>
          <cell r="AH651">
            <v>650.178</v>
          </cell>
          <cell r="AP651">
            <v>12.792</v>
          </cell>
          <cell r="AQ651">
            <v>815.93</v>
          </cell>
          <cell r="AZ651">
            <v>741.98</v>
          </cell>
          <cell r="BH651">
            <v>72.384</v>
          </cell>
          <cell r="BI651">
            <v>650.178</v>
          </cell>
          <cell r="BR651">
            <v>650.178</v>
          </cell>
          <cell r="CA651">
            <v>650.178</v>
          </cell>
          <cell r="CI651">
            <v>21.84</v>
          </cell>
          <cell r="CJ651">
            <v>1028.6879999999999</v>
          </cell>
          <cell r="CS651">
            <v>1051.7280000000001</v>
          </cell>
          <cell r="DB651">
            <v>1051.73</v>
          </cell>
          <cell r="DK651">
            <v>1048.4780000000001</v>
          </cell>
          <cell r="DS651">
            <v>56.783999999999999</v>
          </cell>
          <cell r="DT651">
            <v>1048.4780000000001</v>
          </cell>
          <cell r="EB651">
            <v>4.3680000000000003</v>
          </cell>
          <cell r="EC651">
            <v>1173.7080000000001</v>
          </cell>
          <cell r="EL651">
            <v>1217.6179999999999</v>
          </cell>
        </row>
        <row r="652">
          <cell r="A652">
            <v>40</v>
          </cell>
          <cell r="B652" t="str">
            <v>IPRM</v>
          </cell>
          <cell r="C652" t="str">
            <v>FM</v>
          </cell>
          <cell r="D652" t="str">
            <v>C12+C14+C16-PKO/CNO</v>
          </cell>
          <cell r="E652" t="str">
            <v>C12+C14+C16-PKO/CNO</v>
          </cell>
        </row>
        <row r="653">
          <cell r="A653">
            <v>41</v>
          </cell>
          <cell r="B653" t="str">
            <v>IPRM</v>
          </cell>
          <cell r="C653" t="str">
            <v>FM</v>
          </cell>
          <cell r="D653" t="str">
            <v>C14+C16(C14~60)</v>
          </cell>
          <cell r="E653" t="str">
            <v>C14+C16(C14~60)</v>
          </cell>
        </row>
        <row r="654">
          <cell r="A654">
            <v>42</v>
          </cell>
          <cell r="B654" t="str">
            <v>IPRM</v>
          </cell>
          <cell r="C654" t="str">
            <v>FM</v>
          </cell>
          <cell r="D654" t="str">
            <v>C14+C16+C18(C16@65%)</v>
          </cell>
          <cell r="E654" t="str">
            <v>C14+C16+C18(C16@65%)</v>
          </cell>
        </row>
        <row r="655">
          <cell r="A655">
            <v>43</v>
          </cell>
          <cell r="B655" t="str">
            <v>IPRM</v>
          </cell>
          <cell r="C655" t="str">
            <v>FM</v>
          </cell>
          <cell r="D655" t="str">
            <v>C16+C18-PFAD/PKO(C16@80%)</v>
          </cell>
          <cell r="E655" t="str">
            <v>C16+C18-PFAD/PKO(C16@80%)</v>
          </cell>
        </row>
        <row r="656">
          <cell r="A656">
            <v>44</v>
          </cell>
          <cell r="B656" t="str">
            <v>IPRM</v>
          </cell>
          <cell r="C656" t="str">
            <v>NM</v>
          </cell>
          <cell r="D656" t="str">
            <v>L/E'S OF  S.B</v>
          </cell>
          <cell r="E656" t="str">
            <v>L/E'S OF  S.B</v>
          </cell>
          <cell r="F656">
            <v>10.907</v>
          </cell>
          <cell r="G656">
            <v>966.93</v>
          </cell>
          <cell r="H656">
            <v>14.59</v>
          </cell>
          <cell r="M656">
            <v>14.5</v>
          </cell>
          <cell r="O656">
            <v>10.907</v>
          </cell>
          <cell r="Q656">
            <v>14.59</v>
          </cell>
          <cell r="R656">
            <v>109</v>
          </cell>
          <cell r="X656">
            <v>10.907</v>
          </cell>
          <cell r="Z656">
            <v>14.59</v>
          </cell>
          <cell r="AA656">
            <v>89</v>
          </cell>
          <cell r="AG656">
            <v>10.907</v>
          </cell>
          <cell r="AP656">
            <v>10.907</v>
          </cell>
          <cell r="AR656">
            <v>14.59</v>
          </cell>
          <cell r="AS656">
            <v>80</v>
          </cell>
          <cell r="AY656">
            <v>10.907</v>
          </cell>
          <cell r="AZ656">
            <v>987.92</v>
          </cell>
          <cell r="BA656">
            <v>14.59</v>
          </cell>
          <cell r="BH656">
            <v>10.91</v>
          </cell>
          <cell r="BJ656">
            <v>14.59</v>
          </cell>
          <cell r="BQ656">
            <v>11.265499999999999</v>
          </cell>
          <cell r="BS656">
            <v>14.59</v>
          </cell>
          <cell r="BT656">
            <v>94</v>
          </cell>
          <cell r="BZ656">
            <v>11.265499999999999</v>
          </cell>
          <cell r="CB656">
            <v>14.59</v>
          </cell>
          <cell r="CC656">
            <v>108</v>
          </cell>
          <cell r="CI656">
            <v>11.265499999999999</v>
          </cell>
          <cell r="CK656">
            <v>14.59</v>
          </cell>
          <cell r="CL656">
            <v>67</v>
          </cell>
          <cell r="CR656">
            <v>11.265499999999999</v>
          </cell>
          <cell r="CT656">
            <v>14.59</v>
          </cell>
          <cell r="CU656">
            <v>63</v>
          </cell>
          <cell r="CY656">
            <v>14.55</v>
          </cell>
          <cell r="DA656">
            <v>11.265499999999999</v>
          </cell>
          <cell r="DC656">
            <v>14.59</v>
          </cell>
          <cell r="DD656">
            <v>55</v>
          </cell>
          <cell r="DJ656">
            <v>11.265499999999999</v>
          </cell>
          <cell r="DL656">
            <v>14.59</v>
          </cell>
          <cell r="DM656">
            <v>45</v>
          </cell>
          <cell r="DQ656">
            <v>14.81</v>
          </cell>
          <cell r="DS656">
            <v>11.265499999999999</v>
          </cell>
          <cell r="DU656">
            <v>14.59</v>
          </cell>
          <cell r="DV656">
            <v>68</v>
          </cell>
          <cell r="EB656">
            <v>10.548500000000001</v>
          </cell>
          <cell r="ED656">
            <v>14.59</v>
          </cell>
          <cell r="EE656">
            <v>80</v>
          </cell>
          <cell r="EK656">
            <v>10.548500000000001</v>
          </cell>
          <cell r="EM656">
            <v>14.59</v>
          </cell>
          <cell r="EN656">
            <v>58</v>
          </cell>
        </row>
        <row r="657">
          <cell r="A657">
            <v>45</v>
          </cell>
          <cell r="B657" t="str">
            <v>IPRM</v>
          </cell>
          <cell r="C657" t="str">
            <v>NM</v>
          </cell>
          <cell r="D657" t="str">
            <v>BAD C8/C10</v>
          </cell>
          <cell r="E657" t="str">
            <v>BAD C8/C10</v>
          </cell>
          <cell r="P657">
            <v>966.93000000000006</v>
          </cell>
          <cell r="Y657">
            <v>988.15899999999999</v>
          </cell>
          <cell r="AH657">
            <v>988.15899999999999</v>
          </cell>
          <cell r="AQ657">
            <v>752.46</v>
          </cell>
          <cell r="BI657">
            <v>1026.1400000000001</v>
          </cell>
          <cell r="BR657">
            <v>1023.081</v>
          </cell>
          <cell r="BZ657">
            <v>6.3875000000000002</v>
          </cell>
          <cell r="CA657">
            <v>1309.6999999999998</v>
          </cell>
          <cell r="CJ657">
            <v>1030.56</v>
          </cell>
          <cell r="CS657">
            <v>1029.46</v>
          </cell>
          <cell r="DB657">
            <v>1049.77</v>
          </cell>
          <cell r="DK657">
            <v>1064.3800000000001</v>
          </cell>
          <cell r="DT657">
            <v>1064.3800000000001</v>
          </cell>
          <cell r="EB657">
            <v>15.17</v>
          </cell>
          <cell r="EC657">
            <v>1080.684</v>
          </cell>
          <cell r="EL657">
            <v>1124.01</v>
          </cell>
        </row>
        <row r="658">
          <cell r="A658">
            <v>46</v>
          </cell>
          <cell r="B658" t="str">
            <v>IPRM</v>
          </cell>
          <cell r="C658" t="str">
            <v>FM</v>
          </cell>
          <cell r="D658" t="str">
            <v>L/E PKO(C12@80%)</v>
          </cell>
          <cell r="E658" t="str">
            <v>B/P OF C10</v>
          </cell>
          <cell r="AP658">
            <v>66.768000000000001</v>
          </cell>
          <cell r="EB658">
            <v>68.016000000000005</v>
          </cell>
          <cell r="EL658">
            <v>45.988200000000006</v>
          </cell>
        </row>
        <row r="659">
          <cell r="A659">
            <v>47</v>
          </cell>
          <cell r="B659" t="str">
            <v>IPRM</v>
          </cell>
          <cell r="C659" t="str">
            <v>NM</v>
          </cell>
          <cell r="D659" t="str">
            <v>DAG-MCT</v>
          </cell>
          <cell r="E659" t="str">
            <v>HYD DEAC MCT</v>
          </cell>
          <cell r="G659">
            <v>568.79</v>
          </cell>
          <cell r="H659">
            <v>26.38</v>
          </cell>
          <cell r="P659">
            <v>568.79</v>
          </cell>
          <cell r="Q659">
            <v>26.38</v>
          </cell>
          <cell r="Y659">
            <v>568.79</v>
          </cell>
          <cell r="Z659">
            <v>26.38</v>
          </cell>
          <cell r="AH659">
            <v>568.79</v>
          </cell>
          <cell r="AI659">
            <v>26.38</v>
          </cell>
          <cell r="AQ659">
            <v>568.79</v>
          </cell>
          <cell r="AR659">
            <v>26.38</v>
          </cell>
          <cell r="AZ659">
            <v>568.79</v>
          </cell>
          <cell r="BA659">
            <v>26.38</v>
          </cell>
          <cell r="BI659">
            <v>568.79</v>
          </cell>
          <cell r="BJ659">
            <v>26.38</v>
          </cell>
          <cell r="BR659">
            <v>568.79</v>
          </cell>
          <cell r="BS659">
            <v>26.38</v>
          </cell>
          <cell r="CA659">
            <v>568.79</v>
          </cell>
          <cell r="CB659">
            <v>26.38</v>
          </cell>
          <cell r="CJ659">
            <v>568.79</v>
          </cell>
          <cell r="CK659">
            <v>26.38</v>
          </cell>
          <cell r="CS659">
            <v>568.79</v>
          </cell>
          <cell r="CT659">
            <v>26.38</v>
          </cell>
          <cell r="DB659">
            <v>568.79</v>
          </cell>
          <cell r="DC659">
            <v>26.38</v>
          </cell>
          <cell r="DK659">
            <v>562.61599999999999</v>
          </cell>
          <cell r="DL659">
            <v>26.38</v>
          </cell>
          <cell r="DT659">
            <v>562.61599999999999</v>
          </cell>
          <cell r="DU659">
            <v>26.38</v>
          </cell>
          <cell r="EC659">
            <v>568.79</v>
          </cell>
          <cell r="ED659">
            <v>26.38</v>
          </cell>
          <cell r="EL659">
            <v>568.79</v>
          </cell>
          <cell r="EM659">
            <v>26.38</v>
          </cell>
        </row>
        <row r="660">
          <cell r="A660">
            <v>247</v>
          </cell>
          <cell r="B660" t="str">
            <v>IPRM</v>
          </cell>
          <cell r="C660" t="str">
            <v>NM</v>
          </cell>
          <cell r="D660" t="str">
            <v>D ACIDIFIED MCT</v>
          </cell>
          <cell r="E660" t="str">
            <v>D ACIDIFIED MCT</v>
          </cell>
        </row>
        <row r="661">
          <cell r="A661">
            <v>48</v>
          </cell>
          <cell r="B661" t="str">
            <v>IPRM</v>
          </cell>
          <cell r="C661" t="str">
            <v>SM</v>
          </cell>
          <cell r="D661" t="str">
            <v>PKORESIDUE</v>
          </cell>
          <cell r="E661" t="str">
            <v>PKORESIDUE</v>
          </cell>
          <cell r="G661">
            <v>191.63646000000003</v>
          </cell>
          <cell r="P661">
            <v>65.180160000000001</v>
          </cell>
          <cell r="Y661">
            <v>294.32916000000006</v>
          </cell>
          <cell r="AG661">
            <v>20.440000000000001</v>
          </cell>
          <cell r="AH661">
            <v>710.1549</v>
          </cell>
          <cell r="AI661">
            <v>44.02</v>
          </cell>
          <cell r="AP661">
            <v>14.5</v>
          </cell>
          <cell r="AQ661">
            <v>643.0788</v>
          </cell>
          <cell r="AR661">
            <v>44.02</v>
          </cell>
          <cell r="AY661">
            <v>9.9600000000000009</v>
          </cell>
          <cell r="BA661">
            <v>53.54</v>
          </cell>
          <cell r="BH661">
            <v>19.03</v>
          </cell>
          <cell r="BJ661">
            <v>53.54</v>
          </cell>
          <cell r="BQ661">
            <v>17.64</v>
          </cell>
          <cell r="BS661">
            <v>98.11</v>
          </cell>
          <cell r="BZ661">
            <v>17.502717999999998</v>
          </cell>
          <cell r="CB661">
            <v>123.52</v>
          </cell>
          <cell r="CK661">
            <v>149.19999999999999</v>
          </cell>
          <cell r="CR661">
            <v>19.135169999999999</v>
          </cell>
          <cell r="CT661">
            <v>149.19999999999999</v>
          </cell>
          <cell r="DA661">
            <v>19.135169999999999</v>
          </cell>
          <cell r="DC661">
            <v>149.19999999999999</v>
          </cell>
          <cell r="DL661">
            <v>164.19</v>
          </cell>
          <cell r="DU661">
            <v>180.19</v>
          </cell>
          <cell r="EC661">
            <v>72.399600000000007</v>
          </cell>
          <cell r="ED661">
            <v>180.19</v>
          </cell>
          <cell r="EE661">
            <v>41.6</v>
          </cell>
          <cell r="EM661">
            <v>339.47</v>
          </cell>
          <cell r="EN661">
            <v>10.8</v>
          </cell>
        </row>
        <row r="662">
          <cell r="A662">
            <v>49</v>
          </cell>
          <cell r="B662" t="str">
            <v>IPRM</v>
          </cell>
          <cell r="C662" t="str">
            <v>SM</v>
          </cell>
          <cell r="D662" t="str">
            <v>SPKORESIDUE</v>
          </cell>
          <cell r="E662" t="str">
            <v>SPKORESIDUE</v>
          </cell>
          <cell r="G662">
            <v>632.43180000000007</v>
          </cell>
          <cell r="H662">
            <v>307.10000000000002</v>
          </cell>
          <cell r="P662">
            <v>654.52</v>
          </cell>
          <cell r="Q662">
            <v>462.32</v>
          </cell>
          <cell r="Y662">
            <v>667.56690000000003</v>
          </cell>
          <cell r="Z662">
            <v>462.32</v>
          </cell>
          <cell r="AI662">
            <v>462.32</v>
          </cell>
          <cell r="AR662">
            <v>462.32</v>
          </cell>
          <cell r="AZ662">
            <v>552.5793000000001</v>
          </cell>
          <cell r="BA662">
            <v>462.32</v>
          </cell>
          <cell r="BI662">
            <v>560.03219999999999</v>
          </cell>
          <cell r="BJ662">
            <v>462.32</v>
          </cell>
          <cell r="BR662">
            <v>506.79720000000003</v>
          </cell>
          <cell r="BS662">
            <v>462.32</v>
          </cell>
          <cell r="CA662">
            <v>374.77440000000001</v>
          </cell>
          <cell r="CB662">
            <v>462.32</v>
          </cell>
          <cell r="CJ662">
            <v>319.41000000000003</v>
          </cell>
          <cell r="CK662">
            <v>462.32</v>
          </cell>
          <cell r="CS662">
            <v>349.22159999999997</v>
          </cell>
          <cell r="CT662">
            <v>462.32</v>
          </cell>
          <cell r="DB662">
            <v>353.48040000000003</v>
          </cell>
          <cell r="DC662">
            <v>462.32</v>
          </cell>
          <cell r="DK662">
            <v>317.28059999999999</v>
          </cell>
          <cell r="DL662">
            <v>462.32</v>
          </cell>
          <cell r="DS662">
            <v>5.16317</v>
          </cell>
          <cell r="DT662">
            <v>270.43379999999996</v>
          </cell>
          <cell r="DU662">
            <v>462.32</v>
          </cell>
          <cell r="ED662">
            <v>462.32</v>
          </cell>
          <cell r="EL662">
            <v>100.0818</v>
          </cell>
        </row>
        <row r="663">
          <cell r="A663">
            <v>50</v>
          </cell>
          <cell r="B663" t="str">
            <v>IPRM</v>
          </cell>
          <cell r="C663" t="str">
            <v>SM</v>
          </cell>
          <cell r="D663" t="str">
            <v>DPKORESIDUE</v>
          </cell>
          <cell r="E663" t="str">
            <v>DPKORESIDUE</v>
          </cell>
          <cell r="BZ663">
            <v>7.9575699999999996</v>
          </cell>
          <cell r="CA663">
            <v>110.866</v>
          </cell>
          <cell r="EB663">
            <v>11.305</v>
          </cell>
        </row>
        <row r="664">
          <cell r="A664">
            <v>51</v>
          </cell>
          <cell r="B664" t="str">
            <v>IPRM</v>
          </cell>
          <cell r="C664" t="str">
            <v>FM</v>
          </cell>
          <cell r="D664" t="str">
            <v>SPFAD+DPKORESIDUE-DSB FEED</v>
          </cell>
          <cell r="E664" t="str">
            <v>SPFAD+DPKORESIDUE-DSB FEED</v>
          </cell>
          <cell r="F664">
            <v>508.72500000000002</v>
          </cell>
          <cell r="I664">
            <v>18.3</v>
          </cell>
          <cell r="O664">
            <v>482.22</v>
          </cell>
          <cell r="R664">
            <v>18.3</v>
          </cell>
          <cell r="Z664">
            <v>124.74</v>
          </cell>
          <cell r="AI664">
            <v>124.74</v>
          </cell>
          <cell r="AQ664">
            <v>617.69000000000005</v>
          </cell>
          <cell r="AT664">
            <v>367.71499999999997</v>
          </cell>
          <cell r="AZ664">
            <v>512.21339999999998</v>
          </cell>
          <cell r="BA664">
            <v>258.79000000000002</v>
          </cell>
          <cell r="BB664">
            <v>49.3</v>
          </cell>
          <cell r="BI664">
            <v>448.34580000000005</v>
          </cell>
          <cell r="BJ664">
            <v>5.93</v>
          </cell>
          <cell r="BK664">
            <v>60.3</v>
          </cell>
          <cell r="BL664">
            <v>132.51</v>
          </cell>
          <cell r="BR664">
            <v>519.02100000000007</v>
          </cell>
          <cell r="BS664">
            <v>5.93</v>
          </cell>
          <cell r="BT664">
            <v>60.3</v>
          </cell>
          <cell r="BU664">
            <v>233.63200000000001</v>
          </cell>
          <cell r="BZ664">
            <v>44.304000000000002</v>
          </cell>
          <cell r="CA664">
            <v>401.96520000000004</v>
          </cell>
          <cell r="CC664">
            <v>204.6</v>
          </cell>
          <cell r="CD664">
            <v>322.452</v>
          </cell>
          <cell r="CG664">
            <v>38.15</v>
          </cell>
          <cell r="CJ664">
            <v>560.98440000000005</v>
          </cell>
          <cell r="CK664">
            <v>57.23</v>
          </cell>
          <cell r="CL664">
            <v>341.6</v>
          </cell>
          <cell r="CM664">
            <v>287.358</v>
          </cell>
          <cell r="CP664">
            <v>254.39</v>
          </cell>
          <cell r="CS664">
            <v>437.30280000000005</v>
          </cell>
          <cell r="CT664">
            <v>100.97</v>
          </cell>
          <cell r="CU664">
            <v>354.4</v>
          </cell>
          <cell r="DB664">
            <v>309.20400000000001</v>
          </cell>
          <cell r="DC664">
            <v>57.23</v>
          </cell>
          <cell r="DD664">
            <v>361.7</v>
          </cell>
          <cell r="DK664">
            <v>192.1482</v>
          </cell>
          <cell r="DM664">
            <v>221.1</v>
          </cell>
          <cell r="DN664">
            <v>243.291</v>
          </cell>
          <cell r="DQ664">
            <v>84.51</v>
          </cell>
          <cell r="DT664">
            <v>613.99080000000004</v>
          </cell>
          <cell r="DU664">
            <v>14.47</v>
          </cell>
          <cell r="EC664">
            <v>294.84810000000004</v>
          </cell>
          <cell r="ED664">
            <v>14.47</v>
          </cell>
          <cell r="EL664">
            <v>618.40800000000002</v>
          </cell>
          <cell r="EM664">
            <v>190.7</v>
          </cell>
          <cell r="EN664">
            <v>465.4</v>
          </cell>
        </row>
        <row r="665">
          <cell r="A665">
            <v>52</v>
          </cell>
          <cell r="B665" t="str">
            <v>IPRM</v>
          </cell>
          <cell r="C665" t="str">
            <v>FM</v>
          </cell>
          <cell r="D665" t="str">
            <v>SRBDPS/CPS+SCPO-JBS FEED</v>
          </cell>
          <cell r="E665" t="str">
            <v>SRBDPS/CPS+SCPO-JBS FEED</v>
          </cell>
          <cell r="AS665">
            <v>138</v>
          </cell>
          <cell r="BT665">
            <v>231.8</v>
          </cell>
          <cell r="CU665">
            <v>172.9</v>
          </cell>
          <cell r="CY665">
            <v>15.8</v>
          </cell>
        </row>
        <row r="666">
          <cell r="A666">
            <v>53</v>
          </cell>
          <cell r="B666" t="str">
            <v>IPRM</v>
          </cell>
          <cell r="C666" t="str">
            <v>FM</v>
          </cell>
          <cell r="D666" t="str">
            <v>SRBDPS/CPS+B/PPKO-JBS FEED</v>
          </cell>
          <cell r="E666" t="str">
            <v>SRBDPS/CPS+B/PPKO-JBS FEED</v>
          </cell>
          <cell r="Y666">
            <v>667.27200000000005</v>
          </cell>
          <cell r="AH666">
            <v>277.18</v>
          </cell>
          <cell r="AQ666">
            <v>312.51690000000002</v>
          </cell>
          <cell r="AR666">
            <v>124.74</v>
          </cell>
          <cell r="AW666">
            <v>139.06</v>
          </cell>
          <cell r="AZ666">
            <v>412.07</v>
          </cell>
          <cell r="BB666">
            <v>160</v>
          </cell>
          <cell r="BK666">
            <v>189.5</v>
          </cell>
          <cell r="CJ666">
            <v>482.08320000000003</v>
          </cell>
          <cell r="DS666">
            <v>367.65</v>
          </cell>
          <cell r="DT666">
            <v>3.7659999999999996</v>
          </cell>
        </row>
        <row r="667">
          <cell r="A667">
            <v>54</v>
          </cell>
          <cell r="B667" t="str">
            <v>IPRM</v>
          </cell>
          <cell r="C667" t="str">
            <v>FM</v>
          </cell>
          <cell r="D667" t="str">
            <v>SPFAD&gt;C16(C16@15-25%)</v>
          </cell>
          <cell r="E667" t="str">
            <v>D B/P&gt;C16 FOR ALC</v>
          </cell>
        </row>
        <row r="668">
          <cell r="A668">
            <v>55</v>
          </cell>
          <cell r="B668" t="str">
            <v>IPRM</v>
          </cell>
          <cell r="C668" t="str">
            <v>FM</v>
          </cell>
          <cell r="D668" t="str">
            <v>SPFAD&gt;C16(C16@15-25%)</v>
          </cell>
          <cell r="E668" t="str">
            <v>B/P&gt;C16 FOR ALC</v>
          </cell>
        </row>
        <row r="669">
          <cell r="A669">
            <v>56</v>
          </cell>
          <cell r="B669" t="str">
            <v>IPRM</v>
          </cell>
          <cell r="C669" t="str">
            <v>SM</v>
          </cell>
          <cell r="D669" t="str">
            <v>MIX RESIDUE</v>
          </cell>
          <cell r="E669" t="str">
            <v>MIX RESIDUE</v>
          </cell>
          <cell r="F669">
            <v>3.43</v>
          </cell>
          <cell r="H669">
            <v>667.34</v>
          </cell>
          <cell r="I669">
            <v>100.8</v>
          </cell>
          <cell r="O669">
            <v>6.223367999999998</v>
          </cell>
          <cell r="Q669">
            <v>667.34</v>
          </cell>
          <cell r="R669">
            <v>109.1</v>
          </cell>
          <cell r="X669">
            <v>19.05</v>
          </cell>
          <cell r="Z669">
            <v>667.34</v>
          </cell>
          <cell r="AA669">
            <v>63.3</v>
          </cell>
          <cell r="AG669">
            <v>2.33</v>
          </cell>
          <cell r="AH669">
            <v>632.11176</v>
          </cell>
          <cell r="AI669">
            <v>516.88</v>
          </cell>
          <cell r="AJ669">
            <v>93.47999999999999</v>
          </cell>
          <cell r="AP669">
            <v>21.658999999999999</v>
          </cell>
          <cell r="AQ669">
            <v>611.88426000000004</v>
          </cell>
          <cell r="AR669">
            <v>516.88</v>
          </cell>
          <cell r="AS669">
            <v>4.2</v>
          </cell>
          <cell r="AZ669">
            <v>399.56796000000003</v>
          </cell>
          <cell r="BA669">
            <v>1033.46</v>
          </cell>
          <cell r="BB669">
            <v>62.5</v>
          </cell>
          <cell r="BI669">
            <v>592.22285999999997</v>
          </cell>
          <cell r="BJ669">
            <v>516.58000000000004</v>
          </cell>
          <cell r="BK669">
            <v>26.6</v>
          </cell>
          <cell r="BO669">
            <v>15</v>
          </cell>
          <cell r="BR669">
            <v>306.21096</v>
          </cell>
          <cell r="BS669">
            <v>516.58000000000004</v>
          </cell>
          <cell r="BT669">
            <v>1.7</v>
          </cell>
          <cell r="BZ669">
            <v>4.2960000000000003</v>
          </cell>
          <cell r="CA669">
            <v>530.26775999999995</v>
          </cell>
          <cell r="CC669">
            <v>45</v>
          </cell>
          <cell r="CI669">
            <v>0.35799999999999998</v>
          </cell>
          <cell r="CL669">
            <v>43.3</v>
          </cell>
          <cell r="CR669">
            <v>7.5179999999999989</v>
          </cell>
          <cell r="CT669">
            <v>81.73</v>
          </cell>
          <cell r="CU669">
            <v>3.3</v>
          </cell>
          <cell r="CY669">
            <v>33.880000000000003</v>
          </cell>
          <cell r="DC669">
            <v>156.08000000000001</v>
          </cell>
          <cell r="DD669">
            <v>46.6</v>
          </cell>
          <cell r="DJ669">
            <v>13.25</v>
          </cell>
          <cell r="DL669">
            <v>249.3</v>
          </cell>
          <cell r="DM669">
            <v>39.1</v>
          </cell>
          <cell r="DS669">
            <v>21.3</v>
          </cell>
          <cell r="DU669">
            <v>449.91</v>
          </cell>
          <cell r="DV669">
            <v>20.8</v>
          </cell>
          <cell r="EB669">
            <v>3.2219999999999995</v>
          </cell>
          <cell r="ED669">
            <v>493.72</v>
          </cell>
          <cell r="EE669">
            <v>10.8</v>
          </cell>
          <cell r="EM669">
            <v>493.72</v>
          </cell>
          <cell r="EN669">
            <v>33.299999999999997</v>
          </cell>
        </row>
        <row r="670">
          <cell r="A670">
            <v>57</v>
          </cell>
          <cell r="B670" t="str">
            <v>IPRM</v>
          </cell>
          <cell r="C670" t="str">
            <v>SM</v>
          </cell>
          <cell r="D670" t="str">
            <v>SMIX RESIDUE</v>
          </cell>
          <cell r="E670" t="str">
            <v>SMIX RESIDUE</v>
          </cell>
          <cell r="G670">
            <v>548.32050000000004</v>
          </cell>
          <cell r="H670">
            <v>995.76</v>
          </cell>
          <cell r="P670">
            <v>294.92190000000005</v>
          </cell>
          <cell r="Q670">
            <v>995.76</v>
          </cell>
          <cell r="Y670">
            <v>292.79250000000002</v>
          </cell>
          <cell r="Z670">
            <v>494.21</v>
          </cell>
          <cell r="AA670">
            <v>253.1</v>
          </cell>
          <cell r="AH670">
            <v>300.24540000000002</v>
          </cell>
          <cell r="AI670">
            <v>494.21</v>
          </cell>
          <cell r="AQ670">
            <v>370.51559999999995</v>
          </cell>
          <cell r="AR670">
            <v>295.36</v>
          </cell>
          <cell r="AZ670">
            <v>501.47370000000001</v>
          </cell>
          <cell r="BA670">
            <v>295.36</v>
          </cell>
          <cell r="BI670">
            <v>496.15019999999998</v>
          </cell>
          <cell r="BJ670">
            <v>295.36</v>
          </cell>
          <cell r="BR670">
            <v>502.53840000000002</v>
          </cell>
          <cell r="BS670">
            <v>295.36</v>
          </cell>
          <cell r="CA670">
            <v>198.0342</v>
          </cell>
          <cell r="CB670">
            <v>295.36</v>
          </cell>
          <cell r="CJ670">
            <v>9.5823</v>
          </cell>
          <cell r="CS670">
            <v>217.19879999999998</v>
          </cell>
        </row>
        <row r="671">
          <cell r="A671">
            <v>58</v>
          </cell>
          <cell r="B671" t="str">
            <v>IPRM</v>
          </cell>
          <cell r="C671" t="str">
            <v>FM</v>
          </cell>
          <cell r="D671" t="str">
            <v>DMIX RESIDUE</v>
          </cell>
          <cell r="E671" t="str">
            <v>DMIX RESIDUE</v>
          </cell>
          <cell r="F671">
            <v>24.945</v>
          </cell>
          <cell r="I671">
            <v>102.5</v>
          </cell>
          <cell r="O671">
            <v>32.909999999999997</v>
          </cell>
          <cell r="X671">
            <v>9.4350000000000005</v>
          </cell>
          <cell r="AA671">
            <v>66.7</v>
          </cell>
          <cell r="AG671">
            <v>22.704999999999998</v>
          </cell>
          <cell r="AP671">
            <v>3.33</v>
          </cell>
          <cell r="AQ671">
            <v>11.416</v>
          </cell>
          <cell r="AS671">
            <v>54.9</v>
          </cell>
          <cell r="AY671">
            <v>5.2495000000000003</v>
          </cell>
          <cell r="BH671">
            <v>19.670000000000002</v>
          </cell>
          <cell r="BQ671">
            <v>20.47</v>
          </cell>
          <cell r="BR671">
            <v>142.31599999999997</v>
          </cell>
          <cell r="BZ671">
            <v>45.69</v>
          </cell>
          <cell r="CA671">
            <v>254.09100000000001</v>
          </cell>
          <cell r="CI671">
            <v>41.39</v>
          </cell>
          <cell r="CJ671">
            <v>822.5</v>
          </cell>
          <cell r="CL671">
            <v>260.7</v>
          </cell>
          <cell r="CR671">
            <v>33.880000000000003</v>
          </cell>
          <cell r="CS671">
            <v>762.5</v>
          </cell>
          <cell r="CU671">
            <v>260.7</v>
          </cell>
          <cell r="DA671">
            <v>25.62</v>
          </cell>
          <cell r="DB671">
            <v>722.5</v>
          </cell>
          <cell r="DD671">
            <v>260.7</v>
          </cell>
          <cell r="DJ671">
            <v>38.1</v>
          </cell>
          <cell r="DK671">
            <v>658.75</v>
          </cell>
          <cell r="DM671">
            <v>260.7</v>
          </cell>
          <cell r="DT671">
            <v>598.60500000000002</v>
          </cell>
          <cell r="DV671">
            <v>260.7</v>
          </cell>
          <cell r="EB671">
            <v>7.0650000000000004</v>
          </cell>
          <cell r="EC671">
            <v>975</v>
          </cell>
          <cell r="EE671">
            <v>260.7</v>
          </cell>
          <cell r="EK671">
            <v>5.2495000000000003</v>
          </cell>
          <cell r="EL671">
            <v>370</v>
          </cell>
          <cell r="EN671">
            <v>260.7</v>
          </cell>
        </row>
        <row r="672">
          <cell r="A672">
            <v>59</v>
          </cell>
          <cell r="B672" t="str">
            <v>IPRM</v>
          </cell>
          <cell r="C672" t="str">
            <v>FM</v>
          </cell>
          <cell r="D672" t="str">
            <v>HYD D RFA</v>
          </cell>
          <cell r="E672" t="str">
            <v>HYD D RFA</v>
          </cell>
          <cell r="I672">
            <v>1.9</v>
          </cell>
          <cell r="R672">
            <v>1.9</v>
          </cell>
          <cell r="AA672">
            <v>47</v>
          </cell>
          <cell r="AJ672">
            <v>109</v>
          </cell>
          <cell r="AS672">
            <v>146.19999999999999</v>
          </cell>
          <cell r="BB672">
            <v>173.2</v>
          </cell>
          <cell r="BK672">
            <v>12</v>
          </cell>
          <cell r="BT672">
            <v>12</v>
          </cell>
        </row>
        <row r="673">
          <cell r="A673">
            <v>60</v>
          </cell>
          <cell r="B673" t="str">
            <v>IPRM</v>
          </cell>
          <cell r="C673" t="str">
            <v>FM</v>
          </cell>
          <cell r="D673" t="str">
            <v>B/P SMUSTARD&gt;C18</v>
          </cell>
          <cell r="E673" t="str">
            <v>B/P SMUSTARD&gt;C18</v>
          </cell>
          <cell r="EE673">
            <v>345.8</v>
          </cell>
        </row>
        <row r="674">
          <cell r="A674">
            <v>61</v>
          </cell>
          <cell r="B674" t="str">
            <v>IPRM</v>
          </cell>
          <cell r="C674" t="str">
            <v>FM</v>
          </cell>
          <cell r="D674" t="str">
            <v>B/P SMUSTARD&gt;C20</v>
          </cell>
          <cell r="E674" t="str">
            <v>B/P SMUSTARD&gt;C20</v>
          </cell>
          <cell r="G674">
            <v>120</v>
          </cell>
          <cell r="P674">
            <v>120</v>
          </cell>
          <cell r="Y674">
            <v>120</v>
          </cell>
          <cell r="AH674">
            <v>120</v>
          </cell>
          <cell r="AQ674">
            <v>120</v>
          </cell>
          <cell r="AZ674">
            <v>120</v>
          </cell>
          <cell r="BI674">
            <v>120</v>
          </cell>
          <cell r="BR674">
            <v>120</v>
          </cell>
          <cell r="CA674">
            <v>120</v>
          </cell>
          <cell r="CJ674">
            <v>120</v>
          </cell>
          <cell r="CS674">
            <v>120</v>
          </cell>
          <cell r="DB674">
            <v>120</v>
          </cell>
          <cell r="DK674">
            <v>120</v>
          </cell>
          <cell r="DT674">
            <v>120</v>
          </cell>
          <cell r="EC674">
            <v>120</v>
          </cell>
          <cell r="EL674">
            <v>120</v>
          </cell>
        </row>
        <row r="675">
          <cell r="A675">
            <v>62</v>
          </cell>
          <cell r="B675" t="str">
            <v>IPRM</v>
          </cell>
          <cell r="C675" t="str">
            <v>SM</v>
          </cell>
          <cell r="D675" t="str">
            <v>DFA C18+22(20@50%)</v>
          </cell>
          <cell r="E675" t="str">
            <v>DFA C18+22(20@50%)</v>
          </cell>
        </row>
        <row r="676">
          <cell r="A676">
            <v>63</v>
          </cell>
          <cell r="B676" t="str">
            <v>IPRM</v>
          </cell>
          <cell r="C676" t="str">
            <v>NM</v>
          </cell>
          <cell r="D676" t="str">
            <v>MUSTARD RESIDUE</v>
          </cell>
          <cell r="E676" t="str">
            <v>MUSTARD RESIDUE</v>
          </cell>
          <cell r="F676">
            <v>40.130000000000003</v>
          </cell>
          <cell r="H676">
            <v>376.74</v>
          </cell>
          <cell r="O676">
            <v>40.130000000000003</v>
          </cell>
          <cell r="Q676">
            <v>376.74</v>
          </cell>
          <cell r="R676">
            <v>11.7</v>
          </cell>
          <cell r="X676">
            <v>40.130000000000003</v>
          </cell>
          <cell r="Z676">
            <v>392.42</v>
          </cell>
          <cell r="AA676">
            <v>156.6</v>
          </cell>
          <cell r="AG676">
            <v>40.130000000000003</v>
          </cell>
          <cell r="AI676">
            <v>405.43</v>
          </cell>
          <cell r="AJ676">
            <v>156.55028571428571</v>
          </cell>
          <cell r="AP676">
            <v>40.130000000000003</v>
          </cell>
          <cell r="AR676">
            <v>405.43</v>
          </cell>
          <cell r="AY676">
            <v>43.39</v>
          </cell>
          <cell r="BA676">
            <v>500.37</v>
          </cell>
          <cell r="BB676">
            <v>54.1</v>
          </cell>
          <cell r="BH676">
            <v>43.39</v>
          </cell>
          <cell r="BJ676">
            <v>500.37</v>
          </cell>
          <cell r="BK676">
            <v>54.1</v>
          </cell>
          <cell r="BQ676">
            <v>43.39</v>
          </cell>
          <cell r="BS676">
            <v>500.37</v>
          </cell>
          <cell r="BZ676">
            <v>43.75</v>
          </cell>
          <cell r="CB676">
            <v>500.37</v>
          </cell>
          <cell r="CI676">
            <v>42.52</v>
          </cell>
          <cell r="CK676">
            <v>500.37</v>
          </cell>
          <cell r="CR676">
            <v>42.52</v>
          </cell>
          <cell r="CT676">
            <v>500.37</v>
          </cell>
          <cell r="CU676">
            <v>54.1</v>
          </cell>
          <cell r="DA676">
            <v>42.52</v>
          </cell>
          <cell r="DC676">
            <v>544.49</v>
          </cell>
          <cell r="DD676">
            <v>2.5</v>
          </cell>
          <cell r="DJ676">
            <v>42.52</v>
          </cell>
          <cell r="DL676">
            <v>560.66999999999996</v>
          </cell>
          <cell r="DM676">
            <v>2.5</v>
          </cell>
          <cell r="DS676">
            <v>42.52</v>
          </cell>
          <cell r="DU676">
            <v>560.66999999999996</v>
          </cell>
          <cell r="EB676">
            <v>43.25</v>
          </cell>
          <cell r="ED676">
            <v>560.66999999999996</v>
          </cell>
          <cell r="EK676">
            <v>48.61</v>
          </cell>
          <cell r="EM676">
            <v>589.66</v>
          </cell>
          <cell r="EQ676">
            <v>4.5</v>
          </cell>
        </row>
        <row r="677">
          <cell r="A677">
            <v>64</v>
          </cell>
          <cell r="B677" t="str">
            <v>IPRM</v>
          </cell>
          <cell r="C677" t="str">
            <v>NM</v>
          </cell>
          <cell r="D677" t="str">
            <v>SMUSTARD RESIDUE</v>
          </cell>
          <cell r="E677" t="str">
            <v>SMUSTARD RESIDUE</v>
          </cell>
          <cell r="H677">
            <v>1865.89</v>
          </cell>
          <cell r="Q677">
            <v>1865.89</v>
          </cell>
          <cell r="Z677">
            <v>1865.89</v>
          </cell>
          <cell r="AI677">
            <v>1865.8720000000001</v>
          </cell>
          <cell r="AR677">
            <v>1865.89</v>
          </cell>
          <cell r="BA677">
            <v>1865.89</v>
          </cell>
          <cell r="BJ677">
            <v>1865.89</v>
          </cell>
          <cell r="BS677">
            <v>1865.89</v>
          </cell>
          <cell r="CB677">
            <v>1865.89</v>
          </cell>
          <cell r="CK677">
            <v>1865.89</v>
          </cell>
          <cell r="CT677">
            <v>1662.2</v>
          </cell>
          <cell r="DB677">
            <v>667.56690000000003</v>
          </cell>
          <cell r="DC677">
            <v>1216.57</v>
          </cell>
          <cell r="DK677">
            <v>664.3728000000001</v>
          </cell>
          <cell r="DL677">
            <v>1216.57</v>
          </cell>
          <cell r="DT677">
            <v>662.24340000000007</v>
          </cell>
          <cell r="DU677">
            <v>1216.57</v>
          </cell>
          <cell r="EC677">
            <v>662.24340000000007</v>
          </cell>
          <cell r="ED677">
            <v>1216.57</v>
          </cell>
          <cell r="EL677">
            <v>662.24340000000007</v>
          </cell>
          <cell r="EM677">
            <v>1216.57</v>
          </cell>
        </row>
        <row r="678">
          <cell r="A678">
            <v>65</v>
          </cell>
          <cell r="B678" t="str">
            <v>IPRM</v>
          </cell>
          <cell r="C678" t="str">
            <v>NM</v>
          </cell>
          <cell r="D678" t="str">
            <v>DMUSTARD RESIDUE</v>
          </cell>
          <cell r="E678" t="str">
            <v>DMUSTARD RESIDUE</v>
          </cell>
          <cell r="F678">
            <v>28.09</v>
          </cell>
          <cell r="O678">
            <v>149.66</v>
          </cell>
          <cell r="X678">
            <v>145.53</v>
          </cell>
          <cell r="AG678">
            <v>145.035</v>
          </cell>
          <cell r="AP678">
            <v>144.54</v>
          </cell>
          <cell r="AS678">
            <v>53.3</v>
          </cell>
          <cell r="AY678">
            <v>144.05000000000001</v>
          </cell>
          <cell r="BH678">
            <v>144.04499999999999</v>
          </cell>
          <cell r="BQ678">
            <v>139.095</v>
          </cell>
          <cell r="BT678">
            <v>54.1</v>
          </cell>
          <cell r="BZ678">
            <v>145.035</v>
          </cell>
          <cell r="CC678">
            <v>54.1</v>
          </cell>
          <cell r="CI678">
            <v>159.88499999999999</v>
          </cell>
          <cell r="CL678">
            <v>54.1</v>
          </cell>
          <cell r="CR678">
            <v>159.88499999999999</v>
          </cell>
          <cell r="DA678">
            <v>172.84</v>
          </cell>
          <cell r="DJ678">
            <v>183.48</v>
          </cell>
          <cell r="DS678">
            <v>180.77</v>
          </cell>
          <cell r="EB678">
            <v>180.77</v>
          </cell>
          <cell r="EK678">
            <v>225.29999999999998</v>
          </cell>
          <cell r="EN678">
            <v>29.2</v>
          </cell>
        </row>
        <row r="679">
          <cell r="A679">
            <v>66</v>
          </cell>
          <cell r="B679" t="str">
            <v>IPRM</v>
          </cell>
          <cell r="C679" t="str">
            <v>NM</v>
          </cell>
          <cell r="D679" t="str">
            <v>CONTAMINATED MUST</v>
          </cell>
          <cell r="E679" t="str">
            <v>CONTAMINATED MUST</v>
          </cell>
        </row>
        <row r="680">
          <cell r="A680">
            <v>67</v>
          </cell>
          <cell r="B680" t="str">
            <v>IPRM</v>
          </cell>
          <cell r="C680" t="str">
            <v>NM</v>
          </cell>
          <cell r="D680" t="str">
            <v>HYD SPFAD</v>
          </cell>
          <cell r="E680" t="str">
            <v>HYD SPFAD</v>
          </cell>
          <cell r="F680">
            <v>59.707999999999991</v>
          </cell>
          <cell r="I680">
            <v>167</v>
          </cell>
          <cell r="O680">
            <v>84.134</v>
          </cell>
          <cell r="R680">
            <v>229.8</v>
          </cell>
          <cell r="X680">
            <v>115.94999999999999</v>
          </cell>
          <cell r="AA680">
            <v>412.6</v>
          </cell>
          <cell r="AG680">
            <v>226.61899999999997</v>
          </cell>
          <cell r="AJ680">
            <v>506.3</v>
          </cell>
          <cell r="AP680">
            <v>221.19099999999997</v>
          </cell>
          <cell r="AS680">
            <v>164.5</v>
          </cell>
          <cell r="AY680">
            <v>208.97799999999998</v>
          </cell>
          <cell r="BB680">
            <v>338.6</v>
          </cell>
          <cell r="BH680">
            <v>299.89699999999999</v>
          </cell>
          <cell r="BK680">
            <v>656.2</v>
          </cell>
          <cell r="BQ680">
            <v>298.54000000000002</v>
          </cell>
          <cell r="BT680">
            <v>500.9</v>
          </cell>
          <cell r="BZ680">
            <v>62.42199999999999</v>
          </cell>
          <cell r="CC680">
            <v>409.6</v>
          </cell>
          <cell r="CR680">
            <v>21</v>
          </cell>
          <cell r="DA680">
            <v>64.349999999999994</v>
          </cell>
          <cell r="DJ680">
            <v>162.36000000000001</v>
          </cell>
          <cell r="EB680">
            <v>21</v>
          </cell>
          <cell r="EN680">
            <v>207.3</v>
          </cell>
        </row>
        <row r="681">
          <cell r="A681">
            <v>68</v>
          </cell>
          <cell r="B681" t="str">
            <v>IPRM</v>
          </cell>
          <cell r="C681" t="str">
            <v>NM</v>
          </cell>
          <cell r="D681" t="str">
            <v>C16 RICH (FOR SB)</v>
          </cell>
          <cell r="E681" t="str">
            <v>C16 RICH (FOR SB)</v>
          </cell>
          <cell r="BQ681">
            <v>74.256</v>
          </cell>
          <cell r="EC681">
            <v>149.0652</v>
          </cell>
          <cell r="EL681">
            <v>364.73399999999998</v>
          </cell>
        </row>
        <row r="682">
          <cell r="A682">
            <v>69</v>
          </cell>
          <cell r="B682" t="str">
            <v>IPRM</v>
          </cell>
          <cell r="C682" t="str">
            <v>NM</v>
          </cell>
          <cell r="D682" t="str">
            <v>B/P PFAD (FOR C16/C18)</v>
          </cell>
          <cell r="E682" t="str">
            <v>B/P PFAD (FOR C16/C18)</v>
          </cell>
          <cell r="CR682">
            <v>124.18</v>
          </cell>
          <cell r="DA682">
            <v>36.192</v>
          </cell>
          <cell r="DB682">
            <v>348.87599999999998</v>
          </cell>
          <cell r="DJ682">
            <v>24.335999999999999</v>
          </cell>
          <cell r="DK682">
            <v>503.49150000000003</v>
          </cell>
        </row>
        <row r="683">
          <cell r="A683">
            <v>70</v>
          </cell>
          <cell r="B683" t="str">
            <v>IPRM</v>
          </cell>
          <cell r="C683" t="str">
            <v>NM</v>
          </cell>
          <cell r="D683" t="str">
            <v>DFA C8&gt;90%</v>
          </cell>
          <cell r="E683" t="str">
            <v>DFA C8&gt;90%</v>
          </cell>
        </row>
        <row r="684">
          <cell r="A684">
            <v>71</v>
          </cell>
          <cell r="B684" t="str">
            <v>IPRM</v>
          </cell>
          <cell r="C684" t="str">
            <v>NM</v>
          </cell>
          <cell r="D684" t="str">
            <v>FEED FOR DTP-CT</v>
          </cell>
          <cell r="E684" t="str">
            <v>FEED FOR DTP-CT</v>
          </cell>
          <cell r="BH684">
            <v>7</v>
          </cell>
          <cell r="BQ684">
            <v>65.7</v>
          </cell>
          <cell r="EK684">
            <v>49.57</v>
          </cell>
        </row>
        <row r="685">
          <cell r="A685">
            <v>72</v>
          </cell>
          <cell r="B685" t="str">
            <v>IPRM</v>
          </cell>
          <cell r="C685" t="str">
            <v>NM</v>
          </cell>
          <cell r="D685" t="str">
            <v>C16 RICH FROM PFAD</v>
          </cell>
          <cell r="E685" t="str">
            <v>C16 RICH FROM PFAD</v>
          </cell>
          <cell r="G685">
            <v>507.45600000000007</v>
          </cell>
          <cell r="P685">
            <v>505.87020000000001</v>
          </cell>
          <cell r="Y685">
            <v>504.28440000000001</v>
          </cell>
          <cell r="AH685">
            <v>524.89980000000003</v>
          </cell>
          <cell r="AQ685">
            <v>531.24300000000005</v>
          </cell>
          <cell r="AY685">
            <v>86.111999999999995</v>
          </cell>
          <cell r="AZ685">
            <v>220.42620000000002</v>
          </cell>
        </row>
        <row r="686">
          <cell r="A686">
            <v>73</v>
          </cell>
          <cell r="B686" t="str">
            <v>IPRM</v>
          </cell>
          <cell r="C686" t="str">
            <v>NM</v>
          </cell>
          <cell r="D686" t="str">
            <v>FEED FOR P-12</v>
          </cell>
          <cell r="E686" t="str">
            <v>FEED FOR P-12</v>
          </cell>
          <cell r="G686">
            <v>12.58</v>
          </cell>
          <cell r="I686">
            <v>8.1</v>
          </cell>
          <cell r="AQ686">
            <v>273.08</v>
          </cell>
          <cell r="AY686">
            <v>230.39</v>
          </cell>
          <cell r="AZ686">
            <v>2.8050000000000002</v>
          </cell>
        </row>
        <row r="687">
          <cell r="A687">
            <v>74</v>
          </cell>
          <cell r="B687" t="str">
            <v>IPRM</v>
          </cell>
          <cell r="C687" t="str">
            <v>NM</v>
          </cell>
          <cell r="D687" t="str">
            <v>HYD P-12</v>
          </cell>
          <cell r="E687" t="str">
            <v>HYD P-12</v>
          </cell>
          <cell r="I687">
            <v>64.5</v>
          </cell>
        </row>
        <row r="688">
          <cell r="A688">
            <v>75</v>
          </cell>
          <cell r="B688" t="str">
            <v>IPRM</v>
          </cell>
          <cell r="C688" t="str">
            <v>NM</v>
          </cell>
          <cell r="D688" t="str">
            <v>D HYD P-12</v>
          </cell>
          <cell r="E688" t="str">
            <v>D HYD P-12</v>
          </cell>
          <cell r="I688">
            <v>80.8</v>
          </cell>
        </row>
        <row r="689">
          <cell r="A689">
            <v>76</v>
          </cell>
          <cell r="B689" t="str">
            <v>IPRM</v>
          </cell>
          <cell r="C689" t="str">
            <v>NM</v>
          </cell>
          <cell r="D689" t="str">
            <v>DFA C16/18  FOR TRANSLUCENT</v>
          </cell>
          <cell r="E689" t="str">
            <v>DFA C16/18  FOR TRANSLUCENT</v>
          </cell>
          <cell r="Y689">
            <v>258.59000000000003</v>
          </cell>
          <cell r="CA689">
            <v>417.85830000000004</v>
          </cell>
          <cell r="CJ689">
            <v>451.45859999999999</v>
          </cell>
          <cell r="CS689">
            <v>337.2</v>
          </cell>
          <cell r="DB689">
            <v>341.22</v>
          </cell>
          <cell r="DK689">
            <v>291.78719999999998</v>
          </cell>
          <cell r="DT689">
            <v>290.99430000000007</v>
          </cell>
          <cell r="EC689">
            <v>290.20140000000004</v>
          </cell>
          <cell r="EL689">
            <v>285.44400000000002</v>
          </cell>
        </row>
        <row r="690">
          <cell r="A690">
            <v>77</v>
          </cell>
          <cell r="B690" t="str">
            <v>IPRM</v>
          </cell>
          <cell r="C690" t="str">
            <v>NM</v>
          </cell>
          <cell r="D690" t="str">
            <v>GLY RES</v>
          </cell>
          <cell r="E690" t="str">
            <v>GLY RES</v>
          </cell>
          <cell r="AP690">
            <v>14</v>
          </cell>
          <cell r="AY690">
            <v>12.38</v>
          </cell>
          <cell r="BH690">
            <v>23</v>
          </cell>
          <cell r="BQ690">
            <v>26.25</v>
          </cell>
          <cell r="BZ690">
            <v>29.75</v>
          </cell>
          <cell r="CR690">
            <v>2.6</v>
          </cell>
          <cell r="DA690">
            <v>10</v>
          </cell>
          <cell r="DJ690">
            <v>28</v>
          </cell>
          <cell r="DS690">
            <v>29.75</v>
          </cell>
          <cell r="EB690">
            <v>34.125</v>
          </cell>
          <cell r="EK690">
            <v>31.5</v>
          </cell>
        </row>
        <row r="691">
          <cell r="A691">
            <v>78</v>
          </cell>
          <cell r="B691" t="str">
            <v>IPRM</v>
          </cell>
          <cell r="C691" t="str">
            <v>NM</v>
          </cell>
          <cell r="D691" t="str">
            <v>D B/P PKO</v>
          </cell>
          <cell r="E691" t="str">
            <v>D B/P PKO</v>
          </cell>
          <cell r="BI691">
            <v>140.61599999999999</v>
          </cell>
          <cell r="EK691">
            <v>20</v>
          </cell>
          <cell r="EL691">
            <v>125.63</v>
          </cell>
        </row>
        <row r="692">
          <cell r="A692">
            <v>79</v>
          </cell>
          <cell r="B692" t="str">
            <v>IPRM</v>
          </cell>
          <cell r="C692" t="str">
            <v>NM</v>
          </cell>
          <cell r="D692" t="str">
            <v>FOR NEEM SOAP</v>
          </cell>
          <cell r="E692" t="str">
            <v>FOR NEEM SOAP</v>
          </cell>
          <cell r="CG692">
            <v>44.06</v>
          </cell>
          <cell r="DW692">
            <v>31.8</v>
          </cell>
          <cell r="EF692">
            <v>32.1</v>
          </cell>
          <cell r="EO692">
            <v>31.86</v>
          </cell>
        </row>
        <row r="693">
          <cell r="A693">
            <v>239</v>
          </cell>
          <cell r="B693" t="str">
            <v>IPRM</v>
          </cell>
          <cell r="C693" t="str">
            <v>NM</v>
          </cell>
          <cell r="D693" t="str">
            <v>FEED FOR ITC</v>
          </cell>
          <cell r="E693" t="str">
            <v>FEED FOR ITC</v>
          </cell>
        </row>
        <row r="694">
          <cell r="A694">
            <v>240</v>
          </cell>
          <cell r="B694" t="str">
            <v>IPRM</v>
          </cell>
          <cell r="C694" t="str">
            <v>NM</v>
          </cell>
          <cell r="D694" t="str">
            <v>MUSTARD-MCT</v>
          </cell>
          <cell r="E694" t="str">
            <v>MUSTARD-MCT</v>
          </cell>
        </row>
        <row r="695">
          <cell r="A695">
            <v>242</v>
          </cell>
          <cell r="B695" t="str">
            <v>IPRM</v>
          </cell>
          <cell r="C695" t="str">
            <v>NM</v>
          </cell>
          <cell r="D695" t="str">
            <v>HYD STEARIC-90</v>
          </cell>
          <cell r="E695" t="str">
            <v>HYD STEARIC-90</v>
          </cell>
        </row>
        <row r="696">
          <cell r="D696" t="str">
            <v>IPRM TOTAL</v>
          </cell>
          <cell r="F696">
            <v>767.96050000000002</v>
          </cell>
          <cell r="G696">
            <v>4649.6953599999997</v>
          </cell>
          <cell r="H696">
            <v>4932.1100000000006</v>
          </cell>
          <cell r="I696">
            <v>686.1</v>
          </cell>
          <cell r="J696">
            <v>0</v>
          </cell>
          <cell r="K696">
            <v>0</v>
          </cell>
          <cell r="L696">
            <v>0</v>
          </cell>
          <cell r="M696">
            <v>14.5</v>
          </cell>
          <cell r="O696">
            <v>891.63586800000007</v>
          </cell>
          <cell r="P696">
            <v>4371.2445600000001</v>
          </cell>
          <cell r="Q696">
            <v>5087.33</v>
          </cell>
          <cell r="R696">
            <v>733.19999999999993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341.00200000000001</v>
          </cell>
          <cell r="Y696">
            <v>6009.9469000000008</v>
          </cell>
          <cell r="Z696">
            <v>4726.2</v>
          </cell>
          <cell r="AA696">
            <v>1238.5</v>
          </cell>
          <cell r="AB696">
            <v>0</v>
          </cell>
          <cell r="AC696">
            <v>0</v>
          </cell>
          <cell r="AD696">
            <v>0</v>
          </cell>
          <cell r="AE696">
            <v>14.67</v>
          </cell>
          <cell r="AF696">
            <v>0</v>
          </cell>
          <cell r="AG696">
            <v>619.27</v>
          </cell>
          <cell r="AH696">
            <v>5611.5579600000001</v>
          </cell>
          <cell r="AI696">
            <v>4618.1620000000003</v>
          </cell>
          <cell r="AJ696">
            <v>1128.0522857142857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540.67149999999992</v>
          </cell>
          <cell r="AQ696">
            <v>6436.059659999999</v>
          </cell>
          <cell r="AR696">
            <v>4433.92</v>
          </cell>
          <cell r="AS696">
            <v>977</v>
          </cell>
          <cell r="AT696">
            <v>367.71499999999997</v>
          </cell>
          <cell r="AU696">
            <v>0</v>
          </cell>
          <cell r="AV696">
            <v>0</v>
          </cell>
          <cell r="AW696">
            <v>139.06</v>
          </cell>
          <cell r="AX696">
            <v>0</v>
          </cell>
          <cell r="AY696">
            <v>751.41649999999993</v>
          </cell>
          <cell r="AZ696">
            <v>6292.0118600000005</v>
          </cell>
          <cell r="BA696">
            <v>5189.01</v>
          </cell>
          <cell r="BB696">
            <v>1364.6</v>
          </cell>
          <cell r="BC696">
            <v>0</v>
          </cell>
          <cell r="BD696">
            <v>0</v>
          </cell>
          <cell r="BE696">
            <v>0</v>
          </cell>
          <cell r="BF696">
            <v>53.14</v>
          </cell>
          <cell r="BG696">
            <v>0</v>
          </cell>
          <cell r="BH696">
            <v>696.74599999999987</v>
          </cell>
          <cell r="BI696">
            <v>6202.2338599999994</v>
          </cell>
          <cell r="BJ696">
            <v>4419.2700000000004</v>
          </cell>
          <cell r="BK696">
            <v>1002.4000000000001</v>
          </cell>
          <cell r="BL696">
            <v>132.51</v>
          </cell>
          <cell r="BM696">
            <v>0</v>
          </cell>
          <cell r="BN696">
            <v>0</v>
          </cell>
          <cell r="BO696">
            <v>15</v>
          </cell>
          <cell r="BP696">
            <v>0</v>
          </cell>
          <cell r="BQ696">
            <v>741.66449999999998</v>
          </cell>
          <cell r="BR696">
            <v>5450.2794600000007</v>
          </cell>
          <cell r="BS696">
            <v>4463.84</v>
          </cell>
          <cell r="BT696">
            <v>962.09999999999991</v>
          </cell>
          <cell r="BU696">
            <v>233.63200000000001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418.36028799999991</v>
          </cell>
          <cell r="CA696">
            <v>5607.3752600000007</v>
          </cell>
          <cell r="CB696">
            <v>3966.74</v>
          </cell>
          <cell r="CC696">
            <v>828.6</v>
          </cell>
          <cell r="CD696">
            <v>322.452</v>
          </cell>
          <cell r="CE696">
            <v>0</v>
          </cell>
          <cell r="CF696">
            <v>0</v>
          </cell>
          <cell r="CG696">
            <v>82.210000000000008</v>
          </cell>
          <cell r="CH696">
            <v>0</v>
          </cell>
          <cell r="CI696">
            <v>421.1585</v>
          </cell>
          <cell r="CJ696">
            <v>5898.3409000000001</v>
          </cell>
          <cell r="CK696">
            <v>3663.8199999999997</v>
          </cell>
          <cell r="CL696">
            <v>969.9</v>
          </cell>
          <cell r="CM696">
            <v>287.358</v>
          </cell>
          <cell r="CN696">
            <v>0</v>
          </cell>
          <cell r="CO696">
            <v>0</v>
          </cell>
          <cell r="CP696">
            <v>254.39</v>
          </cell>
          <cell r="CQ696">
            <v>0</v>
          </cell>
          <cell r="CR696">
            <v>421.98367000000002</v>
          </cell>
          <cell r="CS696">
            <v>5779.6562000000004</v>
          </cell>
          <cell r="CT696">
            <v>3585.6000000000004</v>
          </cell>
          <cell r="CU696">
            <v>1056.1999999999998</v>
          </cell>
          <cell r="CV696">
            <v>0</v>
          </cell>
          <cell r="CW696">
            <v>0</v>
          </cell>
          <cell r="CX696">
            <v>0</v>
          </cell>
          <cell r="CY696">
            <v>100.02000000000001</v>
          </cell>
          <cell r="CZ696">
            <v>0</v>
          </cell>
          <cell r="DA696">
            <v>381.92267000000004</v>
          </cell>
          <cell r="DB696">
            <v>6147.6311599999999</v>
          </cell>
          <cell r="DC696">
            <v>3214.7</v>
          </cell>
          <cell r="DD696">
            <v>1472.8999999999999</v>
          </cell>
          <cell r="DE696">
            <v>0</v>
          </cell>
          <cell r="DF696">
            <v>0</v>
          </cell>
          <cell r="DG696">
            <v>0</v>
          </cell>
          <cell r="DH696">
            <v>49.78</v>
          </cell>
          <cell r="DI696">
            <v>0</v>
          </cell>
          <cell r="DJ696">
            <v>503.31150000000002</v>
          </cell>
          <cell r="DK696">
            <v>6617.7678599999999</v>
          </cell>
          <cell r="DL696">
            <v>3281.8599999999997</v>
          </cell>
          <cell r="DM696">
            <v>1267.1000000000001</v>
          </cell>
          <cell r="DN696">
            <v>243.291</v>
          </cell>
          <cell r="DO696">
            <v>0</v>
          </cell>
          <cell r="DP696">
            <v>0</v>
          </cell>
          <cell r="DQ696">
            <v>168.23000000000002</v>
          </cell>
          <cell r="DR696">
            <v>0</v>
          </cell>
          <cell r="DS696">
            <v>796.81066999999985</v>
          </cell>
          <cell r="DT696">
            <v>6402.4083600000004</v>
          </cell>
          <cell r="DU696">
            <v>3512.9399999999996</v>
          </cell>
          <cell r="DV696">
            <v>1170.5999999999999</v>
          </cell>
          <cell r="DW696">
            <v>31.8</v>
          </cell>
          <cell r="DX696">
            <v>0</v>
          </cell>
          <cell r="DY696">
            <v>0</v>
          </cell>
          <cell r="DZ696">
            <v>13.9</v>
          </cell>
          <cell r="EA696">
            <v>0</v>
          </cell>
          <cell r="EB696">
            <v>536.44950000000006</v>
          </cell>
          <cell r="EC696">
            <v>5894.3957000000009</v>
          </cell>
          <cell r="ED696">
            <v>3556.75</v>
          </cell>
          <cell r="EE696">
            <v>738.90000000000009</v>
          </cell>
          <cell r="EF696">
            <v>32.1</v>
          </cell>
          <cell r="EG696">
            <v>0</v>
          </cell>
          <cell r="EH696">
            <v>0</v>
          </cell>
          <cell r="EI696">
            <v>0</v>
          </cell>
          <cell r="EJ696">
            <v>0</v>
          </cell>
          <cell r="EK696">
            <v>492.17799999999994</v>
          </cell>
          <cell r="EL696">
            <v>6079.0820000000012</v>
          </cell>
          <cell r="EM696">
            <v>3252.7</v>
          </cell>
          <cell r="EN696">
            <v>1064.6999999999998</v>
          </cell>
          <cell r="EO696">
            <v>31.86</v>
          </cell>
          <cell r="EP696">
            <v>0</v>
          </cell>
          <cell r="EQ696">
            <v>4.5</v>
          </cell>
          <cell r="ER696">
            <v>0</v>
          </cell>
          <cell r="ES696">
            <v>0</v>
          </cell>
        </row>
        <row r="697">
          <cell r="A697" t="str">
            <v>FATTY ACID FINISHED PRODUCTS</v>
          </cell>
        </row>
        <row r="698">
          <cell r="A698">
            <v>80</v>
          </cell>
          <cell r="B698" t="str">
            <v>FG</v>
          </cell>
          <cell r="C698" t="str">
            <v>FM</v>
          </cell>
          <cell r="D698" t="str">
            <v>CPKO/MUSTO/MIX II RESIDUE</v>
          </cell>
          <cell r="E698" t="str">
            <v>PITCH</v>
          </cell>
          <cell r="F698">
            <v>46.147500000000001</v>
          </cell>
          <cell r="H698">
            <v>1281.8800000000001</v>
          </cell>
          <cell r="O698">
            <v>130.53149999999999</v>
          </cell>
          <cell r="Q698">
            <v>1282.1500000000001</v>
          </cell>
          <cell r="X698">
            <v>125.25749999999999</v>
          </cell>
          <cell r="Z698">
            <v>1227.94</v>
          </cell>
          <cell r="AG698">
            <v>225.46350000000001</v>
          </cell>
          <cell r="AI698">
            <v>1110.5400000000002</v>
          </cell>
          <cell r="AP698">
            <v>195.13800000000001</v>
          </cell>
          <cell r="AR698">
            <v>1238.8700000000001</v>
          </cell>
          <cell r="AY698">
            <v>141.0795</v>
          </cell>
          <cell r="BA698">
            <v>1175.8600000000001</v>
          </cell>
          <cell r="BH698">
            <v>104.1615</v>
          </cell>
          <cell r="BJ698">
            <v>1175.8600000000001</v>
          </cell>
          <cell r="BQ698">
            <v>139.761</v>
          </cell>
          <cell r="BS698">
            <v>1166.9100000000001</v>
          </cell>
          <cell r="BZ698">
            <v>142.398</v>
          </cell>
          <cell r="CB698">
            <v>1300.6100000000001</v>
          </cell>
          <cell r="CI698">
            <v>168.768</v>
          </cell>
          <cell r="CK698">
            <v>1429.91</v>
          </cell>
          <cell r="CR698">
            <v>163.494</v>
          </cell>
          <cell r="CT698">
            <v>1398.19</v>
          </cell>
          <cell r="DA698">
            <v>152.94999999999999</v>
          </cell>
          <cell r="DC698">
            <v>1382.78</v>
          </cell>
          <cell r="DJ698">
            <v>152.946</v>
          </cell>
          <cell r="DL698">
            <v>1381.27</v>
          </cell>
          <cell r="DS698">
            <v>152.946</v>
          </cell>
          <cell r="DU698">
            <v>1381.27</v>
          </cell>
          <cell r="EB698">
            <v>152.946</v>
          </cell>
          <cell r="ED698">
            <v>1381.27</v>
          </cell>
          <cell r="EK698">
            <v>151.6275</v>
          </cell>
          <cell r="EM698">
            <v>1381.27</v>
          </cell>
        </row>
        <row r="699">
          <cell r="A699">
            <v>81</v>
          </cell>
          <cell r="B699" t="str">
            <v>FG</v>
          </cell>
          <cell r="C699" t="str">
            <v>FM</v>
          </cell>
          <cell r="D699" t="str">
            <v>JBS(80:20)</v>
          </cell>
          <cell r="E699" t="str">
            <v>JBS(80:20)</v>
          </cell>
          <cell r="G699">
            <v>1.2159999999999997</v>
          </cell>
          <cell r="I699">
            <v>140.69999999999999</v>
          </cell>
          <cell r="M699">
            <v>30.07</v>
          </cell>
          <cell r="P699">
            <v>1.2159999999999997</v>
          </cell>
          <cell r="R699">
            <v>51.2</v>
          </cell>
          <cell r="AA699">
            <v>217.4</v>
          </cell>
          <cell r="AH699">
            <v>300.67599999999999</v>
          </cell>
          <cell r="AQ699">
            <v>84.090999999999994</v>
          </cell>
          <cell r="BB699">
            <v>51.2</v>
          </cell>
          <cell r="BK699">
            <v>24.299099999999999</v>
          </cell>
          <cell r="BT699">
            <v>121.5</v>
          </cell>
          <cell r="CC699">
            <v>236.6</v>
          </cell>
          <cell r="CL699">
            <v>102.3</v>
          </cell>
          <cell r="CU699">
            <v>249.4</v>
          </cell>
          <cell r="DD699">
            <v>454</v>
          </cell>
          <cell r="DM699">
            <v>319.7</v>
          </cell>
          <cell r="DV699">
            <v>185.4</v>
          </cell>
          <cell r="EE699">
            <v>236.6</v>
          </cell>
        </row>
        <row r="700">
          <cell r="A700">
            <v>82</v>
          </cell>
          <cell r="B700" t="str">
            <v>FG</v>
          </cell>
          <cell r="C700" t="str">
            <v>FM</v>
          </cell>
          <cell r="D700" t="str">
            <v>TRANSLUCENT</v>
          </cell>
          <cell r="E700" t="str">
            <v>TRANSLUCENT</v>
          </cell>
          <cell r="BT700">
            <v>243</v>
          </cell>
          <cell r="CY700">
            <v>67.650000000000006</v>
          </cell>
          <cell r="DK700">
            <v>45.415999999999997</v>
          </cell>
          <cell r="DM700">
            <v>189.9</v>
          </cell>
          <cell r="DW700">
            <v>51.5</v>
          </cell>
          <cell r="EF700">
            <v>51.58</v>
          </cell>
          <cell r="EO700">
            <v>51.58</v>
          </cell>
        </row>
        <row r="701">
          <cell r="A701">
            <v>83</v>
          </cell>
          <cell r="B701" t="str">
            <v>FG</v>
          </cell>
          <cell r="C701" t="str">
            <v>FM</v>
          </cell>
          <cell r="D701" t="str">
            <v>D.S.B</v>
          </cell>
          <cell r="E701" t="str">
            <v>DPFAD 70% + SDD PKO RES 30%</v>
          </cell>
          <cell r="G701">
            <v>73.75</v>
          </cell>
          <cell r="H701">
            <v>124.74</v>
          </cell>
          <cell r="I701">
            <v>982.2</v>
          </cell>
          <cell r="P701">
            <v>17.5</v>
          </cell>
          <cell r="Q701">
            <v>124.74</v>
          </cell>
          <cell r="R701">
            <v>871.5</v>
          </cell>
          <cell r="Y701">
            <v>210</v>
          </cell>
          <cell r="AA701">
            <v>436.1</v>
          </cell>
          <cell r="AH701">
            <v>140</v>
          </cell>
          <cell r="AJ701">
            <v>416.92140000000001</v>
          </cell>
          <cell r="AQ701">
            <v>15</v>
          </cell>
          <cell r="AS701">
            <v>199</v>
          </cell>
          <cell r="AZ701">
            <v>77.5</v>
          </cell>
          <cell r="BB701">
            <v>80.599999999999994</v>
          </cell>
          <cell r="BC701">
            <v>319.495</v>
          </cell>
          <cell r="BI701">
            <v>182.5</v>
          </cell>
          <cell r="BK701">
            <v>607.47749999999996</v>
          </cell>
          <cell r="BR701">
            <v>92.5</v>
          </cell>
          <cell r="CA701">
            <v>15</v>
          </cell>
          <cell r="CC701">
            <v>211</v>
          </cell>
          <cell r="CL701">
            <v>613.9</v>
          </cell>
          <cell r="CU701">
            <v>953.5</v>
          </cell>
          <cell r="CV701">
            <v>287.358</v>
          </cell>
          <cell r="DD701">
            <v>519.20000000000005</v>
          </cell>
          <cell r="DV701">
            <v>217.4</v>
          </cell>
          <cell r="EC701">
            <v>99.816000000000003</v>
          </cell>
          <cell r="EE701">
            <v>173.9</v>
          </cell>
          <cell r="EI701">
            <v>14.7</v>
          </cell>
          <cell r="EN701">
            <v>21.8</v>
          </cell>
        </row>
        <row r="702">
          <cell r="A702">
            <v>84</v>
          </cell>
          <cell r="B702" t="str">
            <v>FG</v>
          </cell>
          <cell r="C702" t="str">
            <v>FM</v>
          </cell>
          <cell r="D702" t="str">
            <v>JO BLEND</v>
          </cell>
          <cell r="E702" t="str">
            <v>JO BLEND</v>
          </cell>
          <cell r="J702">
            <v>212.22200000000001</v>
          </cell>
          <cell r="M702">
            <v>19.489999999999998</v>
          </cell>
          <cell r="S702">
            <v>226.65899999999999</v>
          </cell>
          <cell r="Y702">
            <v>66.835999999999999</v>
          </cell>
          <cell r="AB702">
            <v>287.04899999999998</v>
          </cell>
          <cell r="CS702">
            <v>195.86599999999999</v>
          </cell>
          <cell r="DB702">
            <v>203.88</v>
          </cell>
          <cell r="DE702">
            <v>260.392</v>
          </cell>
          <cell r="DK702">
            <v>289.31</v>
          </cell>
          <cell r="DW702">
            <v>196</v>
          </cell>
          <cell r="DZ702">
            <v>19.899999999999999</v>
          </cell>
          <cell r="EF702">
            <v>136.536</v>
          </cell>
          <cell r="EI702">
            <v>61.35</v>
          </cell>
          <cell r="EO702">
            <v>143.51</v>
          </cell>
        </row>
        <row r="703">
          <cell r="A703">
            <v>85</v>
          </cell>
          <cell r="B703" t="str">
            <v>FG</v>
          </cell>
          <cell r="C703" t="str">
            <v>FM</v>
          </cell>
          <cell r="D703" t="str">
            <v>ITC</v>
          </cell>
          <cell r="E703" t="str">
            <v>DPFAD 70% + DCPS 30%</v>
          </cell>
          <cell r="BI703">
            <v>260.07120000000003</v>
          </cell>
          <cell r="BR703">
            <v>180.78120000000001</v>
          </cell>
        </row>
        <row r="704">
          <cell r="A704">
            <v>86</v>
          </cell>
          <cell r="B704" t="str">
            <v>FG</v>
          </cell>
          <cell r="C704" t="str">
            <v>FM</v>
          </cell>
          <cell r="D704" t="str">
            <v>DDPKORESIDUEFA</v>
          </cell>
          <cell r="E704" t="str">
            <v>S DD PKO RES</v>
          </cell>
        </row>
        <row r="705">
          <cell r="A705">
            <v>87</v>
          </cell>
          <cell r="B705" t="str">
            <v>FG</v>
          </cell>
          <cell r="C705" t="str">
            <v>FM</v>
          </cell>
          <cell r="D705" t="str">
            <v>DRBDPS FOR P-12</v>
          </cell>
          <cell r="E705" t="str">
            <v>DRBDPS/CPS 65%+B/P PKO 35%</v>
          </cell>
        </row>
        <row r="706">
          <cell r="A706">
            <v>88</v>
          </cell>
          <cell r="B706" t="str">
            <v>FG</v>
          </cell>
          <cell r="C706" t="str">
            <v>FM</v>
          </cell>
          <cell r="D706" t="str">
            <v>DPKO</v>
          </cell>
          <cell r="E706" t="str">
            <v>D C12-C18</v>
          </cell>
          <cell r="G706">
            <v>152.51600000000002</v>
          </cell>
          <cell r="I706">
            <v>425.3</v>
          </cell>
          <cell r="P706">
            <v>163.82599999999999</v>
          </cell>
          <cell r="R706">
            <v>403</v>
          </cell>
          <cell r="Y706">
            <v>151.666</v>
          </cell>
          <cell r="AA706">
            <v>368.4</v>
          </cell>
          <cell r="AH706">
            <v>20.765999999999998</v>
          </cell>
          <cell r="AJ706">
            <v>319</v>
          </cell>
          <cell r="AQ706">
            <v>2.9159999999999995</v>
          </cell>
          <cell r="AS706">
            <v>224.2</v>
          </cell>
          <cell r="AZ706">
            <v>80.266000000000005</v>
          </cell>
          <cell r="BB706">
            <v>293.89999999999998</v>
          </cell>
          <cell r="BI706">
            <v>78.820999999999998</v>
          </cell>
          <cell r="BK706">
            <v>215.9</v>
          </cell>
          <cell r="BR706">
            <v>50.345999999999997</v>
          </cell>
          <cell r="BT706">
            <v>149.4</v>
          </cell>
          <cell r="CA706">
            <v>34.195999999999998</v>
          </cell>
          <cell r="CC706">
            <v>56.8</v>
          </cell>
          <cell r="CL706">
            <v>73.5</v>
          </cell>
          <cell r="CP706">
            <v>14</v>
          </cell>
          <cell r="DK706">
            <v>81.801000000000002</v>
          </cell>
          <cell r="DM706">
            <v>33.299999999999997</v>
          </cell>
          <cell r="DT706">
            <v>47.540999999999997</v>
          </cell>
          <cell r="DV706">
            <v>367.7</v>
          </cell>
          <cell r="EC706">
            <v>25.866</v>
          </cell>
          <cell r="EE706">
            <v>255.1</v>
          </cell>
          <cell r="EN706">
            <v>100.4</v>
          </cell>
        </row>
        <row r="707">
          <cell r="A707">
            <v>89</v>
          </cell>
          <cell r="B707" t="str">
            <v>FG</v>
          </cell>
          <cell r="C707" t="str">
            <v>FM</v>
          </cell>
          <cell r="D707" t="str">
            <v>DPFAD</v>
          </cell>
          <cell r="E707" t="str">
            <v>DPFAD</v>
          </cell>
          <cell r="G707">
            <v>23.315999999999999</v>
          </cell>
          <cell r="P707">
            <v>90.465999999999994</v>
          </cell>
          <cell r="AJ707">
            <v>447.61500000000001</v>
          </cell>
          <cell r="AS707">
            <v>518</v>
          </cell>
          <cell r="BB707">
            <v>6.4</v>
          </cell>
          <cell r="CC707">
            <v>410.5</v>
          </cell>
          <cell r="CL707">
            <v>365.1</v>
          </cell>
        </row>
        <row r="708">
          <cell r="A708">
            <v>258</v>
          </cell>
          <cell r="B708" t="str">
            <v>FG</v>
          </cell>
          <cell r="C708" t="str">
            <v>FM</v>
          </cell>
          <cell r="D708" t="str">
            <v>DRBDPS</v>
          </cell>
          <cell r="E708" t="str">
            <v>DRBDPS</v>
          </cell>
        </row>
        <row r="709">
          <cell r="A709">
            <v>90</v>
          </cell>
          <cell r="B709" t="str">
            <v>FG</v>
          </cell>
          <cell r="C709" t="str">
            <v>NM</v>
          </cell>
          <cell r="D709" t="str">
            <v>C6&gt;98%</v>
          </cell>
          <cell r="E709" t="str">
            <v>C6&gt;98%</v>
          </cell>
          <cell r="F709">
            <v>1.91</v>
          </cell>
          <cell r="O709">
            <v>1.907</v>
          </cell>
          <cell r="X709">
            <v>1.907</v>
          </cell>
          <cell r="AG709">
            <v>7.7119999999999997</v>
          </cell>
          <cell r="AP709">
            <v>42.542000000000002</v>
          </cell>
          <cell r="AY709">
            <v>43.187000000000005</v>
          </cell>
          <cell r="BH709">
            <v>18.032</v>
          </cell>
          <cell r="BQ709">
            <v>30.931999999999999</v>
          </cell>
          <cell r="BZ709">
            <v>1.262</v>
          </cell>
          <cell r="CI709">
            <v>27.061999999999998</v>
          </cell>
          <cell r="CR709">
            <v>18.032</v>
          </cell>
          <cell r="DA709">
            <v>18.032</v>
          </cell>
          <cell r="DJ709">
            <v>18.032</v>
          </cell>
          <cell r="DS709">
            <v>23.192</v>
          </cell>
          <cell r="EB709">
            <v>51.572000000000003</v>
          </cell>
          <cell r="EK709">
            <v>50.282000000000004</v>
          </cell>
        </row>
        <row r="710">
          <cell r="A710">
            <v>91</v>
          </cell>
          <cell r="B710" t="str">
            <v>FG</v>
          </cell>
          <cell r="C710" t="str">
            <v>FM</v>
          </cell>
          <cell r="D710" t="str">
            <v>C8&gt;98%</v>
          </cell>
          <cell r="E710" t="str">
            <v>C8&gt;98%</v>
          </cell>
          <cell r="F710">
            <v>207.41</v>
          </cell>
          <cell r="G710">
            <v>34.255000000000003</v>
          </cell>
          <cell r="O710">
            <v>207.9</v>
          </cell>
          <cell r="P710">
            <v>34.255000000000003</v>
          </cell>
          <cell r="X710">
            <v>132.16999999999999</v>
          </cell>
          <cell r="Y710">
            <v>33.83</v>
          </cell>
          <cell r="AG710">
            <v>146.52000000000001</v>
          </cell>
          <cell r="AH710">
            <v>32.130000000000003</v>
          </cell>
          <cell r="AP710">
            <v>159.38999999999999</v>
          </cell>
          <cell r="AQ710">
            <v>32.130000000000003</v>
          </cell>
          <cell r="AY710">
            <v>168.8</v>
          </cell>
          <cell r="AZ710">
            <v>33.83</v>
          </cell>
          <cell r="BH710">
            <v>153.44999999999999</v>
          </cell>
          <cell r="BI710">
            <v>33.83</v>
          </cell>
          <cell r="BQ710">
            <v>147.02000000000001</v>
          </cell>
          <cell r="BR710">
            <v>33.83</v>
          </cell>
          <cell r="BZ710">
            <v>124.74</v>
          </cell>
          <cell r="CA710">
            <v>33.83</v>
          </cell>
          <cell r="CI710">
            <v>186.12</v>
          </cell>
          <cell r="CJ710">
            <v>33.83</v>
          </cell>
          <cell r="CR710">
            <v>197.01</v>
          </cell>
          <cell r="CS710">
            <v>33.83</v>
          </cell>
          <cell r="DA710">
            <v>185.13</v>
          </cell>
          <cell r="DB710">
            <v>33.83</v>
          </cell>
          <cell r="DJ710">
            <v>67.319999999999993</v>
          </cell>
          <cell r="DK710">
            <v>33.83</v>
          </cell>
          <cell r="DS710">
            <v>51.98</v>
          </cell>
          <cell r="DT710">
            <v>33.83</v>
          </cell>
          <cell r="EB710">
            <v>159.88999999999999</v>
          </cell>
          <cell r="EC710">
            <v>33.83</v>
          </cell>
          <cell r="EK710">
            <v>145.53</v>
          </cell>
          <cell r="EL710">
            <v>33.83</v>
          </cell>
        </row>
        <row r="711">
          <cell r="A711">
            <v>92</v>
          </cell>
          <cell r="B711" t="str">
            <v>FG</v>
          </cell>
          <cell r="C711" t="str">
            <v>FM</v>
          </cell>
          <cell r="D711" t="str">
            <v>C10&gt;98%</v>
          </cell>
          <cell r="E711" t="str">
            <v>C10&gt;98%</v>
          </cell>
          <cell r="F711">
            <v>99.495000000000005</v>
          </cell>
          <cell r="O711">
            <v>98.504999999999995</v>
          </cell>
          <cell r="X711">
            <v>54.945</v>
          </cell>
          <cell r="AG711">
            <v>54.945</v>
          </cell>
          <cell r="AP711">
            <v>96.525000000000006</v>
          </cell>
          <cell r="AY711">
            <v>166.815</v>
          </cell>
          <cell r="BH711">
            <v>133.155</v>
          </cell>
          <cell r="BQ711">
            <v>124.74</v>
          </cell>
          <cell r="BZ711">
            <v>113.355</v>
          </cell>
          <cell r="CI711">
            <v>145.035</v>
          </cell>
          <cell r="CR711">
            <v>143.05500000000001</v>
          </cell>
          <cell r="DA711">
            <v>135.13999999999999</v>
          </cell>
          <cell r="DJ711">
            <v>118.30500000000001</v>
          </cell>
          <cell r="DS711">
            <v>111.375</v>
          </cell>
          <cell r="EB711">
            <v>147.01499999999999</v>
          </cell>
          <cell r="EK711">
            <v>167.80500000000001</v>
          </cell>
        </row>
        <row r="712">
          <cell r="A712">
            <v>93</v>
          </cell>
          <cell r="B712" t="str">
            <v>FG</v>
          </cell>
          <cell r="C712" t="str">
            <v>FM</v>
          </cell>
          <cell r="D712" t="str">
            <v>C8+C10&gt;98%</v>
          </cell>
          <cell r="E712" t="str">
            <v>C8+C10&gt;98%</v>
          </cell>
          <cell r="F712">
            <v>150.90025</v>
          </cell>
          <cell r="O712">
            <v>150.5686</v>
          </cell>
          <cell r="X712">
            <v>131.99619999999999</v>
          </cell>
          <cell r="AG712">
            <v>117.07195</v>
          </cell>
          <cell r="AP712">
            <v>165.49285</v>
          </cell>
          <cell r="AY712">
            <v>143.93560000000002</v>
          </cell>
          <cell r="BH712">
            <v>127.02145</v>
          </cell>
          <cell r="BQ712">
            <v>109.444</v>
          </cell>
          <cell r="BZ712">
            <v>49.0837</v>
          </cell>
          <cell r="CI712">
            <v>164.49789999999999</v>
          </cell>
          <cell r="CR712">
            <v>161.84469999999999</v>
          </cell>
          <cell r="DA712">
            <v>161.84469999999999</v>
          </cell>
          <cell r="DJ712">
            <v>144.59889999999999</v>
          </cell>
          <cell r="DS712">
            <v>111.43389999999999</v>
          </cell>
          <cell r="EB712">
            <v>131.3329</v>
          </cell>
          <cell r="EK712">
            <v>129.34299999999999</v>
          </cell>
        </row>
        <row r="713">
          <cell r="A713">
            <v>94</v>
          </cell>
          <cell r="B713" t="str">
            <v>FG</v>
          </cell>
          <cell r="C713" t="str">
            <v>FM</v>
          </cell>
          <cell r="D713" t="str">
            <v>C12&gt;99%</v>
          </cell>
          <cell r="E713" t="str">
            <v>C12&gt;99%</v>
          </cell>
          <cell r="I713">
            <v>494.8</v>
          </cell>
          <cell r="R713">
            <v>494.8</v>
          </cell>
          <cell r="AA713">
            <v>494.8</v>
          </cell>
          <cell r="AJ713">
            <v>494.80628571428571</v>
          </cell>
          <cell r="AS713">
            <v>494.8</v>
          </cell>
          <cell r="BB713">
            <v>494.8</v>
          </cell>
          <cell r="BK713">
            <v>494.80628571428571</v>
          </cell>
          <cell r="BT713">
            <v>494.8</v>
          </cell>
          <cell r="CC713">
            <v>494.8</v>
          </cell>
          <cell r="CL713">
            <v>494.8</v>
          </cell>
          <cell r="CU713">
            <v>494.8</v>
          </cell>
          <cell r="DD713">
            <v>494.8</v>
          </cell>
          <cell r="DM713">
            <v>494.8</v>
          </cell>
          <cell r="DV713">
            <v>494.8</v>
          </cell>
          <cell r="EE713">
            <v>465.4</v>
          </cell>
          <cell r="EN713">
            <v>465.4</v>
          </cell>
        </row>
        <row r="714">
          <cell r="A714">
            <v>95</v>
          </cell>
          <cell r="B714" t="str">
            <v>FG</v>
          </cell>
          <cell r="C714" t="str">
            <v>FM</v>
          </cell>
          <cell r="D714" t="str">
            <v>C14&gt;99%</v>
          </cell>
          <cell r="E714" t="str">
            <v>C14&gt;99%</v>
          </cell>
        </row>
        <row r="715">
          <cell r="A715">
            <v>96</v>
          </cell>
          <cell r="B715" t="str">
            <v>FG</v>
          </cell>
          <cell r="C715" t="str">
            <v>FM</v>
          </cell>
          <cell r="D715" t="str">
            <v>C12+14&gt;99</v>
          </cell>
          <cell r="E715" t="str">
            <v>C12-C14</v>
          </cell>
          <cell r="F715">
            <v>138.6</v>
          </cell>
          <cell r="I715">
            <v>588.29999999999995</v>
          </cell>
          <cell r="O715">
            <v>245.7</v>
          </cell>
          <cell r="R715">
            <v>747.2</v>
          </cell>
          <cell r="X715">
            <v>457.2</v>
          </cell>
          <cell r="AA715">
            <v>1815.8</v>
          </cell>
          <cell r="AG715">
            <v>457.2</v>
          </cell>
          <cell r="AJ715">
            <v>1601</v>
          </cell>
          <cell r="AP715">
            <v>181.8</v>
          </cell>
          <cell r="AS715">
            <v>1129</v>
          </cell>
          <cell r="AW715">
            <v>30</v>
          </cell>
          <cell r="BB715">
            <v>1268.4000000000001</v>
          </cell>
          <cell r="BK715">
            <v>1506</v>
          </cell>
          <cell r="BT715">
            <v>31.3</v>
          </cell>
          <cell r="CL715">
            <v>692.5</v>
          </cell>
          <cell r="CU715">
            <v>392.8</v>
          </cell>
          <cell r="DD715">
            <v>310.60000000000002</v>
          </cell>
          <cell r="DM715">
            <v>82.2</v>
          </cell>
          <cell r="DV715">
            <v>210.1</v>
          </cell>
          <cell r="EE715">
            <v>210.1</v>
          </cell>
          <cell r="EN715">
            <v>208.3</v>
          </cell>
        </row>
        <row r="716">
          <cell r="A716">
            <v>248</v>
          </cell>
          <cell r="B716" t="str">
            <v>FG</v>
          </cell>
          <cell r="C716" t="str">
            <v>FM</v>
          </cell>
          <cell r="D716" t="str">
            <v>C12+14&gt;99 (IMP)</v>
          </cell>
          <cell r="E716" t="str">
            <v>C12-C14 (IMP)</v>
          </cell>
        </row>
        <row r="717">
          <cell r="A717">
            <v>97</v>
          </cell>
          <cell r="B717" t="str">
            <v>FG</v>
          </cell>
          <cell r="C717" t="str">
            <v>FM</v>
          </cell>
          <cell r="D717" t="str">
            <v>C12+C14+C16&gt;99</v>
          </cell>
          <cell r="E717" t="str">
            <v>C12-C16</v>
          </cell>
        </row>
        <row r="718">
          <cell r="A718">
            <v>98</v>
          </cell>
          <cell r="B718" t="str">
            <v>FG</v>
          </cell>
          <cell r="C718" t="str">
            <v>FM</v>
          </cell>
          <cell r="D718" t="str">
            <v>C16&gt;90%</v>
          </cell>
          <cell r="E718" t="str">
            <v>C16&gt;90%</v>
          </cell>
          <cell r="EE718">
            <v>190.7</v>
          </cell>
        </row>
        <row r="719">
          <cell r="A719">
            <v>99</v>
          </cell>
          <cell r="B719" t="str">
            <v>FG</v>
          </cell>
          <cell r="C719" t="str">
            <v>FM</v>
          </cell>
          <cell r="D719" t="str">
            <v>C16&gt;99%</v>
          </cell>
          <cell r="E719" t="str">
            <v>C16&gt;99%</v>
          </cell>
          <cell r="F719">
            <v>413.57353000000001</v>
          </cell>
          <cell r="I719">
            <v>434.1</v>
          </cell>
          <cell r="M719">
            <v>302.91000000000003</v>
          </cell>
          <cell r="O719">
            <v>413.57353000000001</v>
          </cell>
          <cell r="R719">
            <v>434</v>
          </cell>
          <cell r="V719">
            <v>302.91000000000003</v>
          </cell>
          <cell r="X719">
            <v>413.57353000000001</v>
          </cell>
          <cell r="AA719">
            <v>434</v>
          </cell>
          <cell r="AG719">
            <v>413.57353000000001</v>
          </cell>
          <cell r="AJ719">
            <v>434.10514285714288</v>
          </cell>
          <cell r="AP719">
            <v>413.57353000000001</v>
          </cell>
          <cell r="AS719">
            <v>434.1</v>
          </cell>
          <cell r="AY719">
            <v>332.46358000000004</v>
          </cell>
          <cell r="BB719">
            <v>215.2</v>
          </cell>
          <cell r="BF719">
            <v>27</v>
          </cell>
          <cell r="BH719">
            <v>177.22087999999999</v>
          </cell>
          <cell r="BK719">
            <v>2.4</v>
          </cell>
          <cell r="BQ719">
            <v>176.34873000000002</v>
          </cell>
          <cell r="BZ719">
            <v>175.47658000000001</v>
          </cell>
          <cell r="CI719">
            <v>175.47658000000001</v>
          </cell>
          <cell r="CR719">
            <v>224.31698</v>
          </cell>
          <cell r="DA719">
            <v>276.64598000000007</v>
          </cell>
          <cell r="DD719">
            <v>55.2</v>
          </cell>
          <cell r="DJ719">
            <v>42.909779999999998</v>
          </cell>
          <cell r="DM719">
            <v>371.6</v>
          </cell>
          <cell r="DQ719">
            <v>105.23</v>
          </cell>
          <cell r="DS719">
            <v>55.119880000000002</v>
          </cell>
          <cell r="DV719">
            <v>596</v>
          </cell>
          <cell r="DZ719">
            <v>17</v>
          </cell>
        </row>
        <row r="720">
          <cell r="A720">
            <v>100</v>
          </cell>
          <cell r="B720" t="str">
            <v>FG</v>
          </cell>
          <cell r="C720" t="str">
            <v>FM</v>
          </cell>
          <cell r="D720" t="str">
            <v>DFA C16/C18</v>
          </cell>
          <cell r="E720" t="str">
            <v>DFA C16/C18</v>
          </cell>
          <cell r="AA720">
            <v>118.12</v>
          </cell>
          <cell r="AE720">
            <v>360</v>
          </cell>
          <cell r="AJ720">
            <v>257.39999999999998</v>
          </cell>
          <cell r="AN720">
            <v>216.72</v>
          </cell>
          <cell r="AW720">
            <v>236.79</v>
          </cell>
          <cell r="BB720">
            <v>992.9</v>
          </cell>
          <cell r="BK720">
            <v>358.416</v>
          </cell>
          <cell r="BO720">
            <v>297.48</v>
          </cell>
          <cell r="BX720">
            <v>297.48</v>
          </cell>
        </row>
        <row r="721">
          <cell r="A721">
            <v>101</v>
          </cell>
          <cell r="B721" t="str">
            <v>FG</v>
          </cell>
          <cell r="C721" t="str">
            <v>FM</v>
          </cell>
          <cell r="D721" t="str">
            <v>C18&gt;95%</v>
          </cell>
          <cell r="E721" t="str">
            <v>C18&gt;95%</v>
          </cell>
          <cell r="DD721">
            <v>169</v>
          </cell>
          <cell r="DM721">
            <v>305.2</v>
          </cell>
          <cell r="DV721">
            <v>305.2</v>
          </cell>
          <cell r="EE721">
            <v>470.7</v>
          </cell>
          <cell r="EN721">
            <v>242</v>
          </cell>
        </row>
        <row r="722">
          <cell r="A722">
            <v>102</v>
          </cell>
          <cell r="B722" t="str">
            <v>FG</v>
          </cell>
          <cell r="C722" t="str">
            <v>FM</v>
          </cell>
          <cell r="D722" t="str">
            <v>OLEIC-K</v>
          </cell>
          <cell r="E722" t="str">
            <v>OLEIC-K</v>
          </cell>
          <cell r="F722">
            <v>146.59</v>
          </cell>
          <cell r="O722">
            <v>141.24</v>
          </cell>
          <cell r="X722">
            <v>87.74</v>
          </cell>
          <cell r="AG722">
            <v>214</v>
          </cell>
          <cell r="AP722">
            <v>167.99</v>
          </cell>
          <cell r="AY722">
            <v>160.5</v>
          </cell>
          <cell r="BH722">
            <v>121.98</v>
          </cell>
          <cell r="BQ722">
            <v>282.48</v>
          </cell>
          <cell r="BZ722">
            <v>361.66</v>
          </cell>
          <cell r="CI722">
            <v>321</v>
          </cell>
          <cell r="CR722">
            <v>321</v>
          </cell>
          <cell r="DA722">
            <v>280.33999999999997</v>
          </cell>
          <cell r="DJ722">
            <v>228.98</v>
          </cell>
          <cell r="DS722">
            <v>188.32</v>
          </cell>
          <cell r="EB722">
            <v>188.32</v>
          </cell>
          <cell r="EK722">
            <v>188.32</v>
          </cell>
        </row>
        <row r="723">
          <cell r="A723">
            <v>103</v>
          </cell>
          <cell r="B723" t="str">
            <v>FG</v>
          </cell>
          <cell r="C723" t="str">
            <v>FM</v>
          </cell>
          <cell r="D723" t="str">
            <v>C16+C18(30:70)TA</v>
          </cell>
          <cell r="E723" t="str">
            <v>C16-C18</v>
          </cell>
          <cell r="AS723">
            <v>753.4</v>
          </cell>
          <cell r="BT723">
            <v>275.89999999999998</v>
          </cell>
          <cell r="CC723">
            <v>573.9</v>
          </cell>
          <cell r="CL723">
            <v>565.6</v>
          </cell>
          <cell r="CU723">
            <v>565.6</v>
          </cell>
          <cell r="DD723">
            <v>368.1</v>
          </cell>
          <cell r="DJ723">
            <v>232.2</v>
          </cell>
          <cell r="DM723">
            <v>151.9</v>
          </cell>
          <cell r="DS723">
            <v>387</v>
          </cell>
          <cell r="DV723">
            <v>481.9</v>
          </cell>
          <cell r="DZ723">
            <v>98.41</v>
          </cell>
          <cell r="EE723">
            <v>68.099999999999994</v>
          </cell>
        </row>
        <row r="724">
          <cell r="A724">
            <v>104</v>
          </cell>
          <cell r="B724" t="str">
            <v>FG</v>
          </cell>
          <cell r="C724" t="str">
            <v>FM</v>
          </cell>
          <cell r="D724" t="str">
            <v>HYD.RBDPS-G3</v>
          </cell>
          <cell r="E724" t="str">
            <v>HYD.RBDPS</v>
          </cell>
          <cell r="DD724">
            <v>1.5</v>
          </cell>
          <cell r="DM724">
            <v>100.8</v>
          </cell>
          <cell r="DV724">
            <v>177.39999999999998</v>
          </cell>
          <cell r="EE724">
            <v>91</v>
          </cell>
          <cell r="EI724">
            <v>15.02</v>
          </cell>
          <cell r="EN724">
            <v>63.9</v>
          </cell>
        </row>
        <row r="725">
          <cell r="A725">
            <v>105</v>
          </cell>
          <cell r="B725" t="str">
            <v>FG</v>
          </cell>
          <cell r="C725" t="str">
            <v>SM</v>
          </cell>
          <cell r="D725" t="str">
            <v>L/E MUSTARD C1820</v>
          </cell>
          <cell r="E725" t="str">
            <v>DFA C18C20 MFA</v>
          </cell>
          <cell r="G725">
            <v>181.84100000000001</v>
          </cell>
          <cell r="P725">
            <v>181.416</v>
          </cell>
          <cell r="Y725">
            <v>181.84100000000001</v>
          </cell>
          <cell r="AH725">
            <v>166.541</v>
          </cell>
          <cell r="AQ725">
            <v>166.11599999999999</v>
          </cell>
          <cell r="AZ725">
            <v>156.76600000000002</v>
          </cell>
          <cell r="BI725">
            <v>156.51100000000002</v>
          </cell>
          <cell r="BR725">
            <v>157.61599999999999</v>
          </cell>
          <cell r="CA725">
            <v>156.76600000000002</v>
          </cell>
          <cell r="CJ725">
            <v>156.76600000000002</v>
          </cell>
          <cell r="CS725">
            <v>156.76600000000002</v>
          </cell>
          <cell r="DB725">
            <v>153.36599999999999</v>
          </cell>
          <cell r="DK725">
            <v>141.89100000000002</v>
          </cell>
          <cell r="DT725">
            <v>132.11599999999999</v>
          </cell>
          <cell r="EC725">
            <v>124.46599999999999</v>
          </cell>
          <cell r="EL725">
            <v>116.816</v>
          </cell>
        </row>
        <row r="726">
          <cell r="A726">
            <v>106</v>
          </cell>
          <cell r="B726" t="str">
            <v>FG</v>
          </cell>
          <cell r="C726" t="str">
            <v>SM</v>
          </cell>
          <cell r="D726" t="str">
            <v>L/E MUSTARD UPTO C18 (OLEIC 15)</v>
          </cell>
          <cell r="E726" t="str">
            <v>DFA C18 PURE MFA (OLEIC 15)</v>
          </cell>
          <cell r="G726">
            <v>13.965999999999999</v>
          </cell>
          <cell r="P726">
            <v>3.7659999999999996</v>
          </cell>
          <cell r="Y726">
            <v>0.36599999999999966</v>
          </cell>
        </row>
        <row r="727">
          <cell r="A727">
            <v>107</v>
          </cell>
          <cell r="B727" t="str">
            <v>FG</v>
          </cell>
          <cell r="C727" t="str">
            <v>SM</v>
          </cell>
          <cell r="D727" t="str">
            <v>DC20+22&gt;98%</v>
          </cell>
          <cell r="E727" t="str">
            <v>C20-C22</v>
          </cell>
          <cell r="G727">
            <v>7.5803024000000034</v>
          </cell>
          <cell r="P727">
            <v>7.5803024000000034</v>
          </cell>
          <cell r="R727">
            <v>271.8</v>
          </cell>
          <cell r="Y727">
            <v>7.5803024000000034</v>
          </cell>
          <cell r="AH727">
            <v>7.5803024000000034</v>
          </cell>
          <cell r="AQ727">
            <v>7.5803024000000034</v>
          </cell>
          <cell r="AZ727">
            <v>7.5803024000000034</v>
          </cell>
          <cell r="BI727">
            <v>7.5803024000000034</v>
          </cell>
          <cell r="BR727">
            <v>7.5803024000000034</v>
          </cell>
          <cell r="CA727">
            <v>7.5803024000000034</v>
          </cell>
          <cell r="CJ727">
            <v>7.5803024000000034</v>
          </cell>
          <cell r="CS727">
            <v>6.8792824000000037</v>
          </cell>
          <cell r="DB727">
            <v>6.8792824000000037</v>
          </cell>
          <cell r="DK727">
            <v>6.8792824000000037</v>
          </cell>
          <cell r="DT727">
            <v>6.8792824000000037</v>
          </cell>
          <cell r="EC727">
            <v>6.8792824000000037</v>
          </cell>
          <cell r="EL727">
            <v>6.8792824000000037</v>
          </cell>
        </row>
        <row r="728">
          <cell r="A728">
            <v>108</v>
          </cell>
          <cell r="B728" t="str">
            <v>FG</v>
          </cell>
          <cell r="C728" t="str">
            <v>FM</v>
          </cell>
          <cell r="D728" t="str">
            <v>DC22:1&gt;90%</v>
          </cell>
          <cell r="E728" t="str">
            <v>ERUCIC</v>
          </cell>
          <cell r="G728">
            <v>77.290999999999997</v>
          </cell>
          <cell r="P728">
            <v>64.116</v>
          </cell>
          <cell r="Y728">
            <v>61.991</v>
          </cell>
          <cell r="AH728">
            <v>61.566000000000003</v>
          </cell>
          <cell r="AQ728">
            <v>61.566000000000003</v>
          </cell>
          <cell r="AZ728">
            <v>40.316000000000003</v>
          </cell>
          <cell r="BI728">
            <v>39.466000000000001</v>
          </cell>
          <cell r="BR728">
            <v>40.316000000000003</v>
          </cell>
          <cell r="CA728">
            <v>19.065999999999999</v>
          </cell>
          <cell r="CJ728">
            <v>19.065999999999999</v>
          </cell>
          <cell r="CS728">
            <v>18.216000000000001</v>
          </cell>
          <cell r="DB728">
            <v>18.216000000000001</v>
          </cell>
          <cell r="DK728">
            <v>18.216000000000001</v>
          </cell>
          <cell r="DT728">
            <v>18.216000000000001</v>
          </cell>
          <cell r="EC728">
            <v>18.216000000000001</v>
          </cell>
          <cell r="EL728">
            <v>108.682</v>
          </cell>
        </row>
        <row r="729">
          <cell r="A729">
            <v>109</v>
          </cell>
          <cell r="B729" t="str">
            <v>FG</v>
          </cell>
          <cell r="C729" t="str">
            <v>FM</v>
          </cell>
          <cell r="D729" t="str">
            <v>D C18/C22 - R</v>
          </cell>
          <cell r="E729" t="str">
            <v>D C18/C22 - R</v>
          </cell>
          <cell r="G729">
            <v>1022.8706</v>
          </cell>
          <cell r="P729">
            <v>1022.8706</v>
          </cell>
          <cell r="Y729">
            <v>1020.158</v>
          </cell>
          <cell r="AH729">
            <v>1014.7327999999999</v>
          </cell>
          <cell r="AQ729">
            <v>1014.7327999999999</v>
          </cell>
          <cell r="AZ729">
            <v>1012.0201999999999</v>
          </cell>
          <cell r="BI729">
            <v>1014.7327999999999</v>
          </cell>
          <cell r="BR729">
            <v>1014.7327999999999</v>
          </cell>
          <cell r="CA729">
            <v>1014.7327999999999</v>
          </cell>
          <cell r="CJ729">
            <v>998.45719999999994</v>
          </cell>
          <cell r="CS729">
            <v>998.45719999999994</v>
          </cell>
          <cell r="DB729">
            <v>998.45719999999994</v>
          </cell>
          <cell r="DK729">
            <v>976.75639999999999</v>
          </cell>
          <cell r="DT729">
            <v>976.75639999999999</v>
          </cell>
          <cell r="EC729">
            <v>976.75639999999999</v>
          </cell>
          <cell r="EL729">
            <v>949.63040000000001</v>
          </cell>
          <cell r="EN729">
            <v>97.8</v>
          </cell>
        </row>
        <row r="730">
          <cell r="A730">
            <v>110</v>
          </cell>
          <cell r="B730" t="str">
            <v>FG</v>
          </cell>
          <cell r="C730" t="str">
            <v>FM</v>
          </cell>
          <cell r="D730" t="str">
            <v>BEHENIC-90</v>
          </cell>
          <cell r="E730" t="str">
            <v>BEHENIC-90</v>
          </cell>
        </row>
        <row r="731">
          <cell r="A731">
            <v>111</v>
          </cell>
          <cell r="B731" t="str">
            <v>FG</v>
          </cell>
          <cell r="C731" t="str">
            <v>FM</v>
          </cell>
          <cell r="D731" t="str">
            <v>BEHENIC-75</v>
          </cell>
          <cell r="E731" t="str">
            <v>BEHENIC-75</v>
          </cell>
        </row>
        <row r="732">
          <cell r="A732">
            <v>112</v>
          </cell>
          <cell r="B732" t="str">
            <v>FG</v>
          </cell>
          <cell r="C732" t="str">
            <v>FM</v>
          </cell>
          <cell r="D732" t="str">
            <v>BEHENIC-85</v>
          </cell>
          <cell r="E732" t="str">
            <v>BEHENIC-85</v>
          </cell>
        </row>
        <row r="733">
          <cell r="A733">
            <v>113</v>
          </cell>
          <cell r="B733" t="str">
            <v>FG</v>
          </cell>
          <cell r="C733" t="str">
            <v>FM</v>
          </cell>
          <cell r="D733" t="str">
            <v>UTSR</v>
          </cell>
          <cell r="E733" t="str">
            <v>UTSR</v>
          </cell>
          <cell r="O733">
            <v>43.274999999999999</v>
          </cell>
          <cell r="X733">
            <v>49.005000000000003</v>
          </cell>
          <cell r="AP733">
            <v>4.2839999999999998</v>
          </cell>
          <cell r="AY733">
            <v>10.763</v>
          </cell>
          <cell r="BH733">
            <v>6.33</v>
          </cell>
          <cell r="BQ733">
            <v>77.935000000000002</v>
          </cell>
          <cell r="BZ733">
            <v>59.61</v>
          </cell>
          <cell r="CC733">
            <v>261.89999999999998</v>
          </cell>
          <cell r="CI733">
            <v>4.95</v>
          </cell>
          <cell r="CL733">
            <v>130.1</v>
          </cell>
          <cell r="CP733">
            <v>14.88</v>
          </cell>
          <cell r="CR733">
            <v>69.3</v>
          </cell>
          <cell r="CU733">
            <v>3.7</v>
          </cell>
          <cell r="DD733">
            <v>67.7</v>
          </cell>
          <cell r="DJ733">
            <v>23.92</v>
          </cell>
          <cell r="DM733">
            <v>1.2</v>
          </cell>
          <cell r="DS733">
            <v>87.614999999999995</v>
          </cell>
          <cell r="EB733">
            <v>83.655000000000001</v>
          </cell>
          <cell r="EI733">
            <v>27.75</v>
          </cell>
          <cell r="EK733">
            <v>91.08</v>
          </cell>
        </row>
        <row r="734">
          <cell r="A734">
            <v>114</v>
          </cell>
          <cell r="B734" t="str">
            <v>FG</v>
          </cell>
          <cell r="C734" t="str">
            <v>FM</v>
          </cell>
          <cell r="D734" t="str">
            <v>P-12</v>
          </cell>
          <cell r="E734" t="str">
            <v>P-12</v>
          </cell>
          <cell r="R734">
            <v>71</v>
          </cell>
          <cell r="BO734">
            <v>15</v>
          </cell>
        </row>
        <row r="735">
          <cell r="A735">
            <v>115</v>
          </cell>
          <cell r="B735" t="str">
            <v>FG</v>
          </cell>
          <cell r="C735" t="str">
            <v>FM</v>
          </cell>
          <cell r="D735" t="str">
            <v>DTP-7</v>
          </cell>
          <cell r="E735" t="str">
            <v>DTP-7</v>
          </cell>
          <cell r="X735">
            <v>78.704999999999998</v>
          </cell>
          <cell r="AG735">
            <v>49.5</v>
          </cell>
          <cell r="AS735">
            <v>180</v>
          </cell>
          <cell r="BT735">
            <v>98.2</v>
          </cell>
          <cell r="BX735">
            <v>6</v>
          </cell>
          <cell r="BZ735">
            <v>104.4</v>
          </cell>
          <cell r="CC735">
            <v>14.6</v>
          </cell>
          <cell r="CI735">
            <v>30.6</v>
          </cell>
          <cell r="CL735">
            <v>154.9</v>
          </cell>
          <cell r="CU735">
            <v>154.9</v>
          </cell>
          <cell r="DD735">
            <v>91.6</v>
          </cell>
          <cell r="DM735">
            <v>73.7</v>
          </cell>
          <cell r="DV735">
            <v>140.69999999999999</v>
          </cell>
          <cell r="EE735">
            <v>267.8</v>
          </cell>
          <cell r="EN735">
            <v>103.6</v>
          </cell>
        </row>
        <row r="736">
          <cell r="A736">
            <v>116</v>
          </cell>
          <cell r="B736" t="str">
            <v>FG</v>
          </cell>
          <cell r="C736" t="str">
            <v>FM</v>
          </cell>
          <cell r="D736" t="str">
            <v>DTP-CT</v>
          </cell>
          <cell r="E736" t="str">
            <v>DTP-CT</v>
          </cell>
          <cell r="N736">
            <v>0</v>
          </cell>
          <cell r="BQ736">
            <v>71.28</v>
          </cell>
          <cell r="BZ736">
            <v>74.25</v>
          </cell>
          <cell r="CI736">
            <v>72.27</v>
          </cell>
          <cell r="CR736">
            <v>27.72</v>
          </cell>
        </row>
        <row r="737">
          <cell r="A737">
            <v>117</v>
          </cell>
          <cell r="B737" t="str">
            <v>FG</v>
          </cell>
          <cell r="C737" t="str">
            <v>FM</v>
          </cell>
          <cell r="D737" t="str">
            <v>REFINED GLYCERINE-CP</v>
          </cell>
          <cell r="E737" t="str">
            <v>REFINED GLYCERINE-CP</v>
          </cell>
          <cell r="F737">
            <v>16.45</v>
          </cell>
          <cell r="J737">
            <v>30.404</v>
          </cell>
          <cell r="K737">
            <v>96.1</v>
          </cell>
          <cell r="O737">
            <v>7.52</v>
          </cell>
          <cell r="S737">
            <v>30.404</v>
          </cell>
          <cell r="U737">
            <v>80.180000000000007</v>
          </cell>
          <cell r="V737">
            <v>15</v>
          </cell>
          <cell r="X737">
            <v>7.52</v>
          </cell>
          <cell r="AB737">
            <v>94.212000000000003</v>
          </cell>
          <cell r="AC737">
            <v>44.45</v>
          </cell>
          <cell r="AG737">
            <v>7.52</v>
          </cell>
          <cell r="AL737">
            <v>33.049999999999997</v>
          </cell>
          <cell r="AP737">
            <v>12.38</v>
          </cell>
          <cell r="AT737">
            <v>65.305999999999997</v>
          </cell>
          <cell r="AV737">
            <v>62.96</v>
          </cell>
          <cell r="AY737">
            <v>12.38</v>
          </cell>
          <cell r="BC737">
            <v>86.304000000000002</v>
          </cell>
          <cell r="BD737">
            <v>114.31</v>
          </cell>
          <cell r="BL737">
            <v>93.09</v>
          </cell>
          <cell r="BM737">
            <v>258.07</v>
          </cell>
          <cell r="BQ737">
            <v>5.875</v>
          </cell>
          <cell r="BU737">
            <v>53.09</v>
          </cell>
          <cell r="BW737">
            <v>243.11</v>
          </cell>
          <cell r="BZ737">
            <v>3.5249999999999999</v>
          </cell>
          <cell r="CD737">
            <v>85.26</v>
          </cell>
          <cell r="CF737">
            <v>213.32</v>
          </cell>
          <cell r="CI737">
            <v>11</v>
          </cell>
          <cell r="CM737">
            <v>100.864</v>
          </cell>
          <cell r="CN737">
            <v>330.57</v>
          </cell>
          <cell r="CR737">
            <v>17.309999999999999</v>
          </cell>
          <cell r="CV737">
            <v>83.171999999999997</v>
          </cell>
          <cell r="CW737">
            <v>330.57</v>
          </cell>
          <cell r="DE737">
            <v>60.48</v>
          </cell>
          <cell r="DF737">
            <v>353.81</v>
          </cell>
          <cell r="DN737">
            <v>40.548000000000002</v>
          </cell>
          <cell r="DO737">
            <v>352.67</v>
          </cell>
          <cell r="DS737">
            <v>8</v>
          </cell>
          <cell r="DW737">
            <v>42.68</v>
          </cell>
          <cell r="DX737">
            <v>328.98</v>
          </cell>
          <cell r="EB737">
            <v>8.2249999999999996</v>
          </cell>
          <cell r="EF737">
            <v>18.443999999999999</v>
          </cell>
          <cell r="EG737">
            <v>270.97000000000003</v>
          </cell>
          <cell r="EK737">
            <v>3.5249999999999999</v>
          </cell>
          <cell r="EO737">
            <v>37.061999999999998</v>
          </cell>
          <cell r="EP737">
            <v>139.41999999999999</v>
          </cell>
        </row>
        <row r="738">
          <cell r="A738">
            <v>118</v>
          </cell>
          <cell r="B738" t="str">
            <v>FG</v>
          </cell>
          <cell r="C738" t="str">
            <v>FM</v>
          </cell>
          <cell r="D738" t="str">
            <v>REFINED GLYCERINE-IP</v>
          </cell>
          <cell r="E738" t="str">
            <v>REFINED GLYCERINE-IP</v>
          </cell>
          <cell r="J738">
            <v>21.920999999999999</v>
          </cell>
          <cell r="S738">
            <v>21.920999999999999</v>
          </cell>
          <cell r="AB738">
            <v>6.2290000000000001</v>
          </cell>
          <cell r="AT738">
            <v>69.688999999999993</v>
          </cell>
          <cell r="BC738">
            <v>88.28</v>
          </cell>
          <cell r="BL738">
            <v>13.28</v>
          </cell>
          <cell r="BU738">
            <v>64.013999999999996</v>
          </cell>
          <cell r="CD738">
            <v>29.283000000000001</v>
          </cell>
          <cell r="CM738">
            <v>8.8510000000000009</v>
          </cell>
          <cell r="CV738">
            <v>116.164</v>
          </cell>
          <cell r="DE738">
            <v>82.997</v>
          </cell>
          <cell r="DN738">
            <v>57.997</v>
          </cell>
          <cell r="DW738">
            <v>2.9969999999999999</v>
          </cell>
          <cell r="EF738">
            <v>25.423999999999999</v>
          </cell>
          <cell r="EO738">
            <v>59.296999999999997</v>
          </cell>
        </row>
        <row r="739">
          <cell r="A739">
            <v>119</v>
          </cell>
          <cell r="B739" t="str">
            <v>FG</v>
          </cell>
          <cell r="C739" t="str">
            <v>FM</v>
          </cell>
          <cell r="D739" t="str">
            <v>REFINED GLYCERINE-USP</v>
          </cell>
          <cell r="E739" t="str">
            <v>REFINED GLYCERINE-USP</v>
          </cell>
          <cell r="F739">
            <v>131.81</v>
          </cell>
          <cell r="O739">
            <v>127.78999999999999</v>
          </cell>
          <cell r="X739">
            <v>98.47</v>
          </cell>
          <cell r="AG739">
            <v>83.2</v>
          </cell>
          <cell r="AP739">
            <v>50.066000000000003</v>
          </cell>
          <cell r="AY739">
            <v>67.790000000000006</v>
          </cell>
          <cell r="BH739">
            <v>150.5</v>
          </cell>
          <cell r="BQ739">
            <v>187.81</v>
          </cell>
          <cell r="BZ739">
            <v>176.82</v>
          </cell>
          <cell r="CI739">
            <v>60.73</v>
          </cell>
          <cell r="CR739">
            <v>51.07</v>
          </cell>
          <cell r="DA739">
            <v>93.28</v>
          </cell>
          <cell r="DJ739">
            <v>163.65</v>
          </cell>
          <cell r="DS739">
            <v>111.22</v>
          </cell>
          <cell r="EB739">
            <v>98.18</v>
          </cell>
          <cell r="EK739">
            <v>133.96</v>
          </cell>
        </row>
        <row r="740">
          <cell r="A740">
            <v>120</v>
          </cell>
          <cell r="B740" t="str">
            <v>FG</v>
          </cell>
          <cell r="C740" t="str">
            <v>FM</v>
          </cell>
          <cell r="D740" t="str">
            <v>REFINED GLYCERINE-JP</v>
          </cell>
          <cell r="E740" t="str">
            <v>REFINED GLYCERINE-JP</v>
          </cell>
          <cell r="F740">
            <v>5</v>
          </cell>
          <cell r="O740">
            <v>5</v>
          </cell>
          <cell r="X740">
            <v>5</v>
          </cell>
          <cell r="AG740">
            <v>7</v>
          </cell>
          <cell r="AP740">
            <v>23</v>
          </cell>
          <cell r="AY740">
            <v>11</v>
          </cell>
          <cell r="BH740">
            <v>13</v>
          </cell>
          <cell r="BQ740">
            <v>11</v>
          </cell>
          <cell r="BZ740">
            <v>13</v>
          </cell>
          <cell r="CI740">
            <v>24</v>
          </cell>
          <cell r="CR740">
            <v>28</v>
          </cell>
          <cell r="DA740">
            <v>11</v>
          </cell>
          <cell r="DJ740">
            <v>12</v>
          </cell>
          <cell r="DS740">
            <v>26</v>
          </cell>
          <cell r="EB740">
            <v>24</v>
          </cell>
          <cell r="EK740">
            <v>28</v>
          </cell>
        </row>
        <row r="741">
          <cell r="A741">
            <v>238</v>
          </cell>
          <cell r="B741" t="str">
            <v>FG</v>
          </cell>
          <cell r="C741" t="str">
            <v>FM</v>
          </cell>
          <cell r="D741" t="str">
            <v>DFA C18/C22 C22:1</v>
          </cell>
          <cell r="E741" t="str">
            <v>DFA C18/C22 C22:1</v>
          </cell>
        </row>
        <row r="742">
          <cell r="A742">
            <v>243</v>
          </cell>
          <cell r="B742" t="str">
            <v>FG</v>
          </cell>
          <cell r="C742" t="str">
            <v>FM</v>
          </cell>
          <cell r="D742" t="str">
            <v>STEARIC-90</v>
          </cell>
          <cell r="E742" t="str">
            <v>STEARIC-90</v>
          </cell>
        </row>
        <row r="743">
          <cell r="A743">
            <v>245</v>
          </cell>
          <cell r="B743" t="str">
            <v>FG</v>
          </cell>
          <cell r="C743" t="str">
            <v>FM</v>
          </cell>
          <cell r="D743" t="str">
            <v>HPS</v>
          </cell>
          <cell r="E743" t="str">
            <v>HPS</v>
          </cell>
        </row>
        <row r="744">
          <cell r="A744">
            <v>249</v>
          </cell>
          <cell r="B744" t="str">
            <v>FG</v>
          </cell>
          <cell r="C744" t="str">
            <v>FM</v>
          </cell>
          <cell r="D744" t="str">
            <v>OLEIC - IG</v>
          </cell>
          <cell r="E744" t="str">
            <v>OLEIC - IG</v>
          </cell>
        </row>
        <row r="745">
          <cell r="F745">
            <v>1357.8862799999999</v>
          </cell>
          <cell r="G745">
            <v>1588.6019024</v>
          </cell>
          <cell r="H745">
            <v>1406.6200000000001</v>
          </cell>
          <cell r="I745">
            <v>3065.4</v>
          </cell>
          <cell r="J745">
            <v>264.54700000000003</v>
          </cell>
          <cell r="K745">
            <v>96.1</v>
          </cell>
          <cell r="L745">
            <v>0</v>
          </cell>
          <cell r="M745">
            <v>352.47</v>
          </cell>
          <cell r="O745">
            <v>1573.51063</v>
          </cell>
          <cell r="P745">
            <v>1587.0119024000001</v>
          </cell>
          <cell r="Q745">
            <v>1406.89</v>
          </cell>
          <cell r="R745">
            <v>3344.5</v>
          </cell>
          <cell r="S745">
            <v>278.98399999999998</v>
          </cell>
          <cell r="T745">
            <v>0</v>
          </cell>
          <cell r="U745">
            <v>80.180000000000007</v>
          </cell>
          <cell r="V745">
            <v>317.91000000000003</v>
          </cell>
          <cell r="W745">
            <v>0</v>
          </cell>
          <cell r="X745">
            <v>1643.4892300000001</v>
          </cell>
          <cell r="Y745">
            <v>1734.2683024</v>
          </cell>
          <cell r="Z745">
            <v>1227.94</v>
          </cell>
          <cell r="AA745">
            <v>3884.62</v>
          </cell>
          <cell r="AB745">
            <v>387.48999999999995</v>
          </cell>
          <cell r="AC745">
            <v>44.45</v>
          </cell>
          <cell r="AD745">
            <v>0</v>
          </cell>
          <cell r="AE745">
            <v>360</v>
          </cell>
          <cell r="AF745">
            <v>0</v>
          </cell>
          <cell r="AG745">
            <v>1783.70598</v>
          </cell>
          <cell r="AH745">
            <v>1743.9921024</v>
          </cell>
          <cell r="AI745">
            <v>1110.5400000000002</v>
          </cell>
          <cell r="AJ745">
            <v>3970.8478285714286</v>
          </cell>
          <cell r="AK745">
            <v>0</v>
          </cell>
          <cell r="AL745">
            <v>33.049999999999997</v>
          </cell>
          <cell r="AM745">
            <v>0</v>
          </cell>
          <cell r="AN745">
            <v>216.72</v>
          </cell>
          <cell r="AO745">
            <v>0</v>
          </cell>
          <cell r="AP745">
            <v>1512.1813800000004</v>
          </cell>
          <cell r="AQ745">
            <v>1384.1321023999999</v>
          </cell>
          <cell r="AR745">
            <v>1238.8700000000001</v>
          </cell>
          <cell r="AS745">
            <v>3932.5</v>
          </cell>
          <cell r="AT745">
            <v>134.995</v>
          </cell>
          <cell r="AU745">
            <v>0</v>
          </cell>
          <cell r="AV745">
            <v>62.96</v>
          </cell>
          <cell r="AW745">
            <v>266.78999999999996</v>
          </cell>
          <cell r="AX745">
            <v>0</v>
          </cell>
          <cell r="AY745">
            <v>1258.7136800000001</v>
          </cell>
          <cell r="AZ745">
            <v>1408.2785024</v>
          </cell>
          <cell r="BA745">
            <v>1175.8600000000001</v>
          </cell>
          <cell r="BB745">
            <v>3403.4</v>
          </cell>
          <cell r="BC745">
            <v>494.07899999999995</v>
          </cell>
          <cell r="BD745">
            <v>114.31</v>
          </cell>
          <cell r="BE745">
            <v>0</v>
          </cell>
          <cell r="BF745">
            <v>27</v>
          </cell>
          <cell r="BG745">
            <v>0</v>
          </cell>
          <cell r="BH745">
            <v>1004.85083</v>
          </cell>
          <cell r="BI745">
            <v>1773.5123024</v>
          </cell>
          <cell r="BJ745">
            <v>1175.8600000000001</v>
          </cell>
          <cell r="BK745">
            <v>3209.2988857142859</v>
          </cell>
          <cell r="BL745">
            <v>106.37</v>
          </cell>
          <cell r="BM745">
            <v>258.07</v>
          </cell>
          <cell r="BN745">
            <v>0</v>
          </cell>
          <cell r="BO745">
            <v>312.48</v>
          </cell>
          <cell r="BP745">
            <v>0</v>
          </cell>
          <cell r="BQ745">
            <v>1364.62573</v>
          </cell>
          <cell r="BR745">
            <v>1577.7023024</v>
          </cell>
          <cell r="BS745">
            <v>1166.9100000000001</v>
          </cell>
          <cell r="BT745">
            <v>1414.1000000000001</v>
          </cell>
          <cell r="BU745">
            <v>117.104</v>
          </cell>
          <cell r="BV745">
            <v>0</v>
          </cell>
          <cell r="BW745">
            <v>243.11</v>
          </cell>
          <cell r="BX745">
            <v>303.48</v>
          </cell>
          <cell r="BY745">
            <v>0</v>
          </cell>
          <cell r="BZ745">
            <v>1399.5802800000001</v>
          </cell>
          <cell r="CA745">
            <v>1281.1711023999999</v>
          </cell>
          <cell r="CB745">
            <v>1300.6100000000001</v>
          </cell>
          <cell r="CC745">
            <v>2260.1</v>
          </cell>
          <cell r="CD745">
            <v>114.54300000000001</v>
          </cell>
          <cell r="CE745">
            <v>0</v>
          </cell>
          <cell r="CF745">
            <v>213.32</v>
          </cell>
          <cell r="CG745">
            <v>0</v>
          </cell>
          <cell r="CH745">
            <v>0</v>
          </cell>
          <cell r="CI745">
            <v>1391.5094799999999</v>
          </cell>
          <cell r="CJ745">
            <v>1215.6995024</v>
          </cell>
          <cell r="CK745">
            <v>1429.91</v>
          </cell>
          <cell r="CL745">
            <v>3192.7</v>
          </cell>
          <cell r="CM745">
            <v>109.715</v>
          </cell>
          <cell r="CN745">
            <v>330.57</v>
          </cell>
          <cell r="CO745">
            <v>0</v>
          </cell>
          <cell r="CP745">
            <v>28.880000000000003</v>
          </cell>
          <cell r="CQ745">
            <v>0</v>
          </cell>
          <cell r="CR745">
            <v>1422.1526799999999</v>
          </cell>
          <cell r="CS745">
            <v>1410.0144823999999</v>
          </cell>
          <cell r="CT745">
            <v>1398.19</v>
          </cell>
          <cell r="CU745">
            <v>2814.7</v>
          </cell>
          <cell r="CV745">
            <v>486.69399999999996</v>
          </cell>
          <cell r="CW745">
            <v>330.57</v>
          </cell>
          <cell r="CX745">
            <v>0</v>
          </cell>
          <cell r="CY745">
            <v>67.650000000000006</v>
          </cell>
          <cell r="CZ745">
            <v>0</v>
          </cell>
          <cell r="DA745">
            <v>1314.36268</v>
          </cell>
          <cell r="DB745">
            <v>1414.6284823999999</v>
          </cell>
          <cell r="DC745">
            <v>1382.78</v>
          </cell>
          <cell r="DD745">
            <v>2531.6999999999998</v>
          </cell>
          <cell r="DE745">
            <v>403.86900000000003</v>
          </cell>
          <cell r="DF745">
            <v>353.81</v>
          </cell>
          <cell r="DG745">
            <v>0</v>
          </cell>
          <cell r="DH745">
            <v>0</v>
          </cell>
          <cell r="DI745">
            <v>0</v>
          </cell>
          <cell r="DJ745">
            <v>1204.8616800000002</v>
          </cell>
          <cell r="DK745">
            <v>1594.0996823999999</v>
          </cell>
          <cell r="DL745">
            <v>1381.27</v>
          </cell>
          <cell r="DM745">
            <v>2124.2999999999997</v>
          </cell>
          <cell r="DN745">
            <v>98.545000000000002</v>
          </cell>
          <cell r="DO745">
            <v>352.67</v>
          </cell>
          <cell r="DP745">
            <v>0</v>
          </cell>
          <cell r="DQ745">
            <v>105.23</v>
          </cell>
          <cell r="DR745">
            <v>0</v>
          </cell>
          <cell r="DS745">
            <v>1314.2017800000001</v>
          </cell>
          <cell r="DT745">
            <v>1215.3386823999999</v>
          </cell>
          <cell r="DU745">
            <v>1381.27</v>
          </cell>
          <cell r="DV745">
            <v>3176.5999999999995</v>
          </cell>
          <cell r="DW745">
            <v>293.17700000000002</v>
          </cell>
          <cell r="DX745">
            <v>328.98</v>
          </cell>
          <cell r="DY745">
            <v>0</v>
          </cell>
          <cell r="DZ745">
            <v>135.31</v>
          </cell>
          <cell r="EA745">
            <v>0</v>
          </cell>
          <cell r="EB745">
            <v>1045.1359</v>
          </cell>
          <cell r="EC745">
            <v>1285.8296823999999</v>
          </cell>
          <cell r="ED745">
            <v>1381.27</v>
          </cell>
          <cell r="EE745">
            <v>2429.4</v>
          </cell>
          <cell r="EF745">
            <v>231.98399999999998</v>
          </cell>
          <cell r="EG745">
            <v>270.97000000000003</v>
          </cell>
          <cell r="EH745">
            <v>0</v>
          </cell>
          <cell r="EI745">
            <v>118.82</v>
          </cell>
          <cell r="EJ745">
            <v>0</v>
          </cell>
          <cell r="EK745">
            <v>1089.4725000000001</v>
          </cell>
          <cell r="EL745">
            <v>1215.8376823999999</v>
          </cell>
          <cell r="EM745">
            <v>1381.27</v>
          </cell>
          <cell r="EN745">
            <v>1303.2</v>
          </cell>
          <cell r="EO745">
            <v>291.44899999999996</v>
          </cell>
          <cell r="EP745">
            <v>139.41999999999999</v>
          </cell>
          <cell r="EQ745">
            <v>0</v>
          </cell>
          <cell r="ER745">
            <v>0</v>
          </cell>
          <cell r="ES745">
            <v>0</v>
          </cell>
        </row>
        <row r="746">
          <cell r="A746" t="str">
            <v>DRUMS</v>
          </cell>
        </row>
        <row r="747">
          <cell r="A747">
            <v>121</v>
          </cell>
          <cell r="B747" t="str">
            <v>FG</v>
          </cell>
          <cell r="C747" t="str">
            <v>FM</v>
          </cell>
          <cell r="D747" t="str">
            <v>REFINED GLYCERINE-CP</v>
          </cell>
          <cell r="H747">
            <v>2.09</v>
          </cell>
          <cell r="Q747">
            <v>2.09</v>
          </cell>
          <cell r="X747">
            <v>1.75</v>
          </cell>
          <cell r="Z747">
            <v>2.09</v>
          </cell>
          <cell r="AB747">
            <v>3</v>
          </cell>
          <cell r="AG747">
            <v>5.5</v>
          </cell>
          <cell r="AI747">
            <v>2</v>
          </cell>
          <cell r="AP747">
            <v>5.5</v>
          </cell>
          <cell r="AR747">
            <v>2.09</v>
          </cell>
          <cell r="AT747">
            <v>72.5</v>
          </cell>
          <cell r="AY747">
            <v>0.5</v>
          </cell>
          <cell r="BA747">
            <v>2.09</v>
          </cell>
          <cell r="BC747">
            <v>94.5</v>
          </cell>
          <cell r="BH747">
            <v>0.5</v>
          </cell>
          <cell r="BJ747">
            <v>2.09</v>
          </cell>
          <cell r="BL747">
            <v>99.5</v>
          </cell>
          <cell r="BQ747">
            <v>15.5</v>
          </cell>
          <cell r="BS747">
            <v>2.09</v>
          </cell>
          <cell r="BU747">
            <v>72</v>
          </cell>
          <cell r="BZ747">
            <v>6.25</v>
          </cell>
          <cell r="CB747">
            <v>2.09</v>
          </cell>
          <cell r="CD747">
            <v>61</v>
          </cell>
          <cell r="CI747">
            <v>2.25</v>
          </cell>
          <cell r="CK747">
            <v>2.09</v>
          </cell>
          <cell r="CM747">
            <v>20.5</v>
          </cell>
          <cell r="CR747">
            <v>0.25</v>
          </cell>
          <cell r="CT747">
            <v>2.09</v>
          </cell>
          <cell r="CV747">
            <v>43</v>
          </cell>
          <cell r="DA747">
            <v>10.25</v>
          </cell>
          <cell r="DC747">
            <v>2.09</v>
          </cell>
          <cell r="DE747">
            <v>71.5</v>
          </cell>
          <cell r="DJ747">
            <v>8.5</v>
          </cell>
          <cell r="DL747">
            <v>2.09</v>
          </cell>
          <cell r="DN747">
            <v>56</v>
          </cell>
          <cell r="DS747">
            <v>8.5</v>
          </cell>
          <cell r="DU747">
            <v>0.09</v>
          </cell>
          <cell r="DW747">
            <v>23.5</v>
          </cell>
          <cell r="EB747">
            <v>3</v>
          </cell>
          <cell r="ED747">
            <v>0.09</v>
          </cell>
          <cell r="EF747">
            <v>10.25</v>
          </cell>
          <cell r="EK747">
            <v>3</v>
          </cell>
          <cell r="EM747">
            <v>0.09</v>
          </cell>
          <cell r="EO747">
            <v>15</v>
          </cell>
        </row>
        <row r="748">
          <cell r="A748">
            <v>122</v>
          </cell>
          <cell r="B748" t="str">
            <v>FG</v>
          </cell>
          <cell r="C748" t="str">
            <v>FM</v>
          </cell>
          <cell r="D748" t="str">
            <v>REFINED GLYCERINE-IP</v>
          </cell>
          <cell r="F748">
            <v>6</v>
          </cell>
          <cell r="H748">
            <v>2.75</v>
          </cell>
          <cell r="J748">
            <v>14</v>
          </cell>
          <cell r="Q748">
            <v>2.75</v>
          </cell>
          <cell r="S748">
            <v>14</v>
          </cell>
          <cell r="X748">
            <v>4.75</v>
          </cell>
          <cell r="Z748">
            <v>2.75</v>
          </cell>
          <cell r="AB748">
            <v>55</v>
          </cell>
          <cell r="AG748">
            <v>4.75</v>
          </cell>
          <cell r="AI748">
            <v>2.75</v>
          </cell>
          <cell r="AP748">
            <v>11.25</v>
          </cell>
          <cell r="AR748">
            <v>2.75</v>
          </cell>
          <cell r="AT748">
            <v>57.75</v>
          </cell>
          <cell r="AY748">
            <v>0.75</v>
          </cell>
          <cell r="BA748">
            <v>2.75</v>
          </cell>
          <cell r="BC748">
            <v>34.5</v>
          </cell>
          <cell r="BH748">
            <v>0.75</v>
          </cell>
          <cell r="BJ748">
            <v>2.75</v>
          </cell>
          <cell r="BL748">
            <v>61.25</v>
          </cell>
          <cell r="BQ748">
            <v>7.75</v>
          </cell>
          <cell r="BS748">
            <v>2.75</v>
          </cell>
          <cell r="BU748">
            <v>4.75</v>
          </cell>
          <cell r="BZ748">
            <v>7.75</v>
          </cell>
          <cell r="CB748">
            <v>2.75</v>
          </cell>
          <cell r="CD748">
            <v>15.75</v>
          </cell>
          <cell r="CI748">
            <v>3.75</v>
          </cell>
          <cell r="CK748">
            <v>2.75</v>
          </cell>
          <cell r="CM748">
            <v>30.75</v>
          </cell>
          <cell r="CR748">
            <v>0.75</v>
          </cell>
          <cell r="CT748">
            <v>2.75</v>
          </cell>
          <cell r="CV748">
            <v>8.75</v>
          </cell>
          <cell r="DA748">
            <v>12.75</v>
          </cell>
          <cell r="DC748">
            <v>2.75</v>
          </cell>
          <cell r="DE748">
            <v>53.5</v>
          </cell>
          <cell r="DJ748">
            <v>8.75</v>
          </cell>
          <cell r="DL748">
            <v>2.75</v>
          </cell>
          <cell r="DN748">
            <v>29.5</v>
          </cell>
          <cell r="DS748">
            <v>8.75</v>
          </cell>
          <cell r="DW748">
            <v>6.5</v>
          </cell>
          <cell r="EB748">
            <v>3.25</v>
          </cell>
          <cell r="EF748">
            <v>50.75</v>
          </cell>
          <cell r="EK748">
            <v>10.5</v>
          </cell>
          <cell r="EO748">
            <v>18.25</v>
          </cell>
        </row>
        <row r="749">
          <cell r="A749">
            <v>123</v>
          </cell>
          <cell r="B749" t="str">
            <v>FG</v>
          </cell>
          <cell r="C749" t="str">
            <v>FM</v>
          </cell>
          <cell r="D749" t="str">
            <v>REFINED GLYCERINE-USP</v>
          </cell>
          <cell r="F749">
            <v>4</v>
          </cell>
          <cell r="X749">
            <v>18</v>
          </cell>
          <cell r="AY749">
            <v>18</v>
          </cell>
          <cell r="BQ749">
            <v>18</v>
          </cell>
          <cell r="CI749">
            <v>24</v>
          </cell>
          <cell r="CR749">
            <v>44</v>
          </cell>
          <cell r="DA749">
            <v>6</v>
          </cell>
        </row>
        <row r="750">
          <cell r="A750">
            <v>124</v>
          </cell>
          <cell r="B750" t="str">
            <v>FG</v>
          </cell>
          <cell r="C750" t="str">
            <v>FM</v>
          </cell>
          <cell r="D750" t="str">
            <v>REFINED GLYCERINE-JP</v>
          </cell>
        </row>
        <row r="751">
          <cell r="A751">
            <v>125</v>
          </cell>
          <cell r="B751" t="str">
            <v>FG</v>
          </cell>
          <cell r="C751" t="str">
            <v>FM</v>
          </cell>
          <cell r="D751" t="str">
            <v>DPKO</v>
          </cell>
          <cell r="F751">
            <v>17.46</v>
          </cell>
          <cell r="X751">
            <v>4.68</v>
          </cell>
          <cell r="AG751">
            <v>3.42</v>
          </cell>
          <cell r="AP751">
            <v>6.03</v>
          </cell>
          <cell r="AY751">
            <v>14.04</v>
          </cell>
          <cell r="BH751">
            <v>5.13</v>
          </cell>
          <cell r="BQ751">
            <v>19.350000000000001</v>
          </cell>
          <cell r="BZ751">
            <v>2.25</v>
          </cell>
          <cell r="CI751">
            <v>1.53</v>
          </cell>
          <cell r="CR751">
            <v>1.35</v>
          </cell>
          <cell r="DA751">
            <v>0.09</v>
          </cell>
          <cell r="DJ751">
            <v>0.72</v>
          </cell>
          <cell r="DS751">
            <v>0.72</v>
          </cell>
          <cell r="EK751">
            <v>14.67</v>
          </cell>
        </row>
        <row r="752">
          <cell r="A752">
            <v>126</v>
          </cell>
          <cell r="B752" t="str">
            <v>FG</v>
          </cell>
          <cell r="C752" t="str">
            <v>FM</v>
          </cell>
          <cell r="D752" t="str">
            <v>C6&gt;98%</v>
          </cell>
          <cell r="F752">
            <v>0.18</v>
          </cell>
          <cell r="H752">
            <v>0.89999999999999991</v>
          </cell>
          <cell r="Q752">
            <v>0.89999999999999991</v>
          </cell>
          <cell r="X752">
            <v>0.18</v>
          </cell>
          <cell r="Z752">
            <v>0.89999999999999991</v>
          </cell>
          <cell r="AG752">
            <v>0.18</v>
          </cell>
          <cell r="AI752">
            <v>0.89999999999999991</v>
          </cell>
          <cell r="AP752">
            <v>0.18</v>
          </cell>
          <cell r="AR752">
            <v>0.89999999999999991</v>
          </cell>
          <cell r="AY752">
            <v>0.18</v>
          </cell>
          <cell r="BA752">
            <v>0.89999999999999991</v>
          </cell>
          <cell r="BH752">
            <v>28.98</v>
          </cell>
          <cell r="BJ752">
            <v>0.89999999999999991</v>
          </cell>
          <cell r="BQ752">
            <v>28.98</v>
          </cell>
          <cell r="BS752">
            <v>0.89999999999999991</v>
          </cell>
          <cell r="BZ752">
            <v>57.6</v>
          </cell>
          <cell r="CB752">
            <v>0.89999999999999991</v>
          </cell>
          <cell r="CI752">
            <v>28.98</v>
          </cell>
          <cell r="CK752">
            <v>0.9</v>
          </cell>
          <cell r="CR752">
            <v>0.18</v>
          </cell>
          <cell r="CT752">
            <v>0.89999999999999991</v>
          </cell>
          <cell r="DA752">
            <v>0.18</v>
          </cell>
          <cell r="DC752">
            <v>0.89999999999999991</v>
          </cell>
          <cell r="DJ752">
            <v>0.18</v>
          </cell>
          <cell r="DL752">
            <v>0.89999999999999991</v>
          </cell>
          <cell r="DS752">
            <v>0.18</v>
          </cell>
          <cell r="DU752">
            <v>0.89999999999999991</v>
          </cell>
          <cell r="EB752">
            <v>0.18</v>
          </cell>
          <cell r="ED752">
            <v>0.89999999999999991</v>
          </cell>
          <cell r="EK752">
            <v>0.18</v>
          </cell>
          <cell r="EM752">
            <v>0.89999999999999991</v>
          </cell>
        </row>
        <row r="753">
          <cell r="A753">
            <v>127</v>
          </cell>
          <cell r="B753" t="str">
            <v>FG</v>
          </cell>
          <cell r="C753" t="str">
            <v>FM</v>
          </cell>
          <cell r="D753" t="str">
            <v>C8&gt;98%</v>
          </cell>
          <cell r="F753">
            <v>43.74</v>
          </cell>
          <cell r="H753">
            <v>7.2</v>
          </cell>
          <cell r="Q753">
            <v>7.2</v>
          </cell>
          <cell r="X753">
            <v>57.6</v>
          </cell>
          <cell r="Z753">
            <v>7.2</v>
          </cell>
          <cell r="AG753">
            <v>57.6</v>
          </cell>
          <cell r="AI753">
            <v>7.2</v>
          </cell>
          <cell r="AP753">
            <v>57.6</v>
          </cell>
          <cell r="AR753">
            <v>7.2</v>
          </cell>
          <cell r="AY753">
            <v>39.42</v>
          </cell>
          <cell r="BA753">
            <v>7.2</v>
          </cell>
          <cell r="BH753">
            <v>39.42</v>
          </cell>
          <cell r="BJ753">
            <v>7.2</v>
          </cell>
          <cell r="BQ753">
            <v>39.42</v>
          </cell>
          <cell r="BS753">
            <v>7.2</v>
          </cell>
          <cell r="BZ753">
            <v>38.880000000000003</v>
          </cell>
          <cell r="CB753">
            <v>7.2</v>
          </cell>
          <cell r="CI753">
            <v>38.340000000000003</v>
          </cell>
          <cell r="CK753">
            <v>7.2</v>
          </cell>
          <cell r="CR753">
            <v>38.340000000000003</v>
          </cell>
          <cell r="CT753">
            <v>7.2</v>
          </cell>
          <cell r="DA753">
            <v>38.340000000000003</v>
          </cell>
          <cell r="DC753">
            <v>7.2</v>
          </cell>
          <cell r="DJ753">
            <v>38.340000000000003</v>
          </cell>
          <cell r="DL753">
            <v>7.2</v>
          </cell>
          <cell r="DS753">
            <v>37.799999999999997</v>
          </cell>
          <cell r="DU753">
            <v>7.2</v>
          </cell>
          <cell r="EB753">
            <v>21.06</v>
          </cell>
          <cell r="ED753">
            <v>7.2</v>
          </cell>
          <cell r="EK753">
            <v>20.88</v>
          </cell>
          <cell r="EM753">
            <v>7.2</v>
          </cell>
        </row>
        <row r="754">
          <cell r="A754">
            <v>128</v>
          </cell>
          <cell r="B754" t="str">
            <v>FG</v>
          </cell>
          <cell r="C754" t="str">
            <v>FM</v>
          </cell>
          <cell r="D754" t="str">
            <v>C10&gt;98%</v>
          </cell>
          <cell r="F754">
            <v>1.8</v>
          </cell>
          <cell r="H754">
            <v>0.18</v>
          </cell>
          <cell r="Q754">
            <v>0.18</v>
          </cell>
          <cell r="X754">
            <v>1.8</v>
          </cell>
          <cell r="Z754">
            <v>0.18</v>
          </cell>
          <cell r="AG754">
            <v>1.8</v>
          </cell>
          <cell r="AI754">
            <v>0.18</v>
          </cell>
          <cell r="AP754">
            <v>1.8</v>
          </cell>
          <cell r="AR754">
            <v>0.18</v>
          </cell>
          <cell r="AY754">
            <v>1.8</v>
          </cell>
          <cell r="BA754">
            <v>0.18</v>
          </cell>
          <cell r="BH754">
            <v>1.8</v>
          </cell>
          <cell r="BJ754">
            <v>0.18</v>
          </cell>
          <cell r="BQ754">
            <v>1.44</v>
          </cell>
          <cell r="BS754">
            <v>0.18</v>
          </cell>
          <cell r="BZ754">
            <v>1.44</v>
          </cell>
          <cell r="CB754">
            <v>0.18</v>
          </cell>
          <cell r="CI754">
            <v>1.44</v>
          </cell>
          <cell r="CK754">
            <v>0.18</v>
          </cell>
          <cell r="CR754">
            <v>1.44</v>
          </cell>
          <cell r="CT754">
            <v>0.18</v>
          </cell>
          <cell r="DA754">
            <v>1.44</v>
          </cell>
          <cell r="DC754">
            <v>0.18</v>
          </cell>
          <cell r="DJ754">
            <v>1.44</v>
          </cell>
          <cell r="DL754">
            <v>0.18</v>
          </cell>
          <cell r="DS754">
            <v>1.44</v>
          </cell>
          <cell r="DU754">
            <v>0.18</v>
          </cell>
          <cell r="EB754">
            <v>1.44</v>
          </cell>
          <cell r="ED754">
            <v>0.18</v>
          </cell>
          <cell r="EK754">
            <v>1.44</v>
          </cell>
          <cell r="EM754">
            <v>0.18</v>
          </cell>
        </row>
        <row r="755">
          <cell r="A755">
            <v>129</v>
          </cell>
          <cell r="B755" t="str">
            <v>FG</v>
          </cell>
          <cell r="C755" t="str">
            <v>FM</v>
          </cell>
          <cell r="D755" t="str">
            <v>C8+C10&gt;98%</v>
          </cell>
          <cell r="F755">
            <v>11.7</v>
          </cell>
          <cell r="H755">
            <v>3.78</v>
          </cell>
          <cell r="Q755">
            <v>3.78</v>
          </cell>
          <cell r="X755">
            <v>11.7</v>
          </cell>
          <cell r="Z755">
            <v>3.78</v>
          </cell>
          <cell r="AG755">
            <v>11.7</v>
          </cell>
          <cell r="AI755">
            <v>3.78</v>
          </cell>
          <cell r="AP755">
            <v>11.7</v>
          </cell>
          <cell r="AR755">
            <v>3.78</v>
          </cell>
          <cell r="AY755">
            <v>11.7</v>
          </cell>
          <cell r="BA755">
            <v>3.78</v>
          </cell>
          <cell r="BH755">
            <v>11.7</v>
          </cell>
          <cell r="BJ755">
            <v>3.78</v>
          </cell>
          <cell r="BQ755">
            <v>11.7</v>
          </cell>
          <cell r="BS755">
            <v>3.78</v>
          </cell>
          <cell r="BZ755">
            <v>11.52</v>
          </cell>
          <cell r="CB755">
            <v>3.78</v>
          </cell>
          <cell r="CI755">
            <v>11.52</v>
          </cell>
          <cell r="CK755">
            <v>3.78</v>
          </cell>
          <cell r="CR755">
            <v>11.52</v>
          </cell>
          <cell r="CT755">
            <v>3.78</v>
          </cell>
          <cell r="DA755">
            <v>11.52</v>
          </cell>
          <cell r="DC755">
            <v>3.78</v>
          </cell>
          <cell r="DJ755">
            <v>11.34</v>
          </cell>
          <cell r="DL755">
            <v>3.78</v>
          </cell>
          <cell r="DS755">
            <v>4.68</v>
          </cell>
          <cell r="DU755">
            <v>3.78</v>
          </cell>
          <cell r="EB755">
            <v>4.68</v>
          </cell>
          <cell r="ED755">
            <v>3.78</v>
          </cell>
          <cell r="EK755">
            <v>4.5</v>
          </cell>
          <cell r="EM755">
            <v>3.78</v>
          </cell>
        </row>
        <row r="756">
          <cell r="A756">
            <v>130</v>
          </cell>
          <cell r="B756" t="str">
            <v>FG</v>
          </cell>
          <cell r="C756" t="str">
            <v>FM</v>
          </cell>
          <cell r="D756" t="str">
            <v>OLEIC-15</v>
          </cell>
          <cell r="F756">
            <v>16.829999999999998</v>
          </cell>
          <cell r="H756">
            <v>0.185</v>
          </cell>
          <cell r="Q756">
            <v>0.185</v>
          </cell>
          <cell r="X756">
            <v>8.64</v>
          </cell>
          <cell r="Z756">
            <v>0.185</v>
          </cell>
          <cell r="AG756">
            <v>4.1399999999999997</v>
          </cell>
          <cell r="AI756">
            <v>0.185</v>
          </cell>
          <cell r="AP756">
            <v>4.1399999999999997</v>
          </cell>
          <cell r="AR756">
            <v>0.185</v>
          </cell>
          <cell r="AY756">
            <v>4.1399999999999997</v>
          </cell>
          <cell r="BA756">
            <v>0.185</v>
          </cell>
          <cell r="BH756">
            <v>4.1399999999999997</v>
          </cell>
          <cell r="BJ756">
            <v>0.185</v>
          </cell>
          <cell r="BQ756">
            <v>3.06</v>
          </cell>
          <cell r="BS756">
            <v>0.185</v>
          </cell>
          <cell r="BZ756">
            <v>3.06</v>
          </cell>
          <cell r="CB756">
            <v>0.185</v>
          </cell>
          <cell r="CI756">
            <v>2.61</v>
          </cell>
          <cell r="CK756">
            <v>0.185</v>
          </cell>
          <cell r="CR756">
            <v>1.62</v>
          </cell>
          <cell r="CT756">
            <v>0.185</v>
          </cell>
          <cell r="DA756">
            <v>1.62</v>
          </cell>
          <cell r="DC756">
            <v>0.185</v>
          </cell>
          <cell r="DL756">
            <v>0.185</v>
          </cell>
          <cell r="DS756">
            <v>9.9</v>
          </cell>
          <cell r="DU756">
            <v>0.185</v>
          </cell>
          <cell r="EB756">
            <v>7.74</v>
          </cell>
          <cell r="ED756">
            <v>0.185</v>
          </cell>
          <cell r="EK756">
            <v>7.74</v>
          </cell>
          <cell r="EM756">
            <v>0.185</v>
          </cell>
        </row>
        <row r="757">
          <cell r="A757">
            <v>131</v>
          </cell>
          <cell r="B757" t="str">
            <v>FG</v>
          </cell>
          <cell r="C757" t="str">
            <v>NM</v>
          </cell>
          <cell r="D757" t="str">
            <v>OLEIC-20</v>
          </cell>
          <cell r="H757">
            <v>0.09</v>
          </cell>
          <cell r="Q757">
            <v>0.09</v>
          </cell>
          <cell r="Z757">
            <v>0.09</v>
          </cell>
          <cell r="AR757">
            <v>0.09</v>
          </cell>
          <cell r="BA757">
            <v>0.09</v>
          </cell>
          <cell r="BJ757">
            <v>0.09</v>
          </cell>
          <cell r="BS757">
            <v>0.09</v>
          </cell>
          <cell r="CB757">
            <v>0.09</v>
          </cell>
          <cell r="CK757">
            <v>0.09</v>
          </cell>
          <cell r="CT757">
            <v>0.09</v>
          </cell>
          <cell r="DC757">
            <v>0.09</v>
          </cell>
          <cell r="DL757">
            <v>0.09</v>
          </cell>
          <cell r="DU757">
            <v>0.09</v>
          </cell>
          <cell r="ED757">
            <v>0.09</v>
          </cell>
          <cell r="EM757">
            <v>0.09</v>
          </cell>
        </row>
        <row r="758">
          <cell r="A758">
            <v>132</v>
          </cell>
          <cell r="B758" t="str">
            <v>FG</v>
          </cell>
          <cell r="C758" t="str">
            <v>NM</v>
          </cell>
          <cell r="D758" t="str">
            <v>OLEIC-26</v>
          </cell>
          <cell r="H758">
            <v>0.63</v>
          </cell>
          <cell r="N758">
            <v>0</v>
          </cell>
          <cell r="Q758">
            <v>0.63</v>
          </cell>
          <cell r="Z758">
            <v>0.63</v>
          </cell>
          <cell r="AI758">
            <v>0.63</v>
          </cell>
          <cell r="AR758">
            <v>0.63</v>
          </cell>
          <cell r="BA758">
            <v>0.63</v>
          </cell>
          <cell r="BJ758">
            <v>0.63</v>
          </cell>
          <cell r="BS758">
            <v>0.63</v>
          </cell>
          <cell r="CB758">
            <v>0.63</v>
          </cell>
          <cell r="CK758">
            <v>0.63</v>
          </cell>
          <cell r="CT758">
            <v>0.63</v>
          </cell>
          <cell r="DC758">
            <v>0.63</v>
          </cell>
          <cell r="DL758">
            <v>0.63</v>
          </cell>
          <cell r="DU758">
            <v>0.63</v>
          </cell>
          <cell r="ED758">
            <v>0.63</v>
          </cell>
          <cell r="EM758">
            <v>0.63</v>
          </cell>
        </row>
        <row r="759">
          <cell r="A759">
            <v>133</v>
          </cell>
          <cell r="B759" t="str">
            <v>FG</v>
          </cell>
          <cell r="C759" t="str">
            <v>NM</v>
          </cell>
          <cell r="D759" t="str">
            <v>OLEIC-29</v>
          </cell>
          <cell r="H759">
            <v>0.18</v>
          </cell>
          <cell r="Q759">
            <v>0.18</v>
          </cell>
          <cell r="Z759">
            <v>0.18</v>
          </cell>
          <cell r="AI759">
            <v>0.18</v>
          </cell>
          <cell r="AR759">
            <v>0.18</v>
          </cell>
          <cell r="BA759">
            <v>0.18</v>
          </cell>
          <cell r="BJ759">
            <v>0.18</v>
          </cell>
          <cell r="BS759">
            <v>0.18</v>
          </cell>
          <cell r="CB759">
            <v>0.18</v>
          </cell>
          <cell r="CK759">
            <v>0.18</v>
          </cell>
          <cell r="CT759">
            <v>0.18</v>
          </cell>
          <cell r="DC759">
            <v>0.18</v>
          </cell>
          <cell r="DL759">
            <v>0.18</v>
          </cell>
          <cell r="DU759">
            <v>0.18</v>
          </cell>
          <cell r="ED759">
            <v>0.18</v>
          </cell>
          <cell r="EM759">
            <v>0.18</v>
          </cell>
        </row>
        <row r="760">
          <cell r="A760">
            <v>134</v>
          </cell>
          <cell r="B760" t="str">
            <v>FG</v>
          </cell>
          <cell r="C760" t="str">
            <v>FM</v>
          </cell>
          <cell r="D760" t="str">
            <v>OLEIC-K</v>
          </cell>
          <cell r="F760">
            <v>4.8600000000000003</v>
          </cell>
          <cell r="H760">
            <v>4.335</v>
          </cell>
          <cell r="Q760">
            <v>4.335</v>
          </cell>
          <cell r="X760">
            <v>4.8600000000000003</v>
          </cell>
          <cell r="Z760">
            <v>4.335</v>
          </cell>
          <cell r="AG760">
            <v>2.7</v>
          </cell>
          <cell r="AI760">
            <v>12.434999999999999</v>
          </cell>
          <cell r="AP760">
            <v>2.7</v>
          </cell>
          <cell r="AR760">
            <v>4.335</v>
          </cell>
          <cell r="AY760">
            <v>2.7</v>
          </cell>
          <cell r="BA760">
            <v>4.335</v>
          </cell>
          <cell r="BH760">
            <v>11.7</v>
          </cell>
          <cell r="BJ760">
            <v>4.335</v>
          </cell>
          <cell r="BQ760">
            <v>2.7</v>
          </cell>
          <cell r="BS760">
            <v>4.335</v>
          </cell>
          <cell r="BZ760">
            <v>2.34</v>
          </cell>
          <cell r="CB760">
            <v>4.335</v>
          </cell>
          <cell r="CI760">
            <v>2.34</v>
          </cell>
          <cell r="CK760">
            <v>4.335</v>
          </cell>
          <cell r="CR760">
            <v>2.34</v>
          </cell>
          <cell r="CT760">
            <v>4.335</v>
          </cell>
          <cell r="DA760">
            <v>2.34</v>
          </cell>
          <cell r="DC760">
            <v>4.335</v>
          </cell>
          <cell r="DJ760">
            <v>2.34</v>
          </cell>
          <cell r="DL760">
            <v>4.335</v>
          </cell>
          <cell r="DS760">
            <v>2.34</v>
          </cell>
          <cell r="DU760">
            <v>4.335</v>
          </cell>
          <cell r="EB760">
            <v>2.34</v>
          </cell>
          <cell r="ED760">
            <v>4.335</v>
          </cell>
          <cell r="EK760">
            <v>1.98</v>
          </cell>
          <cell r="EM760">
            <v>4.335</v>
          </cell>
        </row>
        <row r="761">
          <cell r="A761">
            <v>135</v>
          </cell>
          <cell r="B761" t="str">
            <v>FG</v>
          </cell>
          <cell r="C761" t="str">
            <v>NM</v>
          </cell>
          <cell r="D761" t="str">
            <v>OLEIC-70</v>
          </cell>
          <cell r="H761">
            <v>0.185</v>
          </cell>
          <cell r="Q761">
            <v>0.185</v>
          </cell>
          <cell r="Z761">
            <v>0.185</v>
          </cell>
          <cell r="AI761">
            <v>0.185</v>
          </cell>
          <cell r="AR761">
            <v>0.185</v>
          </cell>
          <cell r="BA761">
            <v>0.185</v>
          </cell>
          <cell r="BJ761">
            <v>0.185</v>
          </cell>
          <cell r="BS761">
            <v>0.185</v>
          </cell>
          <cell r="CB761">
            <v>0.185</v>
          </cell>
          <cell r="CK761">
            <v>0.185</v>
          </cell>
          <cell r="CT761">
            <v>0.185</v>
          </cell>
          <cell r="DC761">
            <v>0.185</v>
          </cell>
          <cell r="DL761">
            <v>0.185</v>
          </cell>
          <cell r="DU761">
            <v>0.185</v>
          </cell>
          <cell r="ED761">
            <v>0.185</v>
          </cell>
          <cell r="EM761">
            <v>0.185</v>
          </cell>
        </row>
        <row r="762">
          <cell r="A762">
            <v>136</v>
          </cell>
          <cell r="B762" t="str">
            <v>FG</v>
          </cell>
          <cell r="C762" t="str">
            <v>FM</v>
          </cell>
          <cell r="D762" t="str">
            <v>C22:1&gt;90</v>
          </cell>
          <cell r="F762">
            <v>0.18</v>
          </cell>
          <cell r="X762">
            <v>14.58</v>
          </cell>
          <cell r="AG762">
            <v>0.18</v>
          </cell>
          <cell r="AI762">
            <v>0.09</v>
          </cell>
          <cell r="AP762">
            <v>0.18</v>
          </cell>
          <cell r="AY762">
            <v>0.18</v>
          </cell>
          <cell r="BH762">
            <v>0.18</v>
          </cell>
          <cell r="BQ762">
            <v>0.18</v>
          </cell>
          <cell r="BZ762">
            <v>0.18</v>
          </cell>
          <cell r="CI762">
            <v>0.18</v>
          </cell>
          <cell r="CR762">
            <v>0.18</v>
          </cell>
          <cell r="DA762">
            <v>0.18</v>
          </cell>
          <cell r="DJ762">
            <v>0.18</v>
          </cell>
          <cell r="DS762">
            <v>0.18</v>
          </cell>
          <cell r="EB762">
            <v>0.18</v>
          </cell>
          <cell r="EK762">
            <v>0.18</v>
          </cell>
        </row>
        <row r="763">
          <cell r="A763">
            <v>137</v>
          </cell>
          <cell r="B763" t="str">
            <v>FG</v>
          </cell>
          <cell r="C763" t="str">
            <v>NM</v>
          </cell>
          <cell r="D763" t="str">
            <v>DCPS</v>
          </cell>
        </row>
        <row r="764">
          <cell r="A764">
            <v>138</v>
          </cell>
          <cell r="B764" t="str">
            <v>FG</v>
          </cell>
          <cell r="C764" t="str">
            <v>NM</v>
          </cell>
          <cell r="D764" t="str">
            <v>DFA C12/C14</v>
          </cell>
          <cell r="DV764">
            <v>12.58</v>
          </cell>
        </row>
        <row r="765">
          <cell r="A765">
            <v>139</v>
          </cell>
          <cell r="B765" t="str">
            <v>FG</v>
          </cell>
          <cell r="C765" t="str">
            <v>NM</v>
          </cell>
          <cell r="D765" t="str">
            <v>OLEIC-IG</v>
          </cell>
          <cell r="F765">
            <v>4.68</v>
          </cell>
          <cell r="X765">
            <v>20.16</v>
          </cell>
          <cell r="AG765">
            <v>7.56</v>
          </cell>
          <cell r="AP765">
            <v>7.56</v>
          </cell>
          <cell r="AY765">
            <v>1.17</v>
          </cell>
          <cell r="BH765">
            <v>7.56</v>
          </cell>
          <cell r="BQ765">
            <v>7.56</v>
          </cell>
          <cell r="BZ765">
            <v>7.56</v>
          </cell>
          <cell r="CI765">
            <v>7.56</v>
          </cell>
          <cell r="CR765">
            <v>7.56</v>
          </cell>
          <cell r="DA765">
            <v>7.56</v>
          </cell>
          <cell r="DJ765">
            <v>7.56</v>
          </cell>
          <cell r="DS765">
            <v>7.56</v>
          </cell>
          <cell r="EB765">
            <v>7.56</v>
          </cell>
          <cell r="EK765">
            <v>7.56</v>
          </cell>
        </row>
        <row r="766">
          <cell r="A766">
            <v>140</v>
          </cell>
          <cell r="B766" t="str">
            <v>FG</v>
          </cell>
          <cell r="C766" t="str">
            <v>NM</v>
          </cell>
          <cell r="D766" t="str">
            <v>Vegarol 1214</v>
          </cell>
          <cell r="CL766">
            <v>0.17</v>
          </cell>
          <cell r="DD766">
            <v>0.17</v>
          </cell>
          <cell r="DM766">
            <v>12.58</v>
          </cell>
        </row>
        <row r="767">
          <cell r="A767">
            <v>257</v>
          </cell>
          <cell r="B767" t="str">
            <v>FG</v>
          </cell>
          <cell r="C767" t="str">
            <v>NM</v>
          </cell>
          <cell r="D767" t="str">
            <v>Vegarol 10</v>
          </cell>
        </row>
        <row r="768">
          <cell r="F768">
            <v>111.43</v>
          </cell>
          <cell r="G768">
            <v>0</v>
          </cell>
          <cell r="H768">
            <v>22.504999999999999</v>
          </cell>
          <cell r="I768">
            <v>0</v>
          </cell>
          <cell r="J768">
            <v>14</v>
          </cell>
          <cell r="K768">
            <v>0</v>
          </cell>
          <cell r="L768">
            <v>0</v>
          </cell>
          <cell r="M768">
            <v>0</v>
          </cell>
          <cell r="O768">
            <v>0</v>
          </cell>
          <cell r="P768">
            <v>0</v>
          </cell>
          <cell r="Q768">
            <v>22.504999999999999</v>
          </cell>
          <cell r="R768">
            <v>0</v>
          </cell>
          <cell r="S768">
            <v>14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148.70000000000002</v>
          </cell>
          <cell r="Y768">
            <v>0</v>
          </cell>
          <cell r="Z768">
            <v>22.504999999999999</v>
          </cell>
          <cell r="AA768">
            <v>0</v>
          </cell>
          <cell r="AB768">
            <v>58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G768">
            <v>99.530000000000015</v>
          </cell>
          <cell r="AH768">
            <v>0</v>
          </cell>
          <cell r="AI768">
            <v>30.514999999999997</v>
          </cell>
          <cell r="AJ768">
            <v>0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108.64000000000001</v>
          </cell>
          <cell r="AQ768">
            <v>0</v>
          </cell>
          <cell r="AR768">
            <v>22.504999999999999</v>
          </cell>
          <cell r="AS768">
            <v>0</v>
          </cell>
          <cell r="AT768">
            <v>130.25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94.580000000000013</v>
          </cell>
          <cell r="AZ768">
            <v>0</v>
          </cell>
          <cell r="BA768">
            <v>22.504999999999999</v>
          </cell>
          <cell r="BB768">
            <v>0</v>
          </cell>
          <cell r="BC768">
            <v>129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111.86000000000001</v>
          </cell>
          <cell r="BI768">
            <v>0</v>
          </cell>
          <cell r="BJ768">
            <v>22.504999999999999</v>
          </cell>
          <cell r="BK768">
            <v>0</v>
          </cell>
          <cell r="BL768">
            <v>160.75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155.63999999999999</v>
          </cell>
          <cell r="BR768">
            <v>0</v>
          </cell>
          <cell r="BS768">
            <v>22.504999999999999</v>
          </cell>
          <cell r="BT768">
            <v>0</v>
          </cell>
          <cell r="BU768">
            <v>76.75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138.82999999999998</v>
          </cell>
          <cell r="CA768">
            <v>0</v>
          </cell>
          <cell r="CB768">
            <v>22.504999999999999</v>
          </cell>
          <cell r="CC768">
            <v>0</v>
          </cell>
          <cell r="CD768">
            <v>76.75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124.50000000000001</v>
          </cell>
          <cell r="CJ768">
            <v>0</v>
          </cell>
          <cell r="CK768">
            <v>22.504999999999999</v>
          </cell>
          <cell r="CL768">
            <v>0.17</v>
          </cell>
          <cell r="CM768">
            <v>51.25</v>
          </cell>
          <cell r="CN768">
            <v>0</v>
          </cell>
          <cell r="CO768">
            <v>0</v>
          </cell>
          <cell r="CP768">
            <v>0</v>
          </cell>
          <cell r="CQ768">
            <v>0</v>
          </cell>
          <cell r="CR768">
            <v>109.53000000000002</v>
          </cell>
          <cell r="CS768">
            <v>0</v>
          </cell>
          <cell r="CT768">
            <v>22.504999999999999</v>
          </cell>
          <cell r="CU768">
            <v>0</v>
          </cell>
          <cell r="CV768">
            <v>51.75</v>
          </cell>
          <cell r="CW768">
            <v>0</v>
          </cell>
          <cell r="CX768">
            <v>0</v>
          </cell>
          <cell r="CY768">
            <v>0</v>
          </cell>
          <cell r="CZ768">
            <v>0</v>
          </cell>
          <cell r="DA768">
            <v>92.27000000000001</v>
          </cell>
          <cell r="DB768">
            <v>0</v>
          </cell>
          <cell r="DC768">
            <v>22.504999999999999</v>
          </cell>
          <cell r="DD768">
            <v>0.17</v>
          </cell>
          <cell r="DE768">
            <v>125</v>
          </cell>
          <cell r="DF768">
            <v>0</v>
          </cell>
          <cell r="DG768">
            <v>0</v>
          </cell>
          <cell r="DH768">
            <v>0</v>
          </cell>
          <cell r="DI768">
            <v>0</v>
          </cell>
          <cell r="DJ768">
            <v>79.350000000000009</v>
          </cell>
          <cell r="DK768">
            <v>0</v>
          </cell>
          <cell r="DL768">
            <v>22.504999999999999</v>
          </cell>
          <cell r="DM768">
            <v>12.58</v>
          </cell>
          <cell r="DN768">
            <v>85.5</v>
          </cell>
          <cell r="DO768">
            <v>0</v>
          </cell>
          <cell r="DP768">
            <v>0</v>
          </cell>
          <cell r="DQ768">
            <v>0</v>
          </cell>
          <cell r="DR768">
            <v>0</v>
          </cell>
          <cell r="DS768">
            <v>82.050000000000011</v>
          </cell>
          <cell r="DT768">
            <v>0</v>
          </cell>
          <cell r="DU768">
            <v>17.754999999999999</v>
          </cell>
          <cell r="DV768">
            <v>12.58</v>
          </cell>
          <cell r="DW768">
            <v>30</v>
          </cell>
          <cell r="DX768">
            <v>0</v>
          </cell>
          <cell r="DY768">
            <v>0</v>
          </cell>
          <cell r="DZ768">
            <v>0</v>
          </cell>
          <cell r="EA768">
            <v>0</v>
          </cell>
          <cell r="EB768">
            <v>51.43</v>
          </cell>
          <cell r="EC768">
            <v>0</v>
          </cell>
          <cell r="ED768">
            <v>17.754999999999999</v>
          </cell>
          <cell r="EE768">
            <v>0</v>
          </cell>
          <cell r="EF768">
            <v>61</v>
          </cell>
          <cell r="EG768">
            <v>0</v>
          </cell>
          <cell r="EH768">
            <v>0</v>
          </cell>
          <cell r="EI768">
            <v>0</v>
          </cell>
          <cell r="EJ768">
            <v>0</v>
          </cell>
          <cell r="EK768">
            <v>72.63000000000001</v>
          </cell>
          <cell r="EL768">
            <v>0</v>
          </cell>
          <cell r="EM768">
            <v>17.754999999999999</v>
          </cell>
          <cell r="EN768">
            <v>0</v>
          </cell>
          <cell r="EO768">
            <v>33.25</v>
          </cell>
          <cell r="EP768">
            <v>0</v>
          </cell>
          <cell r="EQ768">
            <v>0</v>
          </cell>
          <cell r="ER768">
            <v>0</v>
          </cell>
          <cell r="ES768">
            <v>0</v>
          </cell>
        </row>
        <row r="769">
          <cell r="A769" t="str">
            <v>FATTY ACID FLAKES</v>
          </cell>
        </row>
        <row r="770">
          <cell r="A770">
            <v>141</v>
          </cell>
          <cell r="B770" t="str">
            <v>FG</v>
          </cell>
          <cell r="C770" t="str">
            <v>FM</v>
          </cell>
          <cell r="D770" t="str">
            <v>C14&gt;99%</v>
          </cell>
          <cell r="I770">
            <v>32.875</v>
          </cell>
          <cell r="R770">
            <v>32.875</v>
          </cell>
          <cell r="AA770">
            <v>32.875</v>
          </cell>
          <cell r="AJ770">
            <v>32.875</v>
          </cell>
          <cell r="AS770">
            <v>32.875</v>
          </cell>
          <cell r="BB770">
            <v>32.875</v>
          </cell>
          <cell r="BK770">
            <v>32.875</v>
          </cell>
          <cell r="BT770">
            <v>32.875</v>
          </cell>
          <cell r="CC770">
            <v>32.875</v>
          </cell>
          <cell r="CL770">
            <v>32.875</v>
          </cell>
          <cell r="CU770">
            <v>32.875</v>
          </cell>
          <cell r="DD770">
            <v>32.875</v>
          </cell>
          <cell r="DM770">
            <v>32.875</v>
          </cell>
          <cell r="DV770">
            <v>32.875</v>
          </cell>
          <cell r="EE770">
            <v>32.875</v>
          </cell>
          <cell r="EN770">
            <v>32.875</v>
          </cell>
        </row>
        <row r="771">
          <cell r="A771">
            <v>142</v>
          </cell>
          <cell r="B771" t="str">
            <v>FG</v>
          </cell>
          <cell r="C771" t="str">
            <v>FM</v>
          </cell>
          <cell r="D771" t="str">
            <v>C16 85%</v>
          </cell>
          <cell r="R771">
            <v>0</v>
          </cell>
          <cell r="AS771">
            <v>0</v>
          </cell>
          <cell r="BB771">
            <v>0</v>
          </cell>
          <cell r="BK771">
            <v>0</v>
          </cell>
          <cell r="BT771">
            <v>0</v>
          </cell>
          <cell r="CC771">
            <v>0</v>
          </cell>
          <cell r="CU771">
            <v>0</v>
          </cell>
          <cell r="EE771">
            <v>0</v>
          </cell>
          <cell r="EN771">
            <v>0</v>
          </cell>
        </row>
        <row r="772">
          <cell r="A772">
            <v>143</v>
          </cell>
          <cell r="B772" t="str">
            <v>FG</v>
          </cell>
          <cell r="C772" t="str">
            <v>FM</v>
          </cell>
          <cell r="D772" t="str">
            <v>UTSR</v>
          </cell>
          <cell r="F772">
            <v>19.600000000000001</v>
          </cell>
          <cell r="H772">
            <v>6.85</v>
          </cell>
          <cell r="I772">
            <v>551.30999999999995</v>
          </cell>
          <cell r="Q772">
            <v>6.85</v>
          </cell>
          <cell r="R772">
            <v>475.31</v>
          </cell>
          <cell r="X772">
            <v>92.6</v>
          </cell>
          <cell r="Z772">
            <v>25.85</v>
          </cell>
          <cell r="AA772">
            <v>427.56</v>
          </cell>
          <cell r="AG772">
            <v>66.75</v>
          </cell>
          <cell r="AI772">
            <v>0.85</v>
          </cell>
          <cell r="AJ772">
            <v>493.66</v>
          </cell>
          <cell r="AP772">
            <v>81.599999999999994</v>
          </cell>
          <cell r="AR772">
            <v>10.85</v>
          </cell>
          <cell r="AS772">
            <v>376.83499999999998</v>
          </cell>
          <cell r="AY772">
            <v>111.8</v>
          </cell>
          <cell r="BA772">
            <v>68.849999999999994</v>
          </cell>
          <cell r="BB772">
            <v>315.98500000000001</v>
          </cell>
          <cell r="BH772">
            <v>66.849999999999994</v>
          </cell>
          <cell r="BJ772">
            <v>58.85</v>
          </cell>
          <cell r="BK772">
            <v>255.08500000000001</v>
          </cell>
          <cell r="BQ772">
            <v>25.85</v>
          </cell>
          <cell r="BS772">
            <v>49.85</v>
          </cell>
          <cell r="BT772">
            <v>205.88499999999999</v>
          </cell>
          <cell r="BZ772">
            <v>19.850000000000001</v>
          </cell>
          <cell r="CB772">
            <v>65.849999999999994</v>
          </cell>
          <cell r="CC772">
            <v>202.935</v>
          </cell>
          <cell r="CI772">
            <v>81.349999999999994</v>
          </cell>
          <cell r="CK772">
            <v>60.85</v>
          </cell>
          <cell r="CL772">
            <v>199.83500000000001</v>
          </cell>
          <cell r="CR772">
            <v>50.35</v>
          </cell>
          <cell r="CT772">
            <v>51.85</v>
          </cell>
          <cell r="CU772">
            <v>292.56</v>
          </cell>
          <cell r="DA772">
            <v>62.8</v>
          </cell>
          <cell r="DC772">
            <v>87.85</v>
          </cell>
          <cell r="DD772">
            <v>319.56</v>
          </cell>
          <cell r="DJ772">
            <v>35.799999999999997</v>
          </cell>
          <cell r="DL772">
            <v>27.85</v>
          </cell>
          <cell r="DM772">
            <v>308.91000000000003</v>
          </cell>
          <cell r="DS772">
            <v>75.05</v>
          </cell>
          <cell r="DU772">
            <v>8.35</v>
          </cell>
          <cell r="DV772">
            <v>264.81</v>
          </cell>
          <cell r="EB772">
            <v>154.30000000000001</v>
          </cell>
          <cell r="ED772">
            <v>8.35</v>
          </cell>
          <cell r="EE772">
            <v>254.81</v>
          </cell>
          <cell r="EK772">
            <v>195.8</v>
          </cell>
          <cell r="EM772">
            <v>52.35</v>
          </cell>
          <cell r="EN772">
            <v>293.16000000000003</v>
          </cell>
        </row>
        <row r="773">
          <cell r="A773">
            <v>144</v>
          </cell>
          <cell r="B773" t="str">
            <v>FG</v>
          </cell>
          <cell r="C773" t="str">
            <v>FM</v>
          </cell>
          <cell r="D773" t="str">
            <v>UTSR SPECIAL</v>
          </cell>
          <cell r="I773">
            <v>0.45</v>
          </cell>
          <cell r="R773">
            <v>0.45</v>
          </cell>
          <cell r="AA773">
            <v>0.45</v>
          </cell>
          <cell r="AI773">
            <v>1.05</v>
          </cell>
          <cell r="AJ773">
            <v>0.45</v>
          </cell>
          <cell r="AS773">
            <v>0.45</v>
          </cell>
          <cell r="BB773">
            <v>0.45</v>
          </cell>
          <cell r="BK773">
            <v>0.45</v>
          </cell>
          <cell r="BT773">
            <v>0.45</v>
          </cell>
          <cell r="CC773">
            <v>0.45</v>
          </cell>
          <cell r="CL773">
            <v>0.45</v>
          </cell>
          <cell r="CU773">
            <v>0.45</v>
          </cell>
          <cell r="DD773">
            <v>0.45</v>
          </cell>
          <cell r="DM773">
            <v>0.45</v>
          </cell>
          <cell r="DV773">
            <v>0.45</v>
          </cell>
          <cell r="EE773">
            <v>0.45</v>
          </cell>
          <cell r="EN773">
            <v>0.45</v>
          </cell>
        </row>
        <row r="774">
          <cell r="A774">
            <v>145</v>
          </cell>
          <cell r="B774" t="str">
            <v>FG</v>
          </cell>
          <cell r="C774" t="str">
            <v>FM</v>
          </cell>
          <cell r="D774" t="str">
            <v>DTP-7</v>
          </cell>
          <cell r="F774">
            <v>48.3</v>
          </cell>
          <cell r="I774">
            <v>48.1</v>
          </cell>
          <cell r="R774">
            <v>35.799999999999997</v>
          </cell>
          <cell r="X774">
            <v>36.9</v>
          </cell>
          <cell r="AA774">
            <v>3.8</v>
          </cell>
          <cell r="AG774">
            <v>34.9</v>
          </cell>
          <cell r="AJ774">
            <v>1.1499999999999999</v>
          </cell>
          <cell r="AP774">
            <v>43.9</v>
          </cell>
          <cell r="AS774">
            <v>34.5</v>
          </cell>
          <cell r="AY774">
            <v>17.600000000000001</v>
          </cell>
          <cell r="BB774">
            <v>11</v>
          </cell>
          <cell r="BH774">
            <v>8.6</v>
          </cell>
          <cell r="BK774">
            <v>2</v>
          </cell>
          <cell r="BQ774">
            <v>5.6</v>
          </cell>
          <cell r="BT774">
            <v>34.950000000000003</v>
          </cell>
          <cell r="BZ774">
            <v>20.6</v>
          </cell>
          <cell r="CC774">
            <v>76.05</v>
          </cell>
          <cell r="CI774">
            <v>34.799999999999997</v>
          </cell>
          <cell r="CK774">
            <v>31</v>
          </cell>
          <cell r="CL774">
            <v>42.8</v>
          </cell>
          <cell r="CR774">
            <v>45.8</v>
          </cell>
          <cell r="CT774">
            <v>41.2</v>
          </cell>
          <cell r="CU774">
            <v>26.8</v>
          </cell>
          <cell r="DA774">
            <v>36.799999999999997</v>
          </cell>
          <cell r="DC774">
            <v>41.2</v>
          </cell>
          <cell r="DD774">
            <v>50.35</v>
          </cell>
          <cell r="DJ774">
            <v>16.3</v>
          </cell>
          <cell r="DL774">
            <v>41.2</v>
          </cell>
          <cell r="DM774">
            <v>55.35</v>
          </cell>
          <cell r="DS774">
            <v>9.3000000000000007</v>
          </cell>
          <cell r="DU774">
            <v>41.2</v>
          </cell>
          <cell r="DV774">
            <v>78.900000000000006</v>
          </cell>
          <cell r="EB774">
            <v>1.8</v>
          </cell>
          <cell r="ED774">
            <v>41.2</v>
          </cell>
          <cell r="EE774">
            <v>49.95</v>
          </cell>
          <cell r="EK774">
            <v>1.8</v>
          </cell>
          <cell r="EM774">
            <v>36.200000000000003</v>
          </cell>
          <cell r="EN774">
            <v>53.05</v>
          </cell>
        </row>
        <row r="775">
          <cell r="A775">
            <v>146</v>
          </cell>
          <cell r="B775" t="str">
            <v>FG</v>
          </cell>
          <cell r="C775" t="str">
            <v>FM</v>
          </cell>
          <cell r="D775" t="str">
            <v>DTP-CT</v>
          </cell>
          <cell r="F775">
            <v>27.3</v>
          </cell>
          <cell r="R775">
            <v>0</v>
          </cell>
          <cell r="X775">
            <v>22.6</v>
          </cell>
          <cell r="AG775">
            <v>18.600000000000001</v>
          </cell>
          <cell r="AJ775">
            <v>0</v>
          </cell>
          <cell r="AP775">
            <v>18.600000000000001</v>
          </cell>
          <cell r="AS775">
            <v>0</v>
          </cell>
          <cell r="AY775">
            <v>2.6</v>
          </cell>
          <cell r="BB775">
            <v>0</v>
          </cell>
          <cell r="BH775">
            <v>2.6</v>
          </cell>
          <cell r="BK775">
            <v>0</v>
          </cell>
          <cell r="BQ775">
            <v>26.6</v>
          </cell>
          <cell r="BT775">
            <v>0</v>
          </cell>
          <cell r="BZ775">
            <v>37.6</v>
          </cell>
          <cell r="CC775">
            <v>0</v>
          </cell>
          <cell r="CI775">
            <v>0.4</v>
          </cell>
          <cell r="CR775">
            <v>47.4</v>
          </cell>
          <cell r="CU775">
            <v>0</v>
          </cell>
          <cell r="DA775">
            <v>57.65</v>
          </cell>
          <cell r="DC775">
            <v>20</v>
          </cell>
          <cell r="DJ775">
            <v>44.65</v>
          </cell>
          <cell r="DL775">
            <v>20</v>
          </cell>
          <cell r="DS775">
            <v>44.65</v>
          </cell>
          <cell r="DU775">
            <v>20</v>
          </cell>
          <cell r="EB775">
            <v>13.65</v>
          </cell>
          <cell r="ED775">
            <v>20</v>
          </cell>
          <cell r="EE775">
            <v>0</v>
          </cell>
          <cell r="EK775">
            <v>4.6500000000000004</v>
          </cell>
          <cell r="EM775">
            <v>20</v>
          </cell>
          <cell r="EN775">
            <v>0</v>
          </cell>
        </row>
        <row r="776">
          <cell r="A776">
            <v>147</v>
          </cell>
          <cell r="B776" t="str">
            <v>FG</v>
          </cell>
          <cell r="C776" t="str">
            <v>FM</v>
          </cell>
          <cell r="D776" t="str">
            <v>P-12</v>
          </cell>
          <cell r="F776">
            <v>1.25</v>
          </cell>
          <cell r="H776">
            <v>12</v>
          </cell>
          <cell r="I776">
            <v>27.65</v>
          </cell>
          <cell r="Q776">
            <v>6</v>
          </cell>
          <cell r="R776">
            <v>86.4</v>
          </cell>
          <cell r="X776">
            <v>1.25</v>
          </cell>
          <cell r="AA776">
            <v>115.1</v>
          </cell>
          <cell r="AG776">
            <v>1.25</v>
          </cell>
          <cell r="AJ776">
            <v>109.1</v>
          </cell>
          <cell r="AR776">
            <v>4</v>
          </cell>
          <cell r="AS776">
            <v>103.1</v>
          </cell>
          <cell r="BA776">
            <v>4</v>
          </cell>
          <cell r="BB776">
            <v>69.099999999999994</v>
          </cell>
          <cell r="BH776">
            <v>51.4</v>
          </cell>
          <cell r="BJ776">
            <v>24</v>
          </cell>
          <cell r="BK776">
            <v>124.4</v>
          </cell>
          <cell r="BQ776">
            <v>39.4</v>
          </cell>
          <cell r="BS776">
            <v>34</v>
          </cell>
          <cell r="BT776">
            <v>130.1</v>
          </cell>
          <cell r="BZ776">
            <v>23.4</v>
          </cell>
          <cell r="CB776">
            <v>34</v>
          </cell>
          <cell r="CC776">
            <v>117.1</v>
          </cell>
          <cell r="CI776">
            <v>39.4</v>
          </cell>
          <cell r="CK776">
            <v>34.049999999999997</v>
          </cell>
          <cell r="CL776">
            <v>107.4</v>
          </cell>
          <cell r="CR776">
            <v>14.4</v>
          </cell>
          <cell r="CT776">
            <v>34</v>
          </cell>
          <cell r="CU776">
            <v>92.4</v>
          </cell>
          <cell r="DA776">
            <v>14.4</v>
          </cell>
          <cell r="DC776">
            <v>34</v>
          </cell>
          <cell r="DD776">
            <v>92.4</v>
          </cell>
          <cell r="DJ776">
            <v>13.4</v>
          </cell>
          <cell r="DL776">
            <v>34</v>
          </cell>
          <cell r="DM776">
            <v>74.400000000000006</v>
          </cell>
          <cell r="DS776">
            <v>13.4</v>
          </cell>
          <cell r="DU776">
            <v>34</v>
          </cell>
          <cell r="DV776">
            <v>74.400000000000006</v>
          </cell>
          <cell r="EB776">
            <v>0.4</v>
          </cell>
          <cell r="ED776">
            <v>18</v>
          </cell>
          <cell r="EE776">
            <v>65.400000000000006</v>
          </cell>
          <cell r="EK776">
            <v>0.4</v>
          </cell>
          <cell r="EM776">
            <v>18</v>
          </cell>
          <cell r="EN776">
            <v>40.4</v>
          </cell>
        </row>
        <row r="777">
          <cell r="A777">
            <v>148</v>
          </cell>
          <cell r="B777" t="str">
            <v>FG</v>
          </cell>
          <cell r="C777" t="str">
            <v>FM</v>
          </cell>
          <cell r="D777" t="str">
            <v>P-12 SPECIAL</v>
          </cell>
          <cell r="R777">
            <v>0</v>
          </cell>
          <cell r="AJ777">
            <v>0</v>
          </cell>
          <cell r="AS777">
            <v>0</v>
          </cell>
          <cell r="BB777">
            <v>0</v>
          </cell>
          <cell r="BK777">
            <v>0</v>
          </cell>
          <cell r="BT777">
            <v>0</v>
          </cell>
          <cell r="CC777">
            <v>0</v>
          </cell>
          <cell r="CU777">
            <v>0</v>
          </cell>
          <cell r="EE777">
            <v>25</v>
          </cell>
          <cell r="EN777">
            <v>25</v>
          </cell>
        </row>
        <row r="778">
          <cell r="A778">
            <v>149</v>
          </cell>
          <cell r="B778" t="str">
            <v>FG</v>
          </cell>
          <cell r="C778" t="str">
            <v>NM</v>
          </cell>
          <cell r="D778" t="str">
            <v>BEHENIC-75</v>
          </cell>
          <cell r="R778">
            <v>0</v>
          </cell>
          <cell r="AJ778">
            <v>0</v>
          </cell>
          <cell r="AS778">
            <v>0</v>
          </cell>
          <cell r="BB778">
            <v>0</v>
          </cell>
          <cell r="BK778">
            <v>0</v>
          </cell>
          <cell r="BT778">
            <v>0</v>
          </cell>
          <cell r="CC778">
            <v>0</v>
          </cell>
          <cell r="CU778">
            <v>0</v>
          </cell>
          <cell r="EE778">
            <v>0</v>
          </cell>
          <cell r="EN778">
            <v>0</v>
          </cell>
        </row>
        <row r="779">
          <cell r="A779">
            <v>150</v>
          </cell>
          <cell r="B779" t="str">
            <v>FG</v>
          </cell>
          <cell r="C779" t="str">
            <v>NM</v>
          </cell>
          <cell r="D779" t="str">
            <v>BEHENIC-85</v>
          </cell>
          <cell r="R779">
            <v>0</v>
          </cell>
          <cell r="AJ779">
            <v>0</v>
          </cell>
          <cell r="AS779">
            <v>0</v>
          </cell>
          <cell r="BB779">
            <v>0</v>
          </cell>
          <cell r="BK779">
            <v>0</v>
          </cell>
          <cell r="BT779">
            <v>0</v>
          </cell>
          <cell r="CC779">
            <v>0</v>
          </cell>
          <cell r="CU779">
            <v>0</v>
          </cell>
          <cell r="EE779">
            <v>0</v>
          </cell>
          <cell r="EN779">
            <v>0</v>
          </cell>
        </row>
        <row r="780">
          <cell r="A780">
            <v>151</v>
          </cell>
          <cell r="B780" t="str">
            <v>FG</v>
          </cell>
          <cell r="C780" t="str">
            <v>FM</v>
          </cell>
          <cell r="D780" t="str">
            <v>BEHENIC-90</v>
          </cell>
          <cell r="F780">
            <v>144.94999999999999</v>
          </cell>
          <cell r="N780">
            <v>0</v>
          </cell>
          <cell r="R780">
            <v>0</v>
          </cell>
          <cell r="X780">
            <v>144.94999999999999</v>
          </cell>
          <cell r="AG780">
            <v>144.94999999999999</v>
          </cell>
          <cell r="AJ780">
            <v>0</v>
          </cell>
          <cell r="AP780">
            <v>144.94999999999999</v>
          </cell>
          <cell r="AS780">
            <v>0</v>
          </cell>
          <cell r="AY780">
            <v>144.94999999999999</v>
          </cell>
          <cell r="BB780">
            <v>0</v>
          </cell>
          <cell r="BH780">
            <v>144.94999999999999</v>
          </cell>
          <cell r="BK780">
            <v>0</v>
          </cell>
          <cell r="BQ780">
            <v>117.7</v>
          </cell>
          <cell r="BT780">
            <v>0</v>
          </cell>
          <cell r="BZ780">
            <v>117.7</v>
          </cell>
          <cell r="CC780">
            <v>0</v>
          </cell>
          <cell r="CI780">
            <v>117.7</v>
          </cell>
          <cell r="CR780">
            <v>117.7</v>
          </cell>
          <cell r="CU780">
            <v>0</v>
          </cell>
          <cell r="DA780">
            <v>117.7</v>
          </cell>
          <cell r="DJ780">
            <v>77.7</v>
          </cell>
          <cell r="DS780">
            <v>77.7</v>
          </cell>
          <cell r="EB780">
            <v>77.7</v>
          </cell>
          <cell r="EE780">
            <v>0</v>
          </cell>
          <cell r="EK780">
            <v>77.7</v>
          </cell>
          <cell r="EN780">
            <v>0</v>
          </cell>
        </row>
        <row r="781">
          <cell r="A781">
            <v>152</v>
          </cell>
          <cell r="B781" t="str">
            <v>FG</v>
          </cell>
          <cell r="C781" t="str">
            <v>FM</v>
          </cell>
          <cell r="D781" t="str">
            <v>G3 STEARIC</v>
          </cell>
          <cell r="H781">
            <v>1.75</v>
          </cell>
          <cell r="Q781">
            <v>1.75</v>
          </cell>
          <cell r="R781">
            <v>0</v>
          </cell>
          <cell r="Z781">
            <v>1.75</v>
          </cell>
          <cell r="AJ781">
            <v>0</v>
          </cell>
          <cell r="AR781">
            <v>1.75</v>
          </cell>
          <cell r="AS781">
            <v>0</v>
          </cell>
          <cell r="BA781">
            <v>1.75</v>
          </cell>
          <cell r="BB781">
            <v>0</v>
          </cell>
          <cell r="BJ781">
            <v>1.75</v>
          </cell>
          <cell r="BK781">
            <v>0</v>
          </cell>
          <cell r="BS781">
            <v>1.75</v>
          </cell>
          <cell r="BT781">
            <v>0</v>
          </cell>
          <cell r="CB781">
            <v>1.75</v>
          </cell>
          <cell r="CC781">
            <v>0</v>
          </cell>
          <cell r="CT781">
            <v>1.75</v>
          </cell>
          <cell r="CU781">
            <v>0</v>
          </cell>
          <cell r="DC781">
            <v>1.75</v>
          </cell>
          <cell r="DL781">
            <v>1.75</v>
          </cell>
          <cell r="DU781">
            <v>1.75</v>
          </cell>
          <cell r="ED781">
            <v>1.75</v>
          </cell>
          <cell r="EE781">
            <v>0</v>
          </cell>
          <cell r="EM781">
            <v>1.75</v>
          </cell>
          <cell r="EN781">
            <v>0</v>
          </cell>
        </row>
        <row r="782">
          <cell r="A782">
            <v>153</v>
          </cell>
          <cell r="B782" t="str">
            <v>FG</v>
          </cell>
          <cell r="C782" t="str">
            <v>NM</v>
          </cell>
          <cell r="D782" t="str">
            <v>HYD.CASTOR OIL</v>
          </cell>
          <cell r="R782">
            <v>0</v>
          </cell>
          <cell r="AJ782">
            <v>0</v>
          </cell>
          <cell r="AS782">
            <v>0</v>
          </cell>
          <cell r="BB782">
            <v>0</v>
          </cell>
          <cell r="BK782">
            <v>0</v>
          </cell>
          <cell r="BT782">
            <v>0</v>
          </cell>
          <cell r="CC782">
            <v>0</v>
          </cell>
          <cell r="CU782">
            <v>0</v>
          </cell>
          <cell r="EE782">
            <v>0</v>
          </cell>
          <cell r="EN782">
            <v>0</v>
          </cell>
        </row>
        <row r="783">
          <cell r="A783">
            <v>154</v>
          </cell>
          <cell r="B783" t="str">
            <v>FG</v>
          </cell>
          <cell r="C783" t="str">
            <v>FM</v>
          </cell>
          <cell r="D783" t="str">
            <v>C16  W/E</v>
          </cell>
          <cell r="I783">
            <v>32.979999999999997</v>
          </cell>
          <cell r="R783">
            <v>32.979999999999997</v>
          </cell>
          <cell r="AA783">
            <v>32.979999999999997</v>
          </cell>
          <cell r="AJ783">
            <v>32.979999999999997</v>
          </cell>
          <cell r="AS783">
            <v>32.979999999999997</v>
          </cell>
          <cell r="BB783">
            <v>32.979999999999997</v>
          </cell>
          <cell r="BK783">
            <v>32.979999999999997</v>
          </cell>
          <cell r="BT783">
            <v>32.979999999999997</v>
          </cell>
          <cell r="CC783">
            <v>32.979999999999997</v>
          </cell>
          <cell r="CL783">
            <v>25.98</v>
          </cell>
          <cell r="CU783">
            <v>25.98</v>
          </cell>
          <cell r="DD783">
            <v>25.98</v>
          </cell>
          <cell r="DM783">
            <v>25.98</v>
          </cell>
          <cell r="DV783">
            <v>25.98</v>
          </cell>
          <cell r="EE783">
            <v>25.98</v>
          </cell>
          <cell r="EN783">
            <v>25.98</v>
          </cell>
        </row>
        <row r="784">
          <cell r="A784">
            <v>155</v>
          </cell>
          <cell r="B784" t="str">
            <v>FG</v>
          </cell>
          <cell r="C784" t="str">
            <v>FM</v>
          </cell>
          <cell r="D784" t="str">
            <v>C18  W/E</v>
          </cell>
          <cell r="I784">
            <v>15.64</v>
          </cell>
          <cell r="R784">
            <v>15.64</v>
          </cell>
          <cell r="AA784">
            <v>15.64</v>
          </cell>
          <cell r="AJ784">
            <v>15.64</v>
          </cell>
          <cell r="AS784">
            <v>15.64</v>
          </cell>
          <cell r="BB784">
            <v>15.64</v>
          </cell>
          <cell r="BK784">
            <v>15.64</v>
          </cell>
          <cell r="BT784">
            <v>15.64</v>
          </cell>
          <cell r="CC784">
            <v>15.64</v>
          </cell>
          <cell r="CL784">
            <v>15.64</v>
          </cell>
          <cell r="CU784">
            <v>15.64</v>
          </cell>
          <cell r="DD784">
            <v>15.64</v>
          </cell>
          <cell r="DM784">
            <v>15.64</v>
          </cell>
          <cell r="DV784">
            <v>15.64</v>
          </cell>
          <cell r="EE784">
            <v>15.64</v>
          </cell>
          <cell r="EN784">
            <v>15.64</v>
          </cell>
        </row>
        <row r="785">
          <cell r="A785">
            <v>156</v>
          </cell>
          <cell r="B785" t="str">
            <v>FG</v>
          </cell>
          <cell r="C785" t="str">
            <v>FM</v>
          </cell>
          <cell r="D785" t="str">
            <v>C1618  W/E</v>
          </cell>
          <cell r="I785">
            <v>15.46</v>
          </cell>
          <cell r="R785">
            <v>15.46</v>
          </cell>
          <cell r="AA785">
            <v>15.46</v>
          </cell>
          <cell r="AJ785">
            <v>15.46</v>
          </cell>
          <cell r="AS785">
            <v>15.46</v>
          </cell>
          <cell r="BB785">
            <v>15.46</v>
          </cell>
          <cell r="BK785">
            <v>15.46</v>
          </cell>
          <cell r="BT785">
            <v>15.46</v>
          </cell>
          <cell r="CC785">
            <v>15.46</v>
          </cell>
          <cell r="CL785">
            <v>15.46</v>
          </cell>
          <cell r="CU785">
            <v>15.46</v>
          </cell>
          <cell r="DD785">
            <v>15.46</v>
          </cell>
          <cell r="DM785">
            <v>15.46</v>
          </cell>
          <cell r="DV785">
            <v>15.46</v>
          </cell>
          <cell r="EE785">
            <v>15.46</v>
          </cell>
          <cell r="EN785">
            <v>15.46</v>
          </cell>
        </row>
        <row r="786">
          <cell r="A786">
            <v>157</v>
          </cell>
          <cell r="B786" t="str">
            <v>FG</v>
          </cell>
          <cell r="C786" t="str">
            <v>NM</v>
          </cell>
          <cell r="D786" t="str">
            <v>CONTAMINATED FATTY ACID</v>
          </cell>
          <cell r="I786">
            <v>23</v>
          </cell>
          <cell r="R786">
            <v>23</v>
          </cell>
          <cell r="AA786">
            <v>24</v>
          </cell>
          <cell r="AJ786">
            <v>25</v>
          </cell>
          <cell r="AS786">
            <v>26</v>
          </cell>
          <cell r="BB786">
            <v>27</v>
          </cell>
          <cell r="BK786">
            <v>28</v>
          </cell>
          <cell r="BT786">
            <v>30</v>
          </cell>
          <cell r="CC786">
            <v>30</v>
          </cell>
          <cell r="CL786">
            <v>32</v>
          </cell>
          <cell r="CU786">
            <v>32</v>
          </cell>
          <cell r="DD786">
            <v>33</v>
          </cell>
          <cell r="DM786">
            <v>33</v>
          </cell>
          <cell r="DV786">
            <v>35</v>
          </cell>
          <cell r="EE786">
            <v>36</v>
          </cell>
          <cell r="EN786">
            <v>37</v>
          </cell>
        </row>
        <row r="787">
          <cell r="A787">
            <v>158</v>
          </cell>
          <cell r="B787" t="str">
            <v>FG</v>
          </cell>
          <cell r="C787" t="str">
            <v>NM</v>
          </cell>
          <cell r="D787" t="str">
            <v>STEARIC ACID - SPECIAL</v>
          </cell>
          <cell r="F787">
            <v>1.35</v>
          </cell>
          <cell r="H787">
            <v>1.05</v>
          </cell>
          <cell r="Q787">
            <v>1.05</v>
          </cell>
          <cell r="R787">
            <v>0</v>
          </cell>
          <cell r="X787">
            <v>1.35</v>
          </cell>
          <cell r="Z787">
            <v>1.05</v>
          </cell>
          <cell r="AG787">
            <v>1.35</v>
          </cell>
          <cell r="AJ787">
            <v>0</v>
          </cell>
          <cell r="AP787">
            <v>1.35</v>
          </cell>
          <cell r="AR787">
            <v>1.05</v>
          </cell>
          <cell r="AS787">
            <v>0</v>
          </cell>
          <cell r="BA787">
            <v>1.05</v>
          </cell>
          <cell r="BB787">
            <v>0</v>
          </cell>
          <cell r="BH787">
            <v>1.35</v>
          </cell>
          <cell r="BJ787">
            <v>1.05</v>
          </cell>
          <cell r="BK787">
            <v>0</v>
          </cell>
          <cell r="BQ787">
            <v>1.35</v>
          </cell>
          <cell r="BS787">
            <v>1.05</v>
          </cell>
          <cell r="BT787">
            <v>0</v>
          </cell>
          <cell r="BZ787">
            <v>1.35</v>
          </cell>
          <cell r="CB787">
            <v>1.05</v>
          </cell>
          <cell r="CC787">
            <v>0</v>
          </cell>
          <cell r="CI787">
            <v>1.35</v>
          </cell>
          <cell r="CK787">
            <v>1.05</v>
          </cell>
          <cell r="CR787">
            <v>1.35</v>
          </cell>
          <cell r="CT787">
            <v>1.05</v>
          </cell>
          <cell r="CU787">
            <v>0</v>
          </cell>
          <cell r="DA787">
            <v>1.35</v>
          </cell>
          <cell r="DC787">
            <v>1.05</v>
          </cell>
          <cell r="DJ787">
            <v>1.35</v>
          </cell>
          <cell r="DL787">
            <v>1.05</v>
          </cell>
          <cell r="DS787">
            <v>1.35</v>
          </cell>
          <cell r="DU787">
            <v>1.05</v>
          </cell>
          <cell r="EB787">
            <v>1.35</v>
          </cell>
          <cell r="ED787">
            <v>1.05</v>
          </cell>
          <cell r="EE787">
            <v>0</v>
          </cell>
          <cell r="EK787">
            <v>1.35</v>
          </cell>
          <cell r="EM787">
            <v>1.05</v>
          </cell>
          <cell r="EN787">
            <v>0</v>
          </cell>
        </row>
        <row r="788">
          <cell r="A788">
            <v>159</v>
          </cell>
          <cell r="B788" t="str">
            <v>FG</v>
          </cell>
          <cell r="C788" t="str">
            <v>NM</v>
          </cell>
          <cell r="D788" t="str">
            <v>DFA-C18/22</v>
          </cell>
          <cell r="F788">
            <v>15.2</v>
          </cell>
          <cell r="X788">
            <v>15.2</v>
          </cell>
          <cell r="AG788">
            <v>15.2</v>
          </cell>
          <cell r="AY788">
            <v>15.2</v>
          </cell>
          <cell r="BQ788">
            <v>15.2</v>
          </cell>
          <cell r="BZ788">
            <v>15.2</v>
          </cell>
          <cell r="CI788">
            <v>15.2</v>
          </cell>
          <cell r="CR788">
            <v>15.2</v>
          </cell>
          <cell r="DA788">
            <v>15.2</v>
          </cell>
          <cell r="DJ788">
            <v>15.2</v>
          </cell>
          <cell r="DS788">
            <v>15.2</v>
          </cell>
          <cell r="EB788">
            <v>15.2</v>
          </cell>
          <cell r="EK788">
            <v>15.2</v>
          </cell>
        </row>
        <row r="789">
          <cell r="A789">
            <v>160</v>
          </cell>
          <cell r="B789" t="str">
            <v>FG</v>
          </cell>
          <cell r="C789" t="str">
            <v>NM</v>
          </cell>
          <cell r="D789" t="str">
            <v>C10 Alc (14 * 170 kgs)</v>
          </cell>
          <cell r="I789">
            <v>2.38</v>
          </cell>
        </row>
        <row r="790">
          <cell r="A790">
            <v>241</v>
          </cell>
          <cell r="B790" t="str">
            <v>FG</v>
          </cell>
          <cell r="C790" t="str">
            <v>NM</v>
          </cell>
          <cell r="D790" t="str">
            <v>C12</v>
          </cell>
        </row>
        <row r="791">
          <cell r="A791">
            <v>244</v>
          </cell>
          <cell r="B791" t="str">
            <v>FG</v>
          </cell>
          <cell r="C791" t="str">
            <v>NM</v>
          </cell>
          <cell r="D791" t="str">
            <v>STEARIC-90</v>
          </cell>
          <cell r="E791" t="str">
            <v>STEARIC-90</v>
          </cell>
        </row>
        <row r="792">
          <cell r="A792">
            <v>246</v>
          </cell>
          <cell r="B792" t="str">
            <v>FG</v>
          </cell>
          <cell r="C792" t="str">
            <v>NM</v>
          </cell>
          <cell r="D792" t="str">
            <v>HPS 25 KGS</v>
          </cell>
        </row>
        <row r="793">
          <cell r="F793">
            <v>257.95</v>
          </cell>
          <cell r="G793">
            <v>0</v>
          </cell>
          <cell r="H793">
            <v>21.650000000000002</v>
          </cell>
          <cell r="I793">
            <v>749.84500000000003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O793">
            <v>0</v>
          </cell>
          <cell r="P793">
            <v>0</v>
          </cell>
          <cell r="Q793">
            <v>15.65</v>
          </cell>
          <cell r="R793">
            <v>717.91499999999996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314.84999999999997</v>
          </cell>
          <cell r="Y793">
            <v>0</v>
          </cell>
          <cell r="Z793">
            <v>28.650000000000002</v>
          </cell>
          <cell r="AA793">
            <v>667.86500000000001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>
            <v>283</v>
          </cell>
          <cell r="AH793">
            <v>0</v>
          </cell>
          <cell r="AI793">
            <v>1.9</v>
          </cell>
          <cell r="AJ793">
            <v>726.31500000000017</v>
          </cell>
          <cell r="AK793">
            <v>0</v>
          </cell>
          <cell r="AL793">
            <v>0</v>
          </cell>
          <cell r="AM793">
            <v>0</v>
          </cell>
          <cell r="AN793">
            <v>0</v>
          </cell>
          <cell r="AO793">
            <v>0</v>
          </cell>
          <cell r="AP793">
            <v>290.39999999999998</v>
          </cell>
          <cell r="AQ793">
            <v>0</v>
          </cell>
          <cell r="AR793">
            <v>17.650000000000002</v>
          </cell>
          <cell r="AS793">
            <v>637.84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292.14999999999998</v>
          </cell>
          <cell r="AZ793">
            <v>0</v>
          </cell>
          <cell r="BA793">
            <v>75.649999999999991</v>
          </cell>
          <cell r="BB793">
            <v>520.49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275.75</v>
          </cell>
          <cell r="BI793">
            <v>0</v>
          </cell>
          <cell r="BJ793">
            <v>85.649999999999991</v>
          </cell>
          <cell r="BK793">
            <v>506.89000000000004</v>
          </cell>
          <cell r="BL793">
            <v>0</v>
          </cell>
          <cell r="BM793">
            <v>0</v>
          </cell>
          <cell r="BN793">
            <v>0</v>
          </cell>
          <cell r="BO793">
            <v>0</v>
          </cell>
          <cell r="BP793">
            <v>0</v>
          </cell>
          <cell r="BQ793">
            <v>231.7</v>
          </cell>
          <cell r="BR793">
            <v>0</v>
          </cell>
          <cell r="BS793">
            <v>86.649999999999991</v>
          </cell>
          <cell r="BT793">
            <v>498.34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235.70000000000002</v>
          </cell>
          <cell r="CA793">
            <v>0</v>
          </cell>
          <cell r="CB793">
            <v>102.64999999999999</v>
          </cell>
          <cell r="CC793">
            <v>523.49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290.2</v>
          </cell>
          <cell r="CJ793">
            <v>0</v>
          </cell>
          <cell r="CK793">
            <v>126.94999999999999</v>
          </cell>
          <cell r="CL793">
            <v>472.44</v>
          </cell>
          <cell r="CM793">
            <v>0</v>
          </cell>
          <cell r="CN793">
            <v>0</v>
          </cell>
          <cell r="CO793">
            <v>0</v>
          </cell>
          <cell r="CP793">
            <v>0</v>
          </cell>
          <cell r="CQ793">
            <v>0</v>
          </cell>
          <cell r="CR793">
            <v>292.20000000000005</v>
          </cell>
          <cell r="CS793">
            <v>0</v>
          </cell>
          <cell r="CT793">
            <v>129.85000000000002</v>
          </cell>
          <cell r="CU793">
            <v>534.16499999999996</v>
          </cell>
          <cell r="CV793">
            <v>0</v>
          </cell>
          <cell r="CW793">
            <v>0</v>
          </cell>
          <cell r="CX793">
            <v>0</v>
          </cell>
          <cell r="CY793">
            <v>0</v>
          </cell>
          <cell r="CZ793">
            <v>0</v>
          </cell>
          <cell r="DA793">
            <v>305.90000000000003</v>
          </cell>
          <cell r="DB793">
            <v>0</v>
          </cell>
          <cell r="DC793">
            <v>185.85000000000002</v>
          </cell>
          <cell r="DD793">
            <v>585.71500000000003</v>
          </cell>
          <cell r="DE793">
            <v>0</v>
          </cell>
          <cell r="DF793">
            <v>0</v>
          </cell>
          <cell r="DG793">
            <v>0</v>
          </cell>
          <cell r="DH793">
            <v>0</v>
          </cell>
          <cell r="DI793">
            <v>0</v>
          </cell>
          <cell r="DJ793">
            <v>204.4</v>
          </cell>
          <cell r="DK793">
            <v>0</v>
          </cell>
          <cell r="DL793">
            <v>125.85000000000001</v>
          </cell>
          <cell r="DM793">
            <v>562.06500000000005</v>
          </cell>
          <cell r="DN793">
            <v>0</v>
          </cell>
          <cell r="DO793">
            <v>0</v>
          </cell>
          <cell r="DP793">
            <v>0</v>
          </cell>
          <cell r="DQ793">
            <v>0</v>
          </cell>
          <cell r="DR793">
            <v>0</v>
          </cell>
          <cell r="DS793">
            <v>236.65</v>
          </cell>
          <cell r="DT793">
            <v>0</v>
          </cell>
          <cell r="DU793">
            <v>106.35000000000001</v>
          </cell>
          <cell r="DV793">
            <v>543.51499999999987</v>
          </cell>
          <cell r="DW793">
            <v>0</v>
          </cell>
          <cell r="DX793">
            <v>0</v>
          </cell>
          <cell r="DY793">
            <v>0</v>
          </cell>
          <cell r="DZ793">
            <v>0</v>
          </cell>
          <cell r="EA793">
            <v>0</v>
          </cell>
          <cell r="EB793">
            <v>264.40000000000003</v>
          </cell>
          <cell r="EC793">
            <v>0</v>
          </cell>
          <cell r="ED793">
            <v>90.350000000000009</v>
          </cell>
          <cell r="EE793">
            <v>521.56500000000005</v>
          </cell>
          <cell r="EF793">
            <v>0</v>
          </cell>
          <cell r="EG793">
            <v>0</v>
          </cell>
          <cell r="EH793">
            <v>0</v>
          </cell>
          <cell r="EI793">
            <v>0</v>
          </cell>
          <cell r="EJ793">
            <v>0</v>
          </cell>
          <cell r="EK793">
            <v>296.90000000000003</v>
          </cell>
          <cell r="EL793">
            <v>0</v>
          </cell>
          <cell r="EM793">
            <v>129.35000000000002</v>
          </cell>
          <cell r="EN793">
            <v>539.01499999999999</v>
          </cell>
          <cell r="EO793">
            <v>0</v>
          </cell>
          <cell r="EP793">
            <v>0</v>
          </cell>
          <cell r="EQ793">
            <v>0</v>
          </cell>
          <cell r="ER793">
            <v>0</v>
          </cell>
          <cell r="ES793">
            <v>0</v>
          </cell>
        </row>
        <row r="794">
          <cell r="A794" t="str">
            <v>FATTY ALCOHOLS</v>
          </cell>
        </row>
        <row r="795">
          <cell r="A795">
            <v>256</v>
          </cell>
          <cell r="B795" t="str">
            <v>FG</v>
          </cell>
          <cell r="C795" t="str">
            <v>FM</v>
          </cell>
          <cell r="D795" t="str">
            <v>VEGROL10</v>
          </cell>
          <cell r="N795">
            <v>0</v>
          </cell>
        </row>
        <row r="796">
          <cell r="A796">
            <v>161</v>
          </cell>
          <cell r="B796" t="str">
            <v>FG</v>
          </cell>
          <cell r="C796" t="str">
            <v>FM</v>
          </cell>
          <cell r="D796" t="str">
            <v>VEGROL1214</v>
          </cell>
          <cell r="H796">
            <v>640.02</v>
          </cell>
          <cell r="I796">
            <v>151.68</v>
          </cell>
          <cell r="M796">
            <v>16.87</v>
          </cell>
          <cell r="Q796">
            <v>640.02</v>
          </cell>
          <cell r="R796">
            <v>134</v>
          </cell>
          <cell r="Z796">
            <v>47.6</v>
          </cell>
          <cell r="AA796">
            <v>126.37</v>
          </cell>
          <cell r="AE796">
            <v>8.49</v>
          </cell>
          <cell r="AI796">
            <v>47.6</v>
          </cell>
          <cell r="AJ796">
            <v>185.35</v>
          </cell>
          <cell r="AN796">
            <v>8.49</v>
          </cell>
          <cell r="AR796">
            <v>500.64</v>
          </cell>
          <cell r="AS796">
            <v>454.92</v>
          </cell>
          <cell r="BB796">
            <v>1300.1600000000001</v>
          </cell>
          <cell r="BF796">
            <v>74.599999999999994</v>
          </cell>
          <cell r="BK796">
            <v>714.11</v>
          </cell>
          <cell r="BS796">
            <v>103.3</v>
          </cell>
          <cell r="BT796">
            <v>1225.26</v>
          </cell>
          <cell r="CC796">
            <v>966.3</v>
          </cell>
          <cell r="CG796">
            <v>15.16</v>
          </cell>
          <cell r="CL796">
            <v>1070.08</v>
          </cell>
          <cell r="CP796">
            <v>15.94</v>
          </cell>
          <cell r="CU796">
            <v>1643.15</v>
          </cell>
          <cell r="CY796">
            <v>60.94</v>
          </cell>
          <cell r="DD796">
            <v>1979.49</v>
          </cell>
          <cell r="DM796">
            <v>1992.72</v>
          </cell>
          <cell r="DQ796">
            <v>54.5</v>
          </cell>
          <cell r="DV796">
            <v>1720.85</v>
          </cell>
          <cell r="DZ796">
            <v>74.75</v>
          </cell>
          <cell r="EE796">
            <v>1201.3399999999999</v>
          </cell>
          <cell r="EI796">
            <v>75.56</v>
          </cell>
          <cell r="EN796">
            <v>926.94</v>
          </cell>
          <cell r="ER796">
            <v>45.5</v>
          </cell>
        </row>
        <row r="797">
          <cell r="A797">
            <v>162</v>
          </cell>
          <cell r="B797" t="str">
            <v>FG</v>
          </cell>
          <cell r="C797" t="str">
            <v>FM</v>
          </cell>
          <cell r="D797" t="str">
            <v>VEGROL1216</v>
          </cell>
          <cell r="H797">
            <v>2039.95</v>
          </cell>
          <cell r="I797">
            <v>1435.09</v>
          </cell>
          <cell r="Q797">
            <v>2039.95</v>
          </cell>
          <cell r="R797">
            <v>1376.17</v>
          </cell>
          <cell r="Z797">
            <v>1920.89</v>
          </cell>
          <cell r="AA797">
            <v>22.87</v>
          </cell>
          <cell r="AI797">
            <v>1447.16</v>
          </cell>
          <cell r="AJ797">
            <v>251.13762999999997</v>
          </cell>
          <cell r="AR797">
            <v>1327.49</v>
          </cell>
          <cell r="AS797">
            <v>228.74</v>
          </cell>
          <cell r="BA797">
            <v>477.83</v>
          </cell>
          <cell r="BB797">
            <v>159.81</v>
          </cell>
          <cell r="BJ797">
            <v>379.33</v>
          </cell>
          <cell r="BK797">
            <v>216.00662999999997</v>
          </cell>
          <cell r="BT797">
            <v>505.99</v>
          </cell>
          <cell r="CB797">
            <v>103.3</v>
          </cell>
          <cell r="CC797">
            <v>366.1</v>
          </cell>
          <cell r="CG797">
            <v>30.09</v>
          </cell>
          <cell r="CK797">
            <v>103.3</v>
          </cell>
          <cell r="CL797">
            <v>262.14999999999998</v>
          </cell>
          <cell r="CP797">
            <v>61</v>
          </cell>
          <cell r="CT797">
            <v>103.3</v>
          </cell>
          <cell r="CU797">
            <v>172.05</v>
          </cell>
          <cell r="DC797">
            <v>103.3</v>
          </cell>
          <cell r="DD797">
            <v>359.89</v>
          </cell>
          <cell r="DL797">
            <v>381.65</v>
          </cell>
          <cell r="DM797">
            <v>396.9</v>
          </cell>
          <cell r="DQ797">
            <v>65.64</v>
          </cell>
          <cell r="DU797">
            <v>1098.72</v>
          </cell>
          <cell r="DV797">
            <v>282.70999999999998</v>
          </cell>
          <cell r="ED797">
            <v>1098.72</v>
          </cell>
          <cell r="EE797">
            <v>530.27</v>
          </cell>
          <cell r="EM797">
            <v>1098.72</v>
          </cell>
          <cell r="EN797">
            <v>391.51</v>
          </cell>
        </row>
        <row r="798">
          <cell r="A798">
            <v>163</v>
          </cell>
          <cell r="B798" t="str">
            <v>FG</v>
          </cell>
          <cell r="C798" t="str">
            <v>FM</v>
          </cell>
          <cell r="D798" t="str">
            <v>VEGROL 1218</v>
          </cell>
          <cell r="I798">
            <v>505.86</v>
          </cell>
          <cell r="R798">
            <v>472.86</v>
          </cell>
          <cell r="AA798">
            <v>481.84</v>
          </cell>
          <cell r="AJ798">
            <v>530.19214999999997</v>
          </cell>
          <cell r="AS798">
            <v>605.92999999999995</v>
          </cell>
          <cell r="BB798">
            <v>504.15</v>
          </cell>
          <cell r="BF798">
            <v>17.170000000000002</v>
          </cell>
          <cell r="BK798">
            <v>625.04999999999995</v>
          </cell>
          <cell r="BT798">
            <v>655.29999999999995</v>
          </cell>
          <cell r="CC798">
            <v>608.4</v>
          </cell>
          <cell r="CL798">
            <v>562.66999999999996</v>
          </cell>
          <cell r="CU798">
            <v>562.66999999999996</v>
          </cell>
          <cell r="DD798">
            <v>562.66999999999996</v>
          </cell>
          <cell r="DM798">
            <v>580.34</v>
          </cell>
          <cell r="DQ798">
            <v>15.49</v>
          </cell>
          <cell r="DV798">
            <v>565.26</v>
          </cell>
          <cell r="EE798">
            <v>537.87</v>
          </cell>
          <cell r="EN798">
            <v>491.79</v>
          </cell>
        </row>
        <row r="799">
          <cell r="A799">
            <v>164</v>
          </cell>
          <cell r="B799" t="str">
            <v>FG</v>
          </cell>
          <cell r="C799" t="str">
            <v>FM</v>
          </cell>
          <cell r="D799" t="str">
            <v>VEGROL C1618TA</v>
          </cell>
          <cell r="I799">
            <v>758.56</v>
          </cell>
          <cell r="M799">
            <v>18.77</v>
          </cell>
          <cell r="R799">
            <v>755.47</v>
          </cell>
          <cell r="AA799">
            <v>753.33</v>
          </cell>
          <cell r="AJ799">
            <v>674.13875199999995</v>
          </cell>
          <cell r="AS799">
            <v>605.55999999999995</v>
          </cell>
          <cell r="BB799">
            <v>605.45000000000005</v>
          </cell>
          <cell r="BK799">
            <v>906.86</v>
          </cell>
          <cell r="BT799">
            <v>1022.6</v>
          </cell>
          <cell r="CC799">
            <v>1019.1</v>
          </cell>
          <cell r="CL799">
            <v>1019.1</v>
          </cell>
          <cell r="CU799">
            <v>984.2</v>
          </cell>
          <cell r="DD799">
            <v>923.89</v>
          </cell>
          <cell r="DM799">
            <v>854.51</v>
          </cell>
          <cell r="DV799">
            <v>689.41</v>
          </cell>
          <cell r="EE799">
            <v>1123.9000000000001</v>
          </cell>
          <cell r="EN799">
            <v>1509.1</v>
          </cell>
        </row>
        <row r="800">
          <cell r="A800">
            <v>165</v>
          </cell>
          <cell r="B800" t="str">
            <v>FG</v>
          </cell>
          <cell r="C800" t="str">
            <v>FM</v>
          </cell>
          <cell r="D800" t="str">
            <v>VEGROL C1618(50:50)</v>
          </cell>
          <cell r="I800">
            <v>379.25</v>
          </cell>
          <cell r="R800">
            <v>379.25</v>
          </cell>
          <cell r="AA800">
            <v>378.59</v>
          </cell>
          <cell r="AJ800">
            <v>378.58676800000001</v>
          </cell>
          <cell r="AS800">
            <v>379.45</v>
          </cell>
          <cell r="BB800">
            <v>378.9</v>
          </cell>
          <cell r="BK800">
            <v>378.92075199999999</v>
          </cell>
          <cell r="BT800">
            <v>379.45</v>
          </cell>
          <cell r="CC800">
            <v>379.45</v>
          </cell>
          <cell r="CL800">
            <v>364.32</v>
          </cell>
          <cell r="CU800">
            <v>364.32</v>
          </cell>
          <cell r="DD800">
            <v>364.32</v>
          </cell>
          <cell r="DM800">
            <v>317.41000000000003</v>
          </cell>
          <cell r="DV800">
            <v>303.88</v>
          </cell>
          <cell r="EE800">
            <v>243.66</v>
          </cell>
          <cell r="EN800">
            <v>243.66</v>
          </cell>
        </row>
        <row r="801">
          <cell r="A801">
            <v>166</v>
          </cell>
          <cell r="B801" t="str">
            <v>FG</v>
          </cell>
          <cell r="C801" t="str">
            <v>FM</v>
          </cell>
          <cell r="D801" t="str">
            <v>VEGROL C1618PS</v>
          </cell>
        </row>
        <row r="802">
          <cell r="A802">
            <v>167</v>
          </cell>
          <cell r="B802" t="str">
            <v>FG</v>
          </cell>
          <cell r="C802" t="str">
            <v>FM</v>
          </cell>
          <cell r="D802" t="str">
            <v>VEGROL C1698</v>
          </cell>
          <cell r="I802">
            <v>249.89</v>
          </cell>
          <cell r="R802">
            <v>195.49</v>
          </cell>
          <cell r="AA802">
            <v>160.82</v>
          </cell>
          <cell r="AJ802">
            <v>160.70196799999999</v>
          </cell>
          <cell r="AS802">
            <v>160.69999999999999</v>
          </cell>
          <cell r="BB802">
            <v>179.58</v>
          </cell>
          <cell r="BK802">
            <v>834.48</v>
          </cell>
          <cell r="BT802">
            <v>700.8</v>
          </cell>
          <cell r="CC802">
            <v>456.53</v>
          </cell>
          <cell r="CL802">
            <v>336.04</v>
          </cell>
          <cell r="CU802">
            <v>336.04</v>
          </cell>
          <cell r="DD802">
            <v>262.69</v>
          </cell>
          <cell r="DM802">
            <v>153.56</v>
          </cell>
          <cell r="DV802">
            <v>67.77</v>
          </cell>
          <cell r="EE802">
            <v>640.33000000000004</v>
          </cell>
          <cell r="EN802">
            <v>550.64</v>
          </cell>
        </row>
        <row r="803">
          <cell r="A803">
            <v>168</v>
          </cell>
          <cell r="B803" t="str">
            <v>FG</v>
          </cell>
          <cell r="C803" t="str">
            <v>FM</v>
          </cell>
          <cell r="D803" t="str">
            <v>VEGROL C1895</v>
          </cell>
        </row>
        <row r="804">
          <cell r="A804">
            <v>169</v>
          </cell>
          <cell r="B804" t="str">
            <v>FG</v>
          </cell>
          <cell r="C804" t="str">
            <v>FM</v>
          </cell>
          <cell r="D804" t="str">
            <v>VEGROL C1898</v>
          </cell>
          <cell r="I804">
            <v>511.02</v>
          </cell>
          <cell r="R804">
            <v>528.61</v>
          </cell>
          <cell r="AA804">
            <v>491.67</v>
          </cell>
          <cell r="AJ804">
            <v>485.43779200000006</v>
          </cell>
          <cell r="AS804">
            <v>479.07</v>
          </cell>
          <cell r="BB804">
            <v>477.45</v>
          </cell>
          <cell r="BK804">
            <v>399.63855000000001</v>
          </cell>
          <cell r="BT804">
            <v>398.22</v>
          </cell>
          <cell r="CC804">
            <v>396.38</v>
          </cell>
          <cell r="CL804">
            <v>324.33999999999997</v>
          </cell>
          <cell r="CU804">
            <v>304.5</v>
          </cell>
          <cell r="DD804">
            <v>304.5</v>
          </cell>
          <cell r="DM804">
            <v>302.08</v>
          </cell>
          <cell r="DV804">
            <v>224.33</v>
          </cell>
          <cell r="EE804">
            <v>181.3</v>
          </cell>
          <cell r="EN804">
            <v>433.54</v>
          </cell>
        </row>
        <row r="805">
          <cell r="A805">
            <v>170</v>
          </cell>
          <cell r="B805" t="str">
            <v>FG</v>
          </cell>
          <cell r="C805" t="str">
            <v>FM</v>
          </cell>
          <cell r="D805" t="str">
            <v>VEGROL C1822 (seed alc)</v>
          </cell>
          <cell r="AA805">
            <v>644.11</v>
          </cell>
          <cell r="AJ805">
            <v>209.06559999999999</v>
          </cell>
          <cell r="AS805">
            <v>210.38</v>
          </cell>
          <cell r="BB805">
            <v>254.12</v>
          </cell>
          <cell r="BK805">
            <v>254.4511</v>
          </cell>
          <cell r="BT805">
            <v>254.22</v>
          </cell>
          <cell r="CC805">
            <v>251.4</v>
          </cell>
          <cell r="CL805">
            <v>254.62</v>
          </cell>
          <cell r="CU805">
            <v>254.62</v>
          </cell>
          <cell r="DD805">
            <v>254.62</v>
          </cell>
          <cell r="DM805">
            <v>254.62</v>
          </cell>
          <cell r="DV805">
            <v>254.62</v>
          </cell>
          <cell r="EE805">
            <v>254.62</v>
          </cell>
          <cell r="EN805">
            <v>254.62</v>
          </cell>
        </row>
        <row r="806">
          <cell r="A806">
            <v>171</v>
          </cell>
          <cell r="B806" t="str">
            <v>FG</v>
          </cell>
          <cell r="C806" t="str">
            <v>SM</v>
          </cell>
          <cell r="D806" t="str">
            <v>VEGROL C20:2250:50</v>
          </cell>
        </row>
        <row r="807">
          <cell r="A807">
            <v>172</v>
          </cell>
          <cell r="B807" t="str">
            <v>FG</v>
          </cell>
          <cell r="C807" t="str">
            <v>SM</v>
          </cell>
          <cell r="D807" t="str">
            <v>VEGROL C2280</v>
          </cell>
          <cell r="I807">
            <v>164.94</v>
          </cell>
          <cell r="N807">
            <v>0</v>
          </cell>
          <cell r="R807">
            <v>38.15</v>
          </cell>
          <cell r="AA807">
            <v>49.45</v>
          </cell>
          <cell r="AJ807">
            <v>507.48020000000002</v>
          </cell>
          <cell r="AS807">
            <v>449.58</v>
          </cell>
          <cell r="BB807">
            <v>310.70999999999998</v>
          </cell>
          <cell r="BK807">
            <v>310.69119999999998</v>
          </cell>
          <cell r="BT807">
            <v>310.75</v>
          </cell>
          <cell r="CC807">
            <v>309</v>
          </cell>
          <cell r="CL807">
            <v>310.94</v>
          </cell>
          <cell r="CU807">
            <v>310.94</v>
          </cell>
          <cell r="DD807">
            <v>274.45</v>
          </cell>
          <cell r="DM807">
            <v>274.45</v>
          </cell>
          <cell r="DV807">
            <v>274.45</v>
          </cell>
          <cell r="EE807">
            <v>274.45</v>
          </cell>
          <cell r="EN807">
            <v>258.73</v>
          </cell>
        </row>
        <row r="808">
          <cell r="A808">
            <v>173</v>
          </cell>
          <cell r="B808" t="str">
            <v>FG</v>
          </cell>
          <cell r="C808" t="str">
            <v>SM</v>
          </cell>
          <cell r="D808" t="str">
            <v>VEGROL1216 CONCENTRATED</v>
          </cell>
          <cell r="AA808">
            <v>1376.17</v>
          </cell>
          <cell r="AJ808">
            <v>1228.83</v>
          </cell>
          <cell r="AS808">
            <v>1130.02</v>
          </cell>
          <cell r="BB808">
            <v>1129.1600000000001</v>
          </cell>
          <cell r="BK808">
            <v>1688.8429999999998</v>
          </cell>
          <cell r="BT808">
            <v>2005.13</v>
          </cell>
          <cell r="CC808">
            <v>2140.6</v>
          </cell>
          <cell r="CL808">
            <v>2136.6999999999998</v>
          </cell>
          <cell r="CU808">
            <v>2135.1</v>
          </cell>
          <cell r="DD808">
            <v>1923.81</v>
          </cell>
          <cell r="DM808">
            <v>1399</v>
          </cell>
          <cell r="DV808">
            <v>1114.7</v>
          </cell>
          <cell r="EE808">
            <v>963.4</v>
          </cell>
          <cell r="EN808">
            <v>960.5</v>
          </cell>
        </row>
        <row r="809">
          <cell r="A809">
            <v>250</v>
          </cell>
          <cell r="B809" t="str">
            <v>FG</v>
          </cell>
          <cell r="C809" t="str">
            <v>SM</v>
          </cell>
          <cell r="D809" t="str">
            <v>VEGROL C2270</v>
          </cell>
        </row>
        <row r="810">
          <cell r="F810">
            <v>0</v>
          </cell>
          <cell r="G810">
            <v>0</v>
          </cell>
          <cell r="H810">
            <v>2679.9700000000003</v>
          </cell>
          <cell r="I810">
            <v>4156.29</v>
          </cell>
          <cell r="J810">
            <v>0</v>
          </cell>
          <cell r="K810">
            <v>0</v>
          </cell>
          <cell r="L810">
            <v>0</v>
          </cell>
          <cell r="M810">
            <v>35.64</v>
          </cell>
          <cell r="O810">
            <v>0</v>
          </cell>
          <cell r="P810">
            <v>0</v>
          </cell>
          <cell r="Q810">
            <v>2679.9700000000003</v>
          </cell>
          <cell r="R810">
            <v>3880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1968.49</v>
          </cell>
          <cell r="AA810">
            <v>4485.2199999999993</v>
          </cell>
          <cell r="AB810">
            <v>0</v>
          </cell>
          <cell r="AC810">
            <v>0</v>
          </cell>
          <cell r="AD810">
            <v>0</v>
          </cell>
          <cell r="AE810">
            <v>8.49</v>
          </cell>
          <cell r="AF810">
            <v>0</v>
          </cell>
          <cell r="AG810">
            <v>0</v>
          </cell>
          <cell r="AH810">
            <v>0</v>
          </cell>
          <cell r="AI810">
            <v>1494.76</v>
          </cell>
          <cell r="AJ810">
            <v>4610.9208600000002</v>
          </cell>
          <cell r="AK810">
            <v>0</v>
          </cell>
          <cell r="AL810">
            <v>0</v>
          </cell>
          <cell r="AM810">
            <v>0</v>
          </cell>
          <cell r="AN810">
            <v>8.49</v>
          </cell>
          <cell r="AO810">
            <v>0</v>
          </cell>
          <cell r="AP810">
            <v>0</v>
          </cell>
          <cell r="AQ810">
            <v>0</v>
          </cell>
          <cell r="AR810">
            <v>1828.13</v>
          </cell>
          <cell r="AS810">
            <v>4704.3500000000004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477.83</v>
          </cell>
          <cell r="BB810">
            <v>5299.4899999999989</v>
          </cell>
          <cell r="BC810">
            <v>0</v>
          </cell>
          <cell r="BD810">
            <v>0</v>
          </cell>
          <cell r="BE810">
            <v>0</v>
          </cell>
          <cell r="BF810">
            <v>91.77</v>
          </cell>
          <cell r="BG810">
            <v>0</v>
          </cell>
          <cell r="BH810">
            <v>0</v>
          </cell>
          <cell r="BI810">
            <v>0</v>
          </cell>
          <cell r="BJ810">
            <v>379.33</v>
          </cell>
          <cell r="BK810">
            <v>6329.0512319999998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103.3</v>
          </cell>
          <cell r="BT810">
            <v>7457.72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103.3</v>
          </cell>
          <cell r="CC810">
            <v>6893.26</v>
          </cell>
          <cell r="CD810">
            <v>0</v>
          </cell>
          <cell r="CE810">
            <v>0</v>
          </cell>
          <cell r="CF810">
            <v>0</v>
          </cell>
          <cell r="CG810">
            <v>45.25</v>
          </cell>
          <cell r="CH810">
            <v>0</v>
          </cell>
          <cell r="CI810">
            <v>0</v>
          </cell>
          <cell r="CJ810">
            <v>0</v>
          </cell>
          <cell r="CK810">
            <v>103.3</v>
          </cell>
          <cell r="CL810">
            <v>6640.96</v>
          </cell>
          <cell r="CM810">
            <v>0</v>
          </cell>
          <cell r="CN810">
            <v>0</v>
          </cell>
          <cell r="CO810">
            <v>0</v>
          </cell>
          <cell r="CP810">
            <v>76.94</v>
          </cell>
          <cell r="CQ810">
            <v>0</v>
          </cell>
          <cell r="CR810">
            <v>0</v>
          </cell>
          <cell r="CS810">
            <v>0</v>
          </cell>
          <cell r="CT810">
            <v>103.3</v>
          </cell>
          <cell r="CU810">
            <v>7067.59</v>
          </cell>
          <cell r="CV810">
            <v>0</v>
          </cell>
          <cell r="CW810">
            <v>0</v>
          </cell>
          <cell r="CX810">
            <v>0</v>
          </cell>
          <cell r="CY810">
            <v>60.94</v>
          </cell>
          <cell r="CZ810">
            <v>0</v>
          </cell>
          <cell r="DA810">
            <v>0</v>
          </cell>
          <cell r="DB810">
            <v>0</v>
          </cell>
          <cell r="DC810">
            <v>103.3</v>
          </cell>
          <cell r="DD810">
            <v>7210.33</v>
          </cell>
          <cell r="DE810">
            <v>0</v>
          </cell>
          <cell r="DF810">
            <v>0</v>
          </cell>
          <cell r="DG810">
            <v>0</v>
          </cell>
          <cell r="DH810">
            <v>0</v>
          </cell>
          <cell r="DI810">
            <v>0</v>
          </cell>
          <cell r="DJ810">
            <v>0</v>
          </cell>
          <cell r="DK810">
            <v>0</v>
          </cell>
          <cell r="DL810">
            <v>381.65</v>
          </cell>
          <cell r="DM810">
            <v>6525.59</v>
          </cell>
          <cell r="DN810">
            <v>0</v>
          </cell>
          <cell r="DO810">
            <v>0</v>
          </cell>
          <cell r="DP810">
            <v>0</v>
          </cell>
          <cell r="DQ810">
            <v>135.63</v>
          </cell>
          <cell r="DR810">
            <v>0</v>
          </cell>
          <cell r="DS810">
            <v>0</v>
          </cell>
          <cell r="DT810">
            <v>0</v>
          </cell>
          <cell r="DU810">
            <v>1098.72</v>
          </cell>
          <cell r="DV810">
            <v>5497.98</v>
          </cell>
          <cell r="DW810">
            <v>0</v>
          </cell>
          <cell r="DX810">
            <v>0</v>
          </cell>
          <cell r="DY810">
            <v>0</v>
          </cell>
          <cell r="DZ810">
            <v>74.75</v>
          </cell>
          <cell r="EA810">
            <v>0</v>
          </cell>
          <cell r="EB810">
            <v>0</v>
          </cell>
          <cell r="EC810">
            <v>0</v>
          </cell>
          <cell r="ED810">
            <v>1098.72</v>
          </cell>
          <cell r="EE810">
            <v>5951.1399999999994</v>
          </cell>
          <cell r="EF810">
            <v>0</v>
          </cell>
          <cell r="EG810">
            <v>0</v>
          </cell>
          <cell r="EH810">
            <v>0</v>
          </cell>
          <cell r="EI810">
            <v>75.56</v>
          </cell>
          <cell r="EJ810">
            <v>0</v>
          </cell>
          <cell r="EK810">
            <v>0</v>
          </cell>
          <cell r="EL810">
            <v>0</v>
          </cell>
          <cell r="EM810">
            <v>1098.72</v>
          </cell>
          <cell r="EN810">
            <v>6021.0300000000007</v>
          </cell>
          <cell r="EO810">
            <v>0</v>
          </cell>
          <cell r="EP810">
            <v>0</v>
          </cell>
          <cell r="EQ810">
            <v>0</v>
          </cell>
          <cell r="ER810">
            <v>45.5</v>
          </cell>
          <cell r="ES810">
            <v>0</v>
          </cell>
        </row>
        <row r="811">
          <cell r="A811" t="str">
            <v>PASTILLES</v>
          </cell>
        </row>
        <row r="812">
          <cell r="A812">
            <v>174</v>
          </cell>
          <cell r="B812" t="str">
            <v>FG</v>
          </cell>
          <cell r="C812" t="str">
            <v>FM</v>
          </cell>
          <cell r="D812" t="str">
            <v>VEGROL C1618TA</v>
          </cell>
          <cell r="I812">
            <v>336.52</v>
          </cell>
          <cell r="R812">
            <v>315.92</v>
          </cell>
          <cell r="AA812">
            <v>273.02</v>
          </cell>
          <cell r="AJ812">
            <v>314.995</v>
          </cell>
          <cell r="AS812">
            <v>302.52</v>
          </cell>
          <cell r="BB812">
            <v>265.52</v>
          </cell>
          <cell r="BK812">
            <v>221.72</v>
          </cell>
          <cell r="BT812">
            <v>310.72000000000003</v>
          </cell>
          <cell r="CC812">
            <v>247.47</v>
          </cell>
          <cell r="CL812">
            <v>149.87</v>
          </cell>
          <cell r="CU812">
            <v>174.17</v>
          </cell>
          <cell r="DD812">
            <v>162.54499999999999</v>
          </cell>
          <cell r="DM812">
            <v>183.94499999999999</v>
          </cell>
          <cell r="DV812">
            <v>327.245</v>
          </cell>
          <cell r="EE812">
            <v>282.59500000000003</v>
          </cell>
          <cell r="EN812">
            <v>266.995</v>
          </cell>
        </row>
        <row r="813">
          <cell r="A813">
            <v>175</v>
          </cell>
          <cell r="B813" t="str">
            <v>FG</v>
          </cell>
          <cell r="C813" t="str">
            <v>FM</v>
          </cell>
          <cell r="D813" t="str">
            <v>VEGROL C1618(50:50)</v>
          </cell>
          <cell r="I813">
            <v>176.53</v>
          </cell>
          <cell r="R813">
            <v>168.53</v>
          </cell>
          <cell r="AA813">
            <v>165.53</v>
          </cell>
          <cell r="AJ813">
            <v>151.52000000000001</v>
          </cell>
          <cell r="AS813">
            <v>142.02000000000001</v>
          </cell>
          <cell r="BB813">
            <v>127.02</v>
          </cell>
          <cell r="BK813">
            <v>111.02</v>
          </cell>
          <cell r="BT813">
            <v>105.02</v>
          </cell>
          <cell r="CC813">
            <v>102.02</v>
          </cell>
          <cell r="CL813">
            <v>108.02</v>
          </cell>
          <cell r="CU813">
            <v>135.12</v>
          </cell>
          <cell r="DD813">
            <v>101.52</v>
          </cell>
          <cell r="DM813">
            <v>114.72</v>
          </cell>
          <cell r="DV813">
            <v>107.27</v>
          </cell>
          <cell r="EE813">
            <v>146.77000000000001</v>
          </cell>
          <cell r="EN813">
            <v>117.77</v>
          </cell>
        </row>
        <row r="814">
          <cell r="A814">
            <v>176</v>
          </cell>
          <cell r="B814" t="str">
            <v>FG</v>
          </cell>
          <cell r="C814" t="str">
            <v>FM</v>
          </cell>
          <cell r="D814" t="str">
            <v>VEGROL C1618PS</v>
          </cell>
          <cell r="I814">
            <v>11.08</v>
          </cell>
          <cell r="R814">
            <v>11.08</v>
          </cell>
          <cell r="AA814">
            <v>11.08</v>
          </cell>
          <cell r="AJ814">
            <v>11.08</v>
          </cell>
          <cell r="AS814">
            <v>11.08</v>
          </cell>
          <cell r="BB814">
            <v>11.08</v>
          </cell>
          <cell r="BK814">
            <v>11.08</v>
          </cell>
          <cell r="BT814">
            <v>11.08</v>
          </cell>
          <cell r="CC814">
            <v>11.08</v>
          </cell>
          <cell r="CL814">
            <v>11.08</v>
          </cell>
          <cell r="CU814">
            <v>11.08</v>
          </cell>
          <cell r="DD814">
            <v>11.08</v>
          </cell>
          <cell r="DM814">
            <v>11.08</v>
          </cell>
          <cell r="DV814">
            <v>11.08</v>
          </cell>
          <cell r="EE814">
            <v>11.08</v>
          </cell>
          <cell r="EN814">
            <v>11.08</v>
          </cell>
        </row>
        <row r="815">
          <cell r="A815">
            <v>177</v>
          </cell>
          <cell r="B815" t="str">
            <v>FG</v>
          </cell>
          <cell r="C815" t="str">
            <v>FM</v>
          </cell>
          <cell r="D815" t="str">
            <v>VEGROL C1698</v>
          </cell>
          <cell r="I815">
            <v>95.04</v>
          </cell>
          <cell r="R815">
            <v>142.63</v>
          </cell>
          <cell r="AA815">
            <v>80.203000000000003</v>
          </cell>
          <cell r="AJ815">
            <v>51.4</v>
          </cell>
          <cell r="AS815">
            <v>21.4</v>
          </cell>
          <cell r="BB815">
            <v>13.9</v>
          </cell>
          <cell r="BK815">
            <v>119.95</v>
          </cell>
          <cell r="BT815">
            <v>69.42</v>
          </cell>
          <cell r="CC815">
            <v>150.62</v>
          </cell>
          <cell r="CL815">
            <v>157.03</v>
          </cell>
          <cell r="CU815">
            <v>149.83000000000001</v>
          </cell>
          <cell r="DD815">
            <v>143.22999999999999</v>
          </cell>
          <cell r="DM815">
            <v>89.59</v>
          </cell>
          <cell r="DV815">
            <v>41.99</v>
          </cell>
          <cell r="EE815">
            <v>52.36</v>
          </cell>
          <cell r="EN815">
            <v>96.15</v>
          </cell>
        </row>
        <row r="816">
          <cell r="A816">
            <v>178</v>
          </cell>
          <cell r="B816" t="str">
            <v>FG</v>
          </cell>
          <cell r="C816" t="str">
            <v>FM</v>
          </cell>
          <cell r="D816" t="str">
            <v>VEGROL C1895</v>
          </cell>
          <cell r="R816">
            <v>0</v>
          </cell>
          <cell r="AJ816">
            <v>0</v>
          </cell>
          <cell r="AS816">
            <v>0</v>
          </cell>
          <cell r="BB816">
            <v>0</v>
          </cell>
          <cell r="BK816">
            <v>0</v>
          </cell>
          <cell r="BT816">
            <v>0</v>
          </cell>
          <cell r="CC816">
            <v>0</v>
          </cell>
          <cell r="CU816">
            <v>0</v>
          </cell>
          <cell r="DM816">
            <v>0</v>
          </cell>
          <cell r="DV816">
            <v>0</v>
          </cell>
          <cell r="EE816">
            <v>0</v>
          </cell>
          <cell r="EN816">
            <v>0</v>
          </cell>
        </row>
        <row r="817">
          <cell r="A817">
            <v>179</v>
          </cell>
          <cell r="B817" t="str">
            <v>FG</v>
          </cell>
          <cell r="C817" t="str">
            <v>FM</v>
          </cell>
          <cell r="D817" t="str">
            <v>VEGROL C1898</v>
          </cell>
          <cell r="I817">
            <v>1.66</v>
          </cell>
          <cell r="R817">
            <v>1.66</v>
          </cell>
          <cell r="AA817">
            <v>84.26</v>
          </cell>
          <cell r="AJ817">
            <v>81.260000000000005</v>
          </cell>
          <cell r="AS817">
            <v>66.86</v>
          </cell>
          <cell r="BB817">
            <v>54.61</v>
          </cell>
          <cell r="BK817">
            <v>88.674000000000007</v>
          </cell>
          <cell r="BT817">
            <v>63.024000000000001</v>
          </cell>
          <cell r="CC817">
            <v>31.943999999999999</v>
          </cell>
          <cell r="CL817">
            <v>103.117</v>
          </cell>
          <cell r="CU817">
            <v>81.522000000000006</v>
          </cell>
          <cell r="DD817">
            <v>49.048000000000002</v>
          </cell>
          <cell r="DM817">
            <v>32.548000000000002</v>
          </cell>
          <cell r="DV817">
            <v>87.47</v>
          </cell>
          <cell r="EE817">
            <v>108.15</v>
          </cell>
          <cell r="EN817">
            <v>93.15</v>
          </cell>
        </row>
        <row r="818">
          <cell r="A818">
            <v>180</v>
          </cell>
          <cell r="B818" t="str">
            <v>FG</v>
          </cell>
          <cell r="C818" t="str">
            <v>FM</v>
          </cell>
          <cell r="D818" t="str">
            <v>VEGROL C1822</v>
          </cell>
          <cell r="I818">
            <v>129.22499999999999</v>
          </cell>
          <cell r="R818">
            <v>129.22499999999999</v>
          </cell>
          <cell r="AA818">
            <v>129.22499999999999</v>
          </cell>
          <cell r="AJ818">
            <v>129.22499999999999</v>
          </cell>
          <cell r="AS818">
            <v>129.22499999999999</v>
          </cell>
          <cell r="BB818">
            <v>129.22499999999999</v>
          </cell>
          <cell r="BK818">
            <v>129.22499999999999</v>
          </cell>
          <cell r="BT818">
            <v>120.22499999999999</v>
          </cell>
          <cell r="CC818">
            <v>120.22499999999999</v>
          </cell>
          <cell r="CL818">
            <v>116.2</v>
          </cell>
          <cell r="CU818">
            <v>116.2</v>
          </cell>
          <cell r="DD818">
            <v>116.2</v>
          </cell>
          <cell r="DM818">
            <v>115.2</v>
          </cell>
          <cell r="DV818">
            <v>115.2</v>
          </cell>
          <cell r="EE818">
            <v>103.2</v>
          </cell>
          <cell r="EN818">
            <v>71.2</v>
          </cell>
        </row>
        <row r="819">
          <cell r="A819">
            <v>181</v>
          </cell>
          <cell r="B819" t="str">
            <v>FG</v>
          </cell>
          <cell r="C819" t="str">
            <v>FM</v>
          </cell>
          <cell r="D819" t="str">
            <v>VEGROL C22</v>
          </cell>
          <cell r="I819">
            <v>61.161999999999999</v>
          </cell>
          <cell r="R819">
            <v>54.762</v>
          </cell>
          <cell r="AA819">
            <v>65.311999999999998</v>
          </cell>
          <cell r="AJ819">
            <v>11.762</v>
          </cell>
          <cell r="AS819">
            <v>64.512</v>
          </cell>
          <cell r="BB819">
            <v>205.762</v>
          </cell>
          <cell r="BK819">
            <v>205.762</v>
          </cell>
          <cell r="BT819">
            <v>191.262</v>
          </cell>
          <cell r="CC819">
            <v>190.012</v>
          </cell>
          <cell r="CL819">
            <v>189.512</v>
          </cell>
          <cell r="CU819">
            <v>189.512</v>
          </cell>
          <cell r="DD819">
            <v>172.08199999999999</v>
          </cell>
          <cell r="DM819">
            <v>129.422</v>
          </cell>
          <cell r="DV819">
            <v>99.921999999999997</v>
          </cell>
          <cell r="EE819">
            <v>88.572000000000003</v>
          </cell>
          <cell r="EN819">
            <v>64.572000000000003</v>
          </cell>
        </row>
        <row r="820">
          <cell r="A820">
            <v>182</v>
          </cell>
          <cell r="B820" t="str">
            <v>FG</v>
          </cell>
          <cell r="C820" t="str">
            <v>FM</v>
          </cell>
          <cell r="D820" t="str">
            <v>VEGROL C2280</v>
          </cell>
          <cell r="R820">
            <v>0</v>
          </cell>
          <cell r="AJ820">
            <v>2.75</v>
          </cell>
          <cell r="AS820">
            <v>2.75</v>
          </cell>
          <cell r="BB820">
            <v>2.75</v>
          </cell>
          <cell r="BK820">
            <v>2.75</v>
          </cell>
          <cell r="BT820">
            <v>2.75</v>
          </cell>
          <cell r="CC820">
            <v>2.75</v>
          </cell>
          <cell r="CL820">
            <v>2.75</v>
          </cell>
          <cell r="CU820">
            <v>2.75</v>
          </cell>
          <cell r="DD820">
            <v>2.75</v>
          </cell>
          <cell r="DM820">
            <v>2.75</v>
          </cell>
          <cell r="DV820">
            <v>2.75</v>
          </cell>
          <cell r="EE820">
            <v>2.75</v>
          </cell>
          <cell r="EN820">
            <v>2.75</v>
          </cell>
        </row>
        <row r="821">
          <cell r="A821">
            <v>183</v>
          </cell>
          <cell r="B821" t="str">
            <v>FG</v>
          </cell>
          <cell r="C821" t="str">
            <v>FM</v>
          </cell>
          <cell r="D821" t="str">
            <v>OFF GRADE PASTILLES</v>
          </cell>
          <cell r="I821">
            <v>190</v>
          </cell>
          <cell r="R821">
            <v>190</v>
          </cell>
          <cell r="AA821">
            <v>192</v>
          </cell>
          <cell r="AJ821">
            <v>193</v>
          </cell>
          <cell r="AS821">
            <v>194</v>
          </cell>
          <cell r="BB821">
            <v>194</v>
          </cell>
          <cell r="BK821">
            <v>194</v>
          </cell>
          <cell r="BT821">
            <v>196</v>
          </cell>
          <cell r="CC821">
            <v>198</v>
          </cell>
          <cell r="CL821">
            <v>200</v>
          </cell>
          <cell r="CU821">
            <v>200</v>
          </cell>
          <cell r="DD821">
            <v>200</v>
          </cell>
          <cell r="DM821">
            <v>200</v>
          </cell>
          <cell r="DV821">
            <v>201</v>
          </cell>
          <cell r="EE821">
            <v>202</v>
          </cell>
          <cell r="EN821">
            <v>202</v>
          </cell>
        </row>
        <row r="822">
          <cell r="F822">
            <v>0</v>
          </cell>
          <cell r="G822">
            <v>0</v>
          </cell>
          <cell r="H822">
            <v>0</v>
          </cell>
          <cell r="I822">
            <v>1001.217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1013.807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1000.63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946.99199999999996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934.36699999999996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1003.867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1084.181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1069.501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1054.1210000000001</v>
          </cell>
          <cell r="CD822">
            <v>0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1037.579</v>
          </cell>
          <cell r="CM822">
            <v>0</v>
          </cell>
          <cell r="CN822">
            <v>0</v>
          </cell>
          <cell r="CO822">
            <v>0</v>
          </cell>
          <cell r="CP822">
            <v>0</v>
          </cell>
          <cell r="CQ822">
            <v>0</v>
          </cell>
          <cell r="CR822">
            <v>0</v>
          </cell>
          <cell r="CS822">
            <v>0</v>
          </cell>
          <cell r="CT822">
            <v>0</v>
          </cell>
          <cell r="CU822">
            <v>1060.184</v>
          </cell>
          <cell r="CV822">
            <v>0</v>
          </cell>
          <cell r="CW822">
            <v>0</v>
          </cell>
          <cell r="CX822">
            <v>0</v>
          </cell>
          <cell r="CY822">
            <v>0</v>
          </cell>
          <cell r="CZ822">
            <v>0</v>
          </cell>
          <cell r="DA822">
            <v>0</v>
          </cell>
          <cell r="DB822">
            <v>0</v>
          </cell>
          <cell r="DC822">
            <v>0</v>
          </cell>
          <cell r="DD822">
            <v>958.45500000000004</v>
          </cell>
          <cell r="DE822">
            <v>0</v>
          </cell>
          <cell r="DF822">
            <v>0</v>
          </cell>
          <cell r="DG822">
            <v>0</v>
          </cell>
          <cell r="DH822">
            <v>0</v>
          </cell>
          <cell r="DI822">
            <v>0</v>
          </cell>
          <cell r="DJ822">
            <v>0</v>
          </cell>
          <cell r="DK822">
            <v>0</v>
          </cell>
          <cell r="DL822">
            <v>0</v>
          </cell>
          <cell r="DM822">
            <v>879.255</v>
          </cell>
          <cell r="DN822">
            <v>0</v>
          </cell>
          <cell r="DO822">
            <v>0</v>
          </cell>
          <cell r="DP822">
            <v>0</v>
          </cell>
          <cell r="DQ822">
            <v>0</v>
          </cell>
          <cell r="DR822">
            <v>0</v>
          </cell>
          <cell r="DS822">
            <v>0</v>
          </cell>
          <cell r="DT822">
            <v>0</v>
          </cell>
          <cell r="DU822">
            <v>0</v>
          </cell>
          <cell r="DV822">
            <v>993.92700000000002</v>
          </cell>
          <cell r="DW822">
            <v>0</v>
          </cell>
          <cell r="DX822">
            <v>0</v>
          </cell>
          <cell r="DY822">
            <v>0</v>
          </cell>
          <cell r="DZ822">
            <v>0</v>
          </cell>
          <cell r="EA822">
            <v>0</v>
          </cell>
          <cell r="EB822">
            <v>0</v>
          </cell>
          <cell r="EC822">
            <v>0</v>
          </cell>
          <cell r="ED822">
            <v>0</v>
          </cell>
          <cell r="EE822">
            <v>997.47700000000009</v>
          </cell>
          <cell r="EF822">
            <v>0</v>
          </cell>
          <cell r="EG822">
            <v>0</v>
          </cell>
          <cell r="EH822">
            <v>0</v>
          </cell>
          <cell r="EI822">
            <v>0</v>
          </cell>
          <cell r="EJ822">
            <v>0</v>
          </cell>
          <cell r="EK822">
            <v>0</v>
          </cell>
          <cell r="EL822">
            <v>0</v>
          </cell>
          <cell r="EM822">
            <v>0</v>
          </cell>
          <cell r="EN822">
            <v>925.66700000000003</v>
          </cell>
          <cell r="EO822">
            <v>0</v>
          </cell>
          <cell r="EP822">
            <v>0</v>
          </cell>
          <cell r="EQ822">
            <v>0</v>
          </cell>
          <cell r="ER822">
            <v>0</v>
          </cell>
          <cell r="ES822">
            <v>0</v>
          </cell>
        </row>
        <row r="823">
          <cell r="A823" t="str">
            <v xml:space="preserve">ALCOHOL-INTERMEDIATES </v>
          </cell>
        </row>
        <row r="824">
          <cell r="A824">
            <v>184</v>
          </cell>
          <cell r="B824" t="str">
            <v>IPRM</v>
          </cell>
          <cell r="C824" t="str">
            <v>NM</v>
          </cell>
          <cell r="D824" t="str">
            <v>ALCOHOL-L/E-C-12 88%</v>
          </cell>
        </row>
        <row r="825">
          <cell r="A825">
            <v>185</v>
          </cell>
          <cell r="B825" t="str">
            <v>IPRM</v>
          </cell>
          <cell r="C825" t="str">
            <v>NM</v>
          </cell>
          <cell r="D825" t="str">
            <v>ALCOHOL-L/E-1(1214)</v>
          </cell>
          <cell r="AJ825">
            <v>9.3000000000000007</v>
          </cell>
          <cell r="AS825">
            <v>18.899999999999999</v>
          </cell>
          <cell r="BK825">
            <v>9.3000000000000007</v>
          </cell>
          <cell r="BT825">
            <v>5</v>
          </cell>
          <cell r="CC825">
            <v>15.2</v>
          </cell>
          <cell r="CL825">
            <v>4</v>
          </cell>
          <cell r="CU825">
            <v>6.7</v>
          </cell>
          <cell r="DD825">
            <v>10.6</v>
          </cell>
          <cell r="DM825">
            <v>13.2</v>
          </cell>
          <cell r="DV825">
            <v>1.8</v>
          </cell>
          <cell r="EE825">
            <v>2.4</v>
          </cell>
          <cell r="EN825">
            <v>2.4</v>
          </cell>
        </row>
        <row r="826">
          <cell r="A826">
            <v>186</v>
          </cell>
          <cell r="B826" t="str">
            <v>IPRM</v>
          </cell>
          <cell r="C826" t="str">
            <v>NM</v>
          </cell>
          <cell r="D826" t="str">
            <v>ALCOHOL-L/E-2(C12C16)</v>
          </cell>
          <cell r="I826">
            <v>2465.36</v>
          </cell>
          <cell r="AJ826">
            <v>698.3</v>
          </cell>
        </row>
        <row r="827">
          <cell r="A827">
            <v>187</v>
          </cell>
          <cell r="B827" t="str">
            <v>IPRM</v>
          </cell>
          <cell r="C827" t="str">
            <v>NM</v>
          </cell>
          <cell r="D827" t="str">
            <v>ALCOHOL-L/E-C1618,22</v>
          </cell>
          <cell r="R827">
            <v>80</v>
          </cell>
          <cell r="AA827">
            <v>360.8</v>
          </cell>
          <cell r="AJ827">
            <v>369.05399999999997</v>
          </cell>
          <cell r="AS827">
            <v>405</v>
          </cell>
          <cell r="BK827">
            <v>181.8</v>
          </cell>
          <cell r="BT827">
            <v>786.6</v>
          </cell>
          <cell r="CC827">
            <v>490.8</v>
          </cell>
          <cell r="CL827">
            <v>495.2</v>
          </cell>
          <cell r="CU827">
            <v>495.2</v>
          </cell>
          <cell r="DD827">
            <v>495.2</v>
          </cell>
          <cell r="DM827">
            <v>495.2</v>
          </cell>
          <cell r="DV827">
            <v>495.2</v>
          </cell>
          <cell r="EE827">
            <v>547.5</v>
          </cell>
          <cell r="EN827">
            <v>550.6</v>
          </cell>
        </row>
        <row r="828">
          <cell r="A828">
            <v>188</v>
          </cell>
          <cell r="B828" t="str">
            <v>IPRM</v>
          </cell>
          <cell r="C828" t="str">
            <v>NM</v>
          </cell>
          <cell r="D828" t="str">
            <v>ALCOHOL-L/E-2(C12C18)</v>
          </cell>
          <cell r="AA828">
            <v>143.4</v>
          </cell>
          <cell r="AS828">
            <v>144.1</v>
          </cell>
          <cell r="BT828">
            <v>199</v>
          </cell>
          <cell r="CC828">
            <v>199</v>
          </cell>
          <cell r="CL828">
            <v>201</v>
          </cell>
          <cell r="CU828">
            <v>201</v>
          </cell>
          <cell r="DD828">
            <v>201</v>
          </cell>
          <cell r="DM828">
            <v>201</v>
          </cell>
          <cell r="DV828">
            <v>201</v>
          </cell>
          <cell r="EE828">
            <v>201</v>
          </cell>
          <cell r="EN828">
            <v>201</v>
          </cell>
        </row>
        <row r="829">
          <cell r="A829">
            <v>189</v>
          </cell>
          <cell r="B829" t="str">
            <v>IPRM</v>
          </cell>
          <cell r="C829" t="str">
            <v>NM</v>
          </cell>
          <cell r="D829" t="str">
            <v>ALCOHOL-C16RICH</v>
          </cell>
        </row>
        <row r="830">
          <cell r="A830">
            <v>190</v>
          </cell>
          <cell r="B830" t="str">
            <v>IPRM</v>
          </cell>
          <cell r="C830" t="str">
            <v>NM</v>
          </cell>
          <cell r="D830" t="str">
            <v>ALCOHOL-CRUDE / L/E'S</v>
          </cell>
          <cell r="I830">
            <v>116.8</v>
          </cell>
          <cell r="R830">
            <v>2465.36</v>
          </cell>
          <cell r="AA830">
            <v>2318.84</v>
          </cell>
          <cell r="AS830">
            <v>2315.67</v>
          </cell>
          <cell r="BT830">
            <v>42.9</v>
          </cell>
        </row>
        <row r="831">
          <cell r="A831">
            <v>191</v>
          </cell>
          <cell r="B831" t="str">
            <v>IPRM</v>
          </cell>
          <cell r="C831" t="str">
            <v>NM</v>
          </cell>
          <cell r="D831" t="str">
            <v>L/E of ALC . 18</v>
          </cell>
          <cell r="AJ831">
            <v>55</v>
          </cell>
          <cell r="BB831">
            <v>55</v>
          </cell>
          <cell r="BK831">
            <v>86.8</v>
          </cell>
        </row>
        <row r="832">
          <cell r="A832">
            <v>192</v>
          </cell>
          <cell r="B832" t="str">
            <v>IPRM</v>
          </cell>
          <cell r="C832" t="str">
            <v>NM</v>
          </cell>
          <cell r="D832" t="str">
            <v>L.E.of C 1822</v>
          </cell>
          <cell r="AJ832">
            <v>350</v>
          </cell>
          <cell r="BK832">
            <v>377</v>
          </cell>
        </row>
        <row r="833">
          <cell r="A833">
            <v>251</v>
          </cell>
          <cell r="B833" t="str">
            <v>IPRM</v>
          </cell>
          <cell r="C833" t="str">
            <v>NM</v>
          </cell>
          <cell r="D833" t="str">
            <v>ALCOHOL-C12/C14 (seed alc)</v>
          </cell>
        </row>
        <row r="834">
          <cell r="A834">
            <v>252</v>
          </cell>
          <cell r="B834" t="str">
            <v>IPRM</v>
          </cell>
          <cell r="C834" t="str">
            <v>NM</v>
          </cell>
          <cell r="D834" t="str">
            <v>ALCOHOL-C16 98 (seed alc)</v>
          </cell>
        </row>
        <row r="835">
          <cell r="A835">
            <v>253</v>
          </cell>
          <cell r="B835" t="str">
            <v>IPRM</v>
          </cell>
          <cell r="C835" t="str">
            <v>NM</v>
          </cell>
          <cell r="D835" t="str">
            <v>ALCOHOL-C18 98 (seed alc)</v>
          </cell>
        </row>
        <row r="836">
          <cell r="A836">
            <v>254</v>
          </cell>
          <cell r="B836" t="str">
            <v>IPRM</v>
          </cell>
          <cell r="C836" t="str">
            <v>NM</v>
          </cell>
          <cell r="D836" t="str">
            <v>ALCOHOL-C16/C18 TA (seed alc)</v>
          </cell>
        </row>
        <row r="837">
          <cell r="A837">
            <v>193</v>
          </cell>
          <cell r="B837" t="str">
            <v>IPRM</v>
          </cell>
          <cell r="C837" t="str">
            <v>NM</v>
          </cell>
          <cell r="D837" t="str">
            <v>ALCOHOL-C16/C18 (seed alc)</v>
          </cell>
          <cell r="I837">
            <v>407.4</v>
          </cell>
          <cell r="R837">
            <v>468.1</v>
          </cell>
          <cell r="AA837">
            <v>369.1</v>
          </cell>
          <cell r="AS837">
            <v>369.1</v>
          </cell>
          <cell r="BT837">
            <v>253.8</v>
          </cell>
          <cell r="CC837">
            <v>395.8</v>
          </cell>
          <cell r="CL837">
            <v>395.8</v>
          </cell>
          <cell r="CU837">
            <v>395.8</v>
          </cell>
          <cell r="DD837">
            <v>395.8</v>
          </cell>
          <cell r="DM837">
            <v>395.8</v>
          </cell>
          <cell r="DV837">
            <v>395.8</v>
          </cell>
          <cell r="EE837">
            <v>395.8</v>
          </cell>
          <cell r="EN837">
            <v>395.8</v>
          </cell>
        </row>
        <row r="838">
          <cell r="A838">
            <v>194</v>
          </cell>
          <cell r="B838" t="str">
            <v>IPRM</v>
          </cell>
          <cell r="C838" t="str">
            <v>NM</v>
          </cell>
          <cell r="D838" t="str">
            <v>ALCOHOL-C18/C22 (seed alc)</v>
          </cell>
          <cell r="I838">
            <v>205.7</v>
          </cell>
          <cell r="R838">
            <v>205.4</v>
          </cell>
          <cell r="AA838">
            <v>49.5</v>
          </cell>
          <cell r="AJ838">
            <v>43.7</v>
          </cell>
          <cell r="AS838">
            <v>93.2</v>
          </cell>
          <cell r="BT838">
            <v>49.5</v>
          </cell>
          <cell r="CC838">
            <v>49.9</v>
          </cell>
          <cell r="CL838">
            <v>49.9</v>
          </cell>
          <cell r="CU838">
            <v>49.9</v>
          </cell>
          <cell r="DD838">
            <v>49.9</v>
          </cell>
          <cell r="DM838">
            <v>49.9</v>
          </cell>
          <cell r="DV838">
            <v>49.9</v>
          </cell>
          <cell r="EE838">
            <v>49.9</v>
          </cell>
          <cell r="EN838">
            <v>49.9</v>
          </cell>
        </row>
        <row r="839">
          <cell r="A839">
            <v>255</v>
          </cell>
          <cell r="B839" t="str">
            <v>IPRM</v>
          </cell>
          <cell r="C839" t="str">
            <v>NM</v>
          </cell>
          <cell r="D839" t="str">
            <v>ALCOHOL-C22 70 (seed alc)</v>
          </cell>
        </row>
        <row r="840">
          <cell r="A840">
            <v>195</v>
          </cell>
          <cell r="B840" t="str">
            <v>IPRM</v>
          </cell>
          <cell r="C840" t="str">
            <v>NM</v>
          </cell>
          <cell r="D840" t="str">
            <v>Int. Alc.20-22</v>
          </cell>
          <cell r="AJ840">
            <v>49.5</v>
          </cell>
          <cell r="BB840">
            <v>426.2</v>
          </cell>
          <cell r="BK840">
            <v>49.5</v>
          </cell>
        </row>
        <row r="841">
          <cell r="A841">
            <v>196</v>
          </cell>
          <cell r="B841" t="str">
            <v>IPRM</v>
          </cell>
          <cell r="C841" t="str">
            <v>NM</v>
          </cell>
          <cell r="D841" t="str">
            <v>ALCOHOL-RESIDUE</v>
          </cell>
          <cell r="I841">
            <v>63.6</v>
          </cell>
          <cell r="R841">
            <v>63.6</v>
          </cell>
          <cell r="AA841">
            <v>63.6</v>
          </cell>
          <cell r="AJ841">
            <v>80.629714285714286</v>
          </cell>
          <cell r="AS841">
            <v>77.5</v>
          </cell>
          <cell r="BB841">
            <v>50.4</v>
          </cell>
          <cell r="BK841">
            <v>48.455357142857146</v>
          </cell>
          <cell r="BT841">
            <v>51.9</v>
          </cell>
          <cell r="CC841">
            <v>55</v>
          </cell>
          <cell r="CL841">
            <v>71.3</v>
          </cell>
          <cell r="CU841">
            <v>81.8</v>
          </cell>
          <cell r="DD841">
            <v>75.2</v>
          </cell>
          <cell r="DM841">
            <v>78.3</v>
          </cell>
          <cell r="DV841">
            <v>89.2</v>
          </cell>
          <cell r="EE841">
            <v>92.3</v>
          </cell>
          <cell r="EN841">
            <v>100.8</v>
          </cell>
          <cell r="ER841">
            <v>5.39</v>
          </cell>
        </row>
        <row r="842">
          <cell r="A842">
            <v>197</v>
          </cell>
          <cell r="B842" t="str">
            <v>IPRM</v>
          </cell>
          <cell r="C842" t="str">
            <v>NM</v>
          </cell>
          <cell r="D842" t="str">
            <v>ALCOHOL-HYDROCARBON</v>
          </cell>
        </row>
        <row r="843">
          <cell r="A843">
            <v>198</v>
          </cell>
          <cell r="B843" t="str">
            <v>IPRM</v>
          </cell>
          <cell r="C843" t="str">
            <v>NM</v>
          </cell>
          <cell r="D843" t="str">
            <v>Int. Alc. V1218</v>
          </cell>
          <cell r="R843">
            <v>125.8</v>
          </cell>
        </row>
        <row r="844">
          <cell r="A844">
            <v>199</v>
          </cell>
          <cell r="B844" t="str">
            <v>IPRM</v>
          </cell>
          <cell r="C844" t="str">
            <v>NM</v>
          </cell>
          <cell r="D844" t="str">
            <v>Int. Alc. V1216</v>
          </cell>
          <cell r="BB844">
            <v>149.5</v>
          </cell>
          <cell r="BK844">
            <v>198.76442857142857</v>
          </cell>
        </row>
        <row r="845">
          <cell r="A845">
            <v>200</v>
          </cell>
          <cell r="B845" t="str">
            <v>IPRM</v>
          </cell>
          <cell r="C845" t="str">
            <v>NM</v>
          </cell>
          <cell r="D845" t="str">
            <v>Int. Alc. V1618</v>
          </cell>
          <cell r="AJ845">
            <v>890.81594999999982</v>
          </cell>
          <cell r="BB845">
            <v>443.1</v>
          </cell>
          <cell r="BK845">
            <v>253.82784000000001</v>
          </cell>
        </row>
        <row r="846">
          <cell r="A846">
            <v>259</v>
          </cell>
          <cell r="B846" t="str">
            <v>IPRM</v>
          </cell>
          <cell r="C846" t="str">
            <v>NM</v>
          </cell>
          <cell r="D846" t="str">
            <v>Int. Alc. V1822</v>
          </cell>
        </row>
        <row r="847">
          <cell r="A847">
            <v>201</v>
          </cell>
          <cell r="B847" t="str">
            <v>IPRM</v>
          </cell>
          <cell r="C847" t="str">
            <v>NM</v>
          </cell>
          <cell r="D847" t="str">
            <v>Wax ester 1214/1618</v>
          </cell>
          <cell r="I847">
            <v>105</v>
          </cell>
          <cell r="R847">
            <v>105</v>
          </cell>
          <cell r="AA847">
            <v>105</v>
          </cell>
          <cell r="AJ847">
            <v>105</v>
          </cell>
          <cell r="AS847">
            <v>105</v>
          </cell>
          <cell r="BB847">
            <v>105</v>
          </cell>
          <cell r="BK847">
            <v>105</v>
          </cell>
          <cell r="BT847">
            <v>105</v>
          </cell>
          <cell r="CC847">
            <v>105</v>
          </cell>
          <cell r="CL847">
            <v>73.2</v>
          </cell>
          <cell r="CU847">
            <v>94.8</v>
          </cell>
          <cell r="DD847">
            <v>94.8</v>
          </cell>
          <cell r="DM847">
            <v>94.8</v>
          </cell>
          <cell r="DV847">
            <v>94.8</v>
          </cell>
          <cell r="EE847">
            <v>94.8</v>
          </cell>
          <cell r="EN847">
            <v>23.8</v>
          </cell>
        </row>
        <row r="848">
          <cell r="A848">
            <v>202</v>
          </cell>
          <cell r="B848" t="str">
            <v>IPRM</v>
          </cell>
          <cell r="C848" t="str">
            <v>NM</v>
          </cell>
          <cell r="D848" t="str">
            <v>Wax ester 1216/1218</v>
          </cell>
        </row>
        <row r="849">
          <cell r="A849">
            <v>203</v>
          </cell>
          <cell r="B849" t="str">
            <v>IPRM</v>
          </cell>
          <cell r="C849" t="str">
            <v>SM</v>
          </cell>
          <cell r="D849" t="str">
            <v>ALCOHOL Residue 1618</v>
          </cell>
        </row>
        <row r="850">
          <cell r="A850">
            <v>204</v>
          </cell>
          <cell r="B850" t="str">
            <v>IPRM</v>
          </cell>
          <cell r="C850" t="str">
            <v>SM</v>
          </cell>
          <cell r="D850" t="str">
            <v>ALCOHOL Residue 1822</v>
          </cell>
        </row>
        <row r="851">
          <cell r="A851">
            <v>205</v>
          </cell>
          <cell r="B851" t="str">
            <v>IPRM</v>
          </cell>
          <cell r="C851" t="str">
            <v>SM</v>
          </cell>
          <cell r="D851" t="str">
            <v>ALCOHOL Residue 2022</v>
          </cell>
          <cell r="AJ851">
            <v>51.026100000000007</v>
          </cell>
          <cell r="AS851">
            <v>52</v>
          </cell>
          <cell r="BB851">
            <v>50.8</v>
          </cell>
          <cell r="BK851">
            <v>50.228200000000001</v>
          </cell>
          <cell r="BT851">
            <v>50</v>
          </cell>
          <cell r="CC851">
            <v>50</v>
          </cell>
          <cell r="CL851">
            <v>50</v>
          </cell>
          <cell r="CU851">
            <v>50</v>
          </cell>
          <cell r="DD851">
            <v>50</v>
          </cell>
          <cell r="DM851">
            <v>50</v>
          </cell>
          <cell r="DV851">
            <v>50</v>
          </cell>
          <cell r="EE851">
            <v>51</v>
          </cell>
          <cell r="EN851">
            <v>51</v>
          </cell>
        </row>
        <row r="852">
          <cell r="A852">
            <v>206</v>
          </cell>
          <cell r="B852" t="str">
            <v>IPRM</v>
          </cell>
          <cell r="C852" t="str">
            <v>SM</v>
          </cell>
          <cell r="D852" t="str">
            <v>ALCOHOL B/P&gt;C18</v>
          </cell>
          <cell r="I852">
            <v>193.8</v>
          </cell>
          <cell r="R852">
            <v>193.8</v>
          </cell>
          <cell r="AA852">
            <v>193.8</v>
          </cell>
          <cell r="AJ852">
            <v>193.76112857142854</v>
          </cell>
          <cell r="AS852">
            <v>193.8</v>
          </cell>
          <cell r="BB852">
            <v>193.8</v>
          </cell>
          <cell r="BK852">
            <v>193.76112857142854</v>
          </cell>
          <cell r="BT852">
            <v>512.79999999999995</v>
          </cell>
          <cell r="CC852">
            <v>526.70000000000005</v>
          </cell>
          <cell r="CL852">
            <v>511.8</v>
          </cell>
          <cell r="CU852">
            <v>511.8</v>
          </cell>
          <cell r="DD852">
            <v>511.8</v>
          </cell>
          <cell r="DM852">
            <v>511.8</v>
          </cell>
          <cell r="DV852">
            <v>514.20000000000005</v>
          </cell>
          <cell r="EE852">
            <v>569</v>
          </cell>
          <cell r="EN852">
            <v>607</v>
          </cell>
        </row>
        <row r="853">
          <cell r="A853">
            <v>207</v>
          </cell>
          <cell r="B853" t="str">
            <v>IPRM</v>
          </cell>
          <cell r="C853" t="str">
            <v>SM</v>
          </cell>
          <cell r="D853" t="str">
            <v>Crude Alc. 1216</v>
          </cell>
          <cell r="AJ853">
            <v>871.9</v>
          </cell>
          <cell r="BB853">
            <v>2314.29</v>
          </cell>
          <cell r="BK853">
            <v>575.62400000000002</v>
          </cell>
        </row>
        <row r="854">
          <cell r="F854">
            <v>0</v>
          </cell>
          <cell r="G854">
            <v>0</v>
          </cell>
          <cell r="H854">
            <v>0</v>
          </cell>
          <cell r="I854">
            <v>3557.6600000000003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3707.0600000000004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3604.04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3767.9868928571427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3774.27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3788.09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2130.0609542857146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2056.5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1887.4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0</v>
          </cell>
          <cell r="CK854">
            <v>0</v>
          </cell>
          <cell r="CL854">
            <v>1852.2</v>
          </cell>
          <cell r="CM854">
            <v>0</v>
          </cell>
          <cell r="CN854">
            <v>0</v>
          </cell>
          <cell r="CO854">
            <v>0</v>
          </cell>
          <cell r="CP854">
            <v>0</v>
          </cell>
          <cell r="CQ854">
            <v>0</v>
          </cell>
          <cell r="CR854">
            <v>0</v>
          </cell>
          <cell r="CS854">
            <v>0</v>
          </cell>
          <cell r="CT854">
            <v>0</v>
          </cell>
          <cell r="CU854">
            <v>1887</v>
          </cell>
          <cell r="CV854">
            <v>0</v>
          </cell>
          <cell r="CW854">
            <v>0</v>
          </cell>
          <cell r="CX854">
            <v>0</v>
          </cell>
          <cell r="CY854">
            <v>0</v>
          </cell>
          <cell r="CZ854">
            <v>0</v>
          </cell>
          <cell r="DA854">
            <v>0</v>
          </cell>
          <cell r="DB854">
            <v>0</v>
          </cell>
          <cell r="DC854">
            <v>0</v>
          </cell>
          <cell r="DD854">
            <v>1884.3</v>
          </cell>
          <cell r="DE854">
            <v>0</v>
          </cell>
          <cell r="DF854">
            <v>0</v>
          </cell>
          <cell r="DG854">
            <v>0</v>
          </cell>
          <cell r="DH854">
            <v>0</v>
          </cell>
          <cell r="DI854">
            <v>0</v>
          </cell>
          <cell r="DJ854">
            <v>0</v>
          </cell>
          <cell r="DK854">
            <v>0</v>
          </cell>
          <cell r="DL854">
            <v>0</v>
          </cell>
          <cell r="DM854">
            <v>1890</v>
          </cell>
          <cell r="DN854">
            <v>0</v>
          </cell>
          <cell r="DO854">
            <v>0</v>
          </cell>
          <cell r="DP854">
            <v>0</v>
          </cell>
          <cell r="DQ854">
            <v>0</v>
          </cell>
          <cell r="DR854">
            <v>0</v>
          </cell>
          <cell r="DS854">
            <v>0</v>
          </cell>
          <cell r="DT854">
            <v>0</v>
          </cell>
          <cell r="DU854">
            <v>0</v>
          </cell>
          <cell r="DV854">
            <v>1891.9</v>
          </cell>
          <cell r="DW854">
            <v>0</v>
          </cell>
          <cell r="DX854">
            <v>0</v>
          </cell>
          <cell r="DY854">
            <v>0</v>
          </cell>
          <cell r="DZ854">
            <v>0</v>
          </cell>
          <cell r="EA854">
            <v>0</v>
          </cell>
          <cell r="EB854">
            <v>0</v>
          </cell>
          <cell r="EC854">
            <v>0</v>
          </cell>
          <cell r="ED854">
            <v>0</v>
          </cell>
          <cell r="EE854">
            <v>2003.7</v>
          </cell>
          <cell r="EF854">
            <v>0</v>
          </cell>
          <cell r="EG854">
            <v>0</v>
          </cell>
          <cell r="EH854">
            <v>0</v>
          </cell>
          <cell r="EI854">
            <v>0</v>
          </cell>
          <cell r="EJ854">
            <v>0</v>
          </cell>
          <cell r="EK854">
            <v>0</v>
          </cell>
          <cell r="EL854">
            <v>0</v>
          </cell>
          <cell r="EM854">
            <v>0</v>
          </cell>
          <cell r="EN854">
            <v>1982.3</v>
          </cell>
          <cell r="EO854">
            <v>0</v>
          </cell>
          <cell r="EP854">
            <v>0</v>
          </cell>
          <cell r="EQ854">
            <v>0</v>
          </cell>
          <cell r="ER854">
            <v>5.39</v>
          </cell>
          <cell r="ES854">
            <v>0</v>
          </cell>
        </row>
        <row r="855">
          <cell r="A855" t="str">
            <v>SOAP NOODLES</v>
          </cell>
        </row>
        <row r="856">
          <cell r="A856">
            <v>208</v>
          </cell>
          <cell r="B856" t="str">
            <v>FG</v>
          </cell>
          <cell r="C856" t="str">
            <v>FM</v>
          </cell>
          <cell r="D856" t="str">
            <v>DETTOL</v>
          </cell>
          <cell r="E856" t="str">
            <v>AL</v>
          </cell>
          <cell r="I856">
            <v>209.6</v>
          </cell>
          <cell r="J856">
            <v>1.7250000000000001</v>
          </cell>
          <cell r="N856">
            <v>52.15</v>
          </cell>
          <cell r="R856">
            <v>161.6</v>
          </cell>
          <cell r="S856">
            <v>1.7250000000000001</v>
          </cell>
          <cell r="W856">
            <v>52.15</v>
          </cell>
          <cell r="AA856">
            <v>146.6</v>
          </cell>
          <cell r="AB856">
            <v>1.7250000000000001</v>
          </cell>
          <cell r="AF856">
            <v>52.15</v>
          </cell>
          <cell r="AJ856">
            <v>59</v>
          </cell>
          <cell r="AK856">
            <v>1.7250000000000001</v>
          </cell>
          <cell r="AO856">
            <v>97.75</v>
          </cell>
          <cell r="AS856">
            <v>114</v>
          </cell>
          <cell r="AT856">
            <v>1.7250000000000001</v>
          </cell>
          <cell r="AX856">
            <v>97.75</v>
          </cell>
          <cell r="BB856">
            <v>83</v>
          </cell>
          <cell r="BC856">
            <v>1.7250000000000001</v>
          </cell>
          <cell r="BG856">
            <v>97.75</v>
          </cell>
          <cell r="BK856">
            <v>19</v>
          </cell>
          <cell r="BL856">
            <v>1.7250000000000001</v>
          </cell>
          <cell r="BO856">
            <v>52.4</v>
          </cell>
          <cell r="BP856">
            <v>145.6</v>
          </cell>
          <cell r="BT856">
            <v>46</v>
          </cell>
          <cell r="BU856">
            <v>1.7250000000000001</v>
          </cell>
          <cell r="BY856">
            <v>55.38</v>
          </cell>
          <cell r="CC856">
            <v>59</v>
          </cell>
          <cell r="CD856">
            <v>1.7250000000000001</v>
          </cell>
          <cell r="CH856">
            <v>35.880000000000003</v>
          </cell>
          <cell r="CL856">
            <v>2.6</v>
          </cell>
          <cell r="CM856">
            <v>1.7250000000000001</v>
          </cell>
          <cell r="CP856">
            <v>16.8</v>
          </cell>
          <cell r="CQ856">
            <v>131.88</v>
          </cell>
          <cell r="CU856">
            <v>34.6</v>
          </cell>
          <cell r="CV856">
            <v>1.7250000000000001</v>
          </cell>
          <cell r="CZ856">
            <v>116.05</v>
          </cell>
          <cell r="DD856">
            <v>142.6</v>
          </cell>
          <cell r="DI856">
            <v>103.3</v>
          </cell>
          <cell r="DM856">
            <v>129.6</v>
          </cell>
          <cell r="DN856">
            <v>1.7250000000000001</v>
          </cell>
          <cell r="DR856">
            <v>103.3</v>
          </cell>
          <cell r="DV856">
            <v>42.75</v>
          </cell>
          <cell r="DW856">
            <v>1.7250000000000001</v>
          </cell>
          <cell r="EA856">
            <v>103.3</v>
          </cell>
          <cell r="EE856">
            <v>42.75</v>
          </cell>
          <cell r="EF856">
            <v>1.7250000000000001</v>
          </cell>
          <cell r="EJ856">
            <v>103.3</v>
          </cell>
          <cell r="EN856">
            <v>69.25</v>
          </cell>
          <cell r="EO856">
            <v>1.7250000000000001</v>
          </cell>
          <cell r="ES856">
            <v>103.3</v>
          </cell>
        </row>
        <row r="857">
          <cell r="A857">
            <v>209</v>
          </cell>
          <cell r="B857" t="str">
            <v>FG</v>
          </cell>
          <cell r="C857" t="str">
            <v>FM</v>
          </cell>
          <cell r="D857" t="str">
            <v>DETTOL SKINCARE</v>
          </cell>
          <cell r="I857">
            <v>120.5</v>
          </cell>
          <cell r="N857">
            <v>7.5</v>
          </cell>
          <cell r="R857">
            <v>120.5</v>
          </cell>
          <cell r="W857">
            <v>7.5</v>
          </cell>
          <cell r="AA857">
            <v>120.5</v>
          </cell>
          <cell r="AF857">
            <v>7.5</v>
          </cell>
          <cell r="AJ857">
            <v>245.5</v>
          </cell>
          <cell r="AO857">
            <v>7.5</v>
          </cell>
          <cell r="AS857">
            <v>135.5</v>
          </cell>
          <cell r="AX857">
            <v>7.5</v>
          </cell>
          <cell r="BB857">
            <v>205.5</v>
          </cell>
          <cell r="BG857">
            <v>7.5</v>
          </cell>
          <cell r="BK857">
            <v>255.5</v>
          </cell>
          <cell r="BP857">
            <v>7.5</v>
          </cell>
          <cell r="BT857">
            <v>267.5</v>
          </cell>
          <cell r="CC857">
            <v>267.5</v>
          </cell>
          <cell r="CH857">
            <v>7.5</v>
          </cell>
          <cell r="CL857">
            <v>252</v>
          </cell>
          <cell r="CQ857">
            <v>7.5</v>
          </cell>
          <cell r="CU857">
            <v>232</v>
          </cell>
          <cell r="CZ857">
            <v>7.5</v>
          </cell>
          <cell r="DD857">
            <v>232</v>
          </cell>
          <cell r="DI857">
            <v>7.5</v>
          </cell>
          <cell r="DM857">
            <v>164.2</v>
          </cell>
          <cell r="DR857">
            <v>7.5</v>
          </cell>
          <cell r="DV857">
            <v>164.2</v>
          </cell>
          <cell r="EA857">
            <v>7.5</v>
          </cell>
          <cell r="EE857">
            <v>144.19999999999999</v>
          </cell>
          <cell r="EJ857">
            <v>7.5</v>
          </cell>
          <cell r="EN857">
            <v>119.8</v>
          </cell>
          <cell r="ES857">
            <v>7.5</v>
          </cell>
        </row>
        <row r="858">
          <cell r="A858">
            <v>210</v>
          </cell>
          <cell r="B858" t="str">
            <v>FG</v>
          </cell>
          <cell r="C858" t="str">
            <v>FM</v>
          </cell>
          <cell r="D858" t="str">
            <v>JBMS 40:60</v>
          </cell>
          <cell r="E858" t="str">
            <v>W</v>
          </cell>
          <cell r="I858">
            <v>91.4</v>
          </cell>
          <cell r="J858">
            <v>4</v>
          </cell>
          <cell r="M858">
            <v>300.8</v>
          </cell>
          <cell r="N858">
            <v>106.5</v>
          </cell>
          <cell r="R858">
            <v>13.4</v>
          </cell>
          <cell r="S858">
            <v>4</v>
          </cell>
          <cell r="V858">
            <v>264.39999999999998</v>
          </cell>
          <cell r="W858">
            <v>165.3</v>
          </cell>
          <cell r="AA858">
            <v>0</v>
          </cell>
          <cell r="AB858">
            <v>4</v>
          </cell>
          <cell r="AE858">
            <v>66</v>
          </cell>
          <cell r="AF858">
            <v>271.7</v>
          </cell>
          <cell r="AJ858">
            <v>15.8</v>
          </cell>
          <cell r="AK858">
            <v>50.53</v>
          </cell>
          <cell r="AN858">
            <v>457.6</v>
          </cell>
          <cell r="AO858">
            <v>107.3</v>
          </cell>
          <cell r="AS858">
            <v>0</v>
          </cell>
          <cell r="AT858">
            <v>14.53</v>
          </cell>
          <cell r="AX858">
            <v>345.7</v>
          </cell>
          <cell r="BB858">
            <v>0</v>
          </cell>
          <cell r="BC858">
            <v>14.53</v>
          </cell>
          <cell r="BG858">
            <v>188.9</v>
          </cell>
          <cell r="BK858">
            <v>40</v>
          </cell>
          <cell r="BL858">
            <v>14.53</v>
          </cell>
          <cell r="BO858">
            <v>314</v>
          </cell>
          <cell r="BP858">
            <v>21.7</v>
          </cell>
          <cell r="BT858">
            <v>171.6</v>
          </cell>
          <cell r="BU858">
            <v>14.53</v>
          </cell>
          <cell r="BX858">
            <v>66.400000000000006</v>
          </cell>
          <cell r="BY858">
            <v>279.3</v>
          </cell>
          <cell r="CC858">
            <v>58.4</v>
          </cell>
          <cell r="CD858">
            <v>30.53</v>
          </cell>
          <cell r="CG858">
            <v>114</v>
          </cell>
          <cell r="CH858">
            <v>228.1</v>
          </cell>
          <cell r="CL858">
            <v>0</v>
          </cell>
          <cell r="CM858">
            <v>34.93</v>
          </cell>
          <cell r="CP858">
            <v>144</v>
          </cell>
          <cell r="CQ858">
            <v>192.9</v>
          </cell>
          <cell r="CU858">
            <v>17.600000000000001</v>
          </cell>
          <cell r="CV858">
            <v>8.93</v>
          </cell>
          <cell r="CY858">
            <v>154</v>
          </cell>
          <cell r="CZ858">
            <v>262.89999999999998</v>
          </cell>
          <cell r="DD858">
            <v>14.8</v>
          </cell>
          <cell r="DH858">
            <v>18.8</v>
          </cell>
          <cell r="DI858">
            <v>307.3</v>
          </cell>
          <cell r="DM858">
            <v>5.2</v>
          </cell>
          <cell r="DQ858">
            <v>218.4</v>
          </cell>
          <cell r="DR858">
            <v>122.9</v>
          </cell>
          <cell r="DV858">
            <v>0</v>
          </cell>
          <cell r="DZ858">
            <v>58</v>
          </cell>
          <cell r="EA858">
            <v>269.3</v>
          </cell>
          <cell r="EE858">
            <v>207.4</v>
          </cell>
          <cell r="EI858">
            <v>292</v>
          </cell>
          <cell r="EJ858">
            <v>172.1</v>
          </cell>
          <cell r="EN858">
            <v>6</v>
          </cell>
          <cell r="ER858">
            <v>448</v>
          </cell>
          <cell r="ES858">
            <v>396.1</v>
          </cell>
        </row>
        <row r="859">
          <cell r="A859">
            <v>211</v>
          </cell>
          <cell r="B859" t="str">
            <v>FG</v>
          </cell>
          <cell r="C859" t="str">
            <v>FM</v>
          </cell>
          <cell r="D859" t="str">
            <v>JNC 99</v>
          </cell>
          <cell r="E859">
            <v>99</v>
          </cell>
          <cell r="I859">
            <v>0</v>
          </cell>
          <cell r="J859">
            <v>13.711999999999993</v>
          </cell>
          <cell r="M859">
            <v>26</v>
          </cell>
          <cell r="N859">
            <v>160.05000000000001</v>
          </cell>
          <cell r="R859">
            <v>0</v>
          </cell>
          <cell r="S859">
            <v>13.711999999999993</v>
          </cell>
          <cell r="V859">
            <v>26</v>
          </cell>
          <cell r="W859">
            <v>160.05000000000001</v>
          </cell>
          <cell r="AA859">
            <v>0</v>
          </cell>
          <cell r="AB859">
            <v>13.711999999999993</v>
          </cell>
          <cell r="AF859">
            <v>199.85000000000002</v>
          </cell>
          <cell r="AJ859">
            <v>0</v>
          </cell>
          <cell r="AK859">
            <v>13.711999999999993</v>
          </cell>
          <cell r="AO859">
            <v>199.85000000000002</v>
          </cell>
          <cell r="AS859">
            <v>0</v>
          </cell>
          <cell r="AT859">
            <v>13.711999999999993</v>
          </cell>
          <cell r="AX859">
            <v>188.65</v>
          </cell>
          <cell r="BB859">
            <v>72.2</v>
          </cell>
          <cell r="BC859">
            <v>13.711999999999993</v>
          </cell>
          <cell r="BG859">
            <v>136.6</v>
          </cell>
          <cell r="BK859">
            <v>30.6</v>
          </cell>
          <cell r="BL859">
            <v>29.711999999999993</v>
          </cell>
          <cell r="BP859">
            <v>122.2</v>
          </cell>
          <cell r="BT859">
            <v>17</v>
          </cell>
          <cell r="BU859">
            <v>37.711999999999989</v>
          </cell>
          <cell r="BY859">
            <v>122.2</v>
          </cell>
          <cell r="CC859">
            <v>22.4</v>
          </cell>
          <cell r="CD859">
            <v>6.0119999999999854</v>
          </cell>
          <cell r="CG859">
            <v>41.6</v>
          </cell>
          <cell r="CH859">
            <v>122.2</v>
          </cell>
          <cell r="CL859">
            <v>17.600000000000001</v>
          </cell>
          <cell r="CM859">
            <v>6.0119999999999854</v>
          </cell>
          <cell r="CQ859">
            <v>161.80000000000001</v>
          </cell>
          <cell r="CU859">
            <v>17.600000000000001</v>
          </cell>
          <cell r="CV859">
            <v>6.0119999999999854</v>
          </cell>
          <cell r="CY859">
            <v>2.4</v>
          </cell>
          <cell r="CZ859">
            <v>133.4</v>
          </cell>
          <cell r="DD859">
            <v>17.600000000000001</v>
          </cell>
          <cell r="DI859">
            <v>122</v>
          </cell>
          <cell r="DM859">
            <v>42.6</v>
          </cell>
          <cell r="DN859">
            <v>6.0119999999999854</v>
          </cell>
          <cell r="DQ859">
            <v>6.4</v>
          </cell>
          <cell r="DR859">
            <v>138.4</v>
          </cell>
          <cell r="DV859">
            <v>24.4</v>
          </cell>
          <cell r="DW859">
            <v>6.0119999999999854</v>
          </cell>
          <cell r="DZ859">
            <v>80</v>
          </cell>
          <cell r="EA859">
            <v>162</v>
          </cell>
          <cell r="EE859">
            <v>8.4</v>
          </cell>
          <cell r="EF859">
            <v>6.0119999999999854</v>
          </cell>
          <cell r="EJ859">
            <v>183.56</v>
          </cell>
          <cell r="EN859">
            <v>0</v>
          </cell>
          <cell r="EO859">
            <v>6.0119999999999854</v>
          </cell>
          <cell r="ES859">
            <v>167.81</v>
          </cell>
        </row>
        <row r="860">
          <cell r="A860">
            <v>212</v>
          </cell>
          <cell r="B860" t="str">
            <v>FG</v>
          </cell>
          <cell r="C860" t="str">
            <v>FM</v>
          </cell>
          <cell r="D860" t="str">
            <v>JO TF 70%</v>
          </cell>
          <cell r="E860" t="str">
            <v>TF</v>
          </cell>
          <cell r="I860">
            <v>0</v>
          </cell>
          <cell r="J860">
            <v>122.289</v>
          </cell>
          <cell r="M860">
            <v>111.3</v>
          </cell>
          <cell r="N860">
            <v>61.1</v>
          </cell>
          <cell r="R860">
            <v>127</v>
          </cell>
          <cell r="S860">
            <v>111.089</v>
          </cell>
          <cell r="V860">
            <v>159</v>
          </cell>
          <cell r="W860">
            <v>37.1</v>
          </cell>
          <cell r="AA860">
            <v>0</v>
          </cell>
          <cell r="AB860">
            <v>337.589</v>
          </cell>
          <cell r="AE860">
            <v>228.4</v>
          </cell>
          <cell r="AF860">
            <v>33.4</v>
          </cell>
          <cell r="AJ860">
            <v>0</v>
          </cell>
          <cell r="AK860">
            <v>298.03899999999999</v>
          </cell>
          <cell r="AN860">
            <v>113.7</v>
          </cell>
          <cell r="AO860">
            <v>104.02000000000001</v>
          </cell>
          <cell r="AS860">
            <v>0</v>
          </cell>
          <cell r="AT860">
            <v>153.13900000000001</v>
          </cell>
          <cell r="AW860">
            <v>15.9</v>
          </cell>
          <cell r="AX860">
            <v>30.38</v>
          </cell>
          <cell r="BB860">
            <v>6.9999999999999929</v>
          </cell>
          <cell r="BC860">
            <v>206.239</v>
          </cell>
          <cell r="BF860">
            <v>304.5</v>
          </cell>
          <cell r="BG860">
            <v>39.18</v>
          </cell>
          <cell r="BK860">
            <v>6.9999999999999929</v>
          </cell>
          <cell r="BL860">
            <v>537.41399999999999</v>
          </cell>
          <cell r="BO860">
            <v>80.7</v>
          </cell>
          <cell r="BP860">
            <v>342.81</v>
          </cell>
          <cell r="BT860">
            <v>0</v>
          </cell>
          <cell r="BU860">
            <v>334.26399999999995</v>
          </cell>
          <cell r="BY860">
            <v>324.23</v>
          </cell>
          <cell r="CC860">
            <v>0</v>
          </cell>
          <cell r="CD860">
            <v>335.964</v>
          </cell>
          <cell r="CH860">
            <v>229.82999999999998</v>
          </cell>
          <cell r="CL860">
            <v>0</v>
          </cell>
          <cell r="CM860">
            <v>263.51400000000001</v>
          </cell>
          <cell r="CQ860">
            <v>136</v>
          </cell>
          <cell r="CU860">
            <v>137.19999999999999</v>
          </cell>
          <cell r="CV860">
            <v>154.714</v>
          </cell>
          <cell r="CY860">
            <v>162.80000000000001</v>
          </cell>
          <cell r="CZ860">
            <v>109.83</v>
          </cell>
          <cell r="DD860">
            <v>71.2</v>
          </cell>
          <cell r="DH860">
            <v>191.2</v>
          </cell>
          <cell r="DI860">
            <v>134.22999999999999</v>
          </cell>
          <cell r="DM860">
            <v>56</v>
          </cell>
          <cell r="DN860">
            <v>250.38899999999998</v>
          </cell>
          <cell r="DQ860">
            <v>81.2</v>
          </cell>
          <cell r="DR860">
            <v>144.63</v>
          </cell>
          <cell r="DV860">
            <v>0</v>
          </cell>
          <cell r="DW860">
            <v>393.91399999999999</v>
          </cell>
          <cell r="DZ860">
            <v>138.4</v>
          </cell>
          <cell r="EA860">
            <v>160.22999999999999</v>
          </cell>
          <cell r="EE860">
            <v>0</v>
          </cell>
          <cell r="EF860">
            <v>448.66399999999999</v>
          </cell>
          <cell r="EJ860">
            <v>193.82999999999998</v>
          </cell>
          <cell r="EN860">
            <v>0</v>
          </cell>
          <cell r="EO860">
            <v>51.363999999999997</v>
          </cell>
          <cell r="ER860">
            <v>96.6</v>
          </cell>
          <cell r="ES860">
            <v>79.37</v>
          </cell>
        </row>
        <row r="861">
          <cell r="A861">
            <v>213</v>
          </cell>
          <cell r="B861" t="str">
            <v>FG</v>
          </cell>
          <cell r="C861" t="str">
            <v>FM</v>
          </cell>
          <cell r="D861" t="str">
            <v>DR TF 70%</v>
          </cell>
          <cell r="E861" t="str">
            <v>TF D</v>
          </cell>
          <cell r="I861">
            <v>11.6</v>
          </cell>
          <cell r="J861">
            <v>264.7</v>
          </cell>
          <cell r="N861">
            <v>255.8</v>
          </cell>
          <cell r="R861">
            <v>11.6</v>
          </cell>
          <cell r="S861">
            <v>253.9</v>
          </cell>
          <cell r="W861">
            <v>255.8</v>
          </cell>
          <cell r="AA861">
            <v>5.4000000000000057</v>
          </cell>
          <cell r="AE861">
            <v>273.10000000000002</v>
          </cell>
          <cell r="AF861">
            <v>186.6</v>
          </cell>
          <cell r="AJ861">
            <v>1.4000000000000057</v>
          </cell>
          <cell r="AO861">
            <v>351.8</v>
          </cell>
          <cell r="AS861">
            <v>0</v>
          </cell>
          <cell r="AX861">
            <v>272.2</v>
          </cell>
          <cell r="BB861">
            <v>0</v>
          </cell>
          <cell r="BF861">
            <v>98.4</v>
          </cell>
          <cell r="BG861">
            <v>97</v>
          </cell>
          <cell r="BK861">
            <v>1.6</v>
          </cell>
          <cell r="BT861">
            <v>24.4</v>
          </cell>
          <cell r="BX861">
            <v>375.2</v>
          </cell>
          <cell r="BY861">
            <v>98.2</v>
          </cell>
          <cell r="CC861">
            <v>98.8</v>
          </cell>
          <cell r="CG861">
            <v>182.4</v>
          </cell>
          <cell r="CH861">
            <v>263.8</v>
          </cell>
          <cell r="CL861">
            <v>0</v>
          </cell>
          <cell r="CP861">
            <v>17.600000000000001</v>
          </cell>
          <cell r="CQ861">
            <v>340.2</v>
          </cell>
          <cell r="CU861">
            <v>0</v>
          </cell>
          <cell r="CY861">
            <v>28</v>
          </cell>
          <cell r="CZ861">
            <v>233.8</v>
          </cell>
          <cell r="DD861">
            <v>22.6</v>
          </cell>
          <cell r="DH861">
            <v>146.4</v>
          </cell>
          <cell r="DI861">
            <v>96.6</v>
          </cell>
          <cell r="DM861">
            <v>0</v>
          </cell>
          <cell r="DQ861">
            <v>117.6</v>
          </cell>
          <cell r="DR861">
            <v>336.6</v>
          </cell>
          <cell r="DV861">
            <v>84.4</v>
          </cell>
          <cell r="EA861">
            <v>172.6</v>
          </cell>
          <cell r="EE861">
            <v>178.8</v>
          </cell>
          <cell r="EI861">
            <v>322</v>
          </cell>
          <cell r="EJ861">
            <v>100.6</v>
          </cell>
          <cell r="EN861">
            <v>0</v>
          </cell>
          <cell r="ER861">
            <v>196.8</v>
          </cell>
          <cell r="ES861">
            <v>429</v>
          </cell>
        </row>
        <row r="862">
          <cell r="A862">
            <v>214</v>
          </cell>
          <cell r="B862" t="str">
            <v>FG</v>
          </cell>
          <cell r="C862" t="str">
            <v>FM</v>
          </cell>
          <cell r="D862" t="str">
            <v>JO ALMOND W TF 70%</v>
          </cell>
          <cell r="E862" t="str">
            <v>VITAVON W TF</v>
          </cell>
          <cell r="I862">
            <v>144</v>
          </cell>
          <cell r="J862">
            <v>74.8</v>
          </cell>
          <cell r="M862">
            <v>65.2</v>
          </cell>
          <cell r="N862">
            <v>241.6</v>
          </cell>
          <cell r="R862">
            <v>0</v>
          </cell>
          <cell r="S862">
            <v>64.400000000000006</v>
          </cell>
          <cell r="V862">
            <v>306.39999999999998</v>
          </cell>
          <cell r="W862">
            <v>95.4</v>
          </cell>
          <cell r="AA862">
            <v>112.2</v>
          </cell>
          <cell r="AB862">
            <v>152.4</v>
          </cell>
          <cell r="AE862">
            <v>163.19999999999999</v>
          </cell>
          <cell r="AF862">
            <v>238.6</v>
          </cell>
          <cell r="AJ862">
            <v>51.4</v>
          </cell>
          <cell r="AK862">
            <v>153.6</v>
          </cell>
          <cell r="AN862">
            <v>81.599999999999994</v>
          </cell>
          <cell r="AO862">
            <v>152.4</v>
          </cell>
          <cell r="AS862">
            <v>346.6</v>
          </cell>
          <cell r="AT862">
            <v>190.8</v>
          </cell>
          <cell r="AW862">
            <v>279.2</v>
          </cell>
          <cell r="BB862">
            <v>33.4</v>
          </cell>
          <cell r="BC862">
            <v>156.80000000000001</v>
          </cell>
          <cell r="BF862">
            <v>182.8</v>
          </cell>
          <cell r="BG862">
            <v>363.2</v>
          </cell>
          <cell r="BK862">
            <v>5.2</v>
          </cell>
          <cell r="BL862">
            <v>8.4</v>
          </cell>
          <cell r="BO862">
            <v>40.799999999999947</v>
          </cell>
          <cell r="BP862">
            <v>532.79999999999995</v>
          </cell>
          <cell r="BT862">
            <v>0</v>
          </cell>
          <cell r="BY862">
            <v>573.6</v>
          </cell>
          <cell r="CC862">
            <v>0.19999999999999929</v>
          </cell>
          <cell r="CH862">
            <v>573.6</v>
          </cell>
          <cell r="CL862">
            <v>0</v>
          </cell>
          <cell r="CQ862">
            <v>522.23</v>
          </cell>
          <cell r="CU862">
            <v>0</v>
          </cell>
          <cell r="CY862">
            <v>5.2</v>
          </cell>
          <cell r="CZ862">
            <v>507.2</v>
          </cell>
          <cell r="DD862">
            <v>0</v>
          </cell>
          <cell r="DI862">
            <v>512.4</v>
          </cell>
          <cell r="DM862">
            <v>0</v>
          </cell>
          <cell r="DR862">
            <v>322</v>
          </cell>
          <cell r="DV862">
            <v>0</v>
          </cell>
          <cell r="EA862">
            <v>296.8</v>
          </cell>
          <cell r="EE862">
            <v>0</v>
          </cell>
          <cell r="EJ862">
            <v>239.6</v>
          </cell>
          <cell r="EN862">
            <v>0</v>
          </cell>
          <cell r="EO862">
            <v>389.22500000000002</v>
          </cell>
          <cell r="ES862">
            <v>211.2</v>
          </cell>
        </row>
        <row r="863">
          <cell r="A863">
            <v>215</v>
          </cell>
          <cell r="B863" t="str">
            <v>FG</v>
          </cell>
          <cell r="C863" t="str">
            <v>FM</v>
          </cell>
          <cell r="D863" t="str">
            <v>AMWAY</v>
          </cell>
          <cell r="I863">
            <v>27.8</v>
          </cell>
          <cell r="M863">
            <v>99.2</v>
          </cell>
          <cell r="N863">
            <v>40.200000000000003</v>
          </cell>
          <cell r="R863">
            <v>0</v>
          </cell>
          <cell r="V863">
            <v>120</v>
          </cell>
          <cell r="W863">
            <v>40.200000000000003</v>
          </cell>
          <cell r="AA863">
            <v>0</v>
          </cell>
          <cell r="AF863">
            <v>115</v>
          </cell>
          <cell r="AJ863">
            <v>0</v>
          </cell>
          <cell r="AO863">
            <v>92.6</v>
          </cell>
          <cell r="AS863">
            <v>0</v>
          </cell>
          <cell r="AX863">
            <v>47</v>
          </cell>
          <cell r="BB863">
            <v>57</v>
          </cell>
          <cell r="BG863">
            <v>14.2</v>
          </cell>
          <cell r="BK863">
            <v>7.6000000000000085</v>
          </cell>
          <cell r="BO863">
            <v>32.4</v>
          </cell>
          <cell r="BP863">
            <v>52.4</v>
          </cell>
          <cell r="BT863">
            <v>0</v>
          </cell>
          <cell r="BY863">
            <v>75</v>
          </cell>
          <cell r="CC863">
            <v>0</v>
          </cell>
          <cell r="CH863">
            <v>26.2</v>
          </cell>
          <cell r="CL863">
            <v>0.4</v>
          </cell>
          <cell r="CP863">
            <v>71.599999999999994</v>
          </cell>
          <cell r="CQ863">
            <v>41.4</v>
          </cell>
          <cell r="CU863">
            <v>0.4</v>
          </cell>
          <cell r="CY863">
            <v>15.2</v>
          </cell>
          <cell r="CZ863">
            <v>113</v>
          </cell>
          <cell r="DD863">
            <v>0.4</v>
          </cell>
          <cell r="DI863">
            <v>128.19999999999999</v>
          </cell>
          <cell r="DM863">
            <v>0</v>
          </cell>
          <cell r="DR863">
            <v>113.8</v>
          </cell>
          <cell r="DV863">
            <v>0</v>
          </cell>
          <cell r="EA863">
            <v>80.599999999999994</v>
          </cell>
          <cell r="EE863">
            <v>4.2</v>
          </cell>
          <cell r="EI863">
            <v>80.8</v>
          </cell>
          <cell r="EJ863">
            <v>80.599999999999994</v>
          </cell>
          <cell r="EN863">
            <v>0</v>
          </cell>
          <cell r="ES863">
            <v>132.19999999999999</v>
          </cell>
        </row>
        <row r="864">
          <cell r="A864">
            <v>216</v>
          </cell>
          <cell r="B864" t="str">
            <v>FG</v>
          </cell>
          <cell r="C864" t="str">
            <v>FM</v>
          </cell>
          <cell r="D864" t="str">
            <v>FA SAUDI</v>
          </cell>
          <cell r="I864">
            <v>16</v>
          </cell>
          <cell r="J864">
            <v>29.2</v>
          </cell>
          <cell r="R864">
            <v>16</v>
          </cell>
          <cell r="S864">
            <v>29.2</v>
          </cell>
          <cell r="AA864">
            <v>16</v>
          </cell>
          <cell r="AB864">
            <v>29.2</v>
          </cell>
          <cell r="AJ864">
            <v>16</v>
          </cell>
          <cell r="AK864">
            <v>29.2</v>
          </cell>
          <cell r="AS864">
            <v>16</v>
          </cell>
          <cell r="AT864">
            <v>29.2</v>
          </cell>
          <cell r="BB864">
            <v>16</v>
          </cell>
          <cell r="BC864">
            <v>29.2</v>
          </cell>
          <cell r="BK864">
            <v>16</v>
          </cell>
          <cell r="BL864">
            <v>29.2</v>
          </cell>
          <cell r="BT864">
            <v>16</v>
          </cell>
          <cell r="BU864">
            <v>29.2</v>
          </cell>
          <cell r="CC864">
            <v>16</v>
          </cell>
          <cell r="CD864">
            <v>29.2</v>
          </cell>
          <cell r="CL864">
            <v>16</v>
          </cell>
          <cell r="CM864">
            <v>29.2</v>
          </cell>
          <cell r="CU864">
            <v>16</v>
          </cell>
          <cell r="CV864">
            <v>29.2</v>
          </cell>
          <cell r="DD864">
            <v>16</v>
          </cell>
          <cell r="DM864">
            <v>16</v>
          </cell>
          <cell r="DN864">
            <v>29.2</v>
          </cell>
          <cell r="DV864">
            <v>16</v>
          </cell>
          <cell r="DW864">
            <v>29.2</v>
          </cell>
          <cell r="EE864">
            <v>16</v>
          </cell>
          <cell r="EF864">
            <v>29.2</v>
          </cell>
          <cell r="EN864">
            <v>210</v>
          </cell>
          <cell r="EO864">
            <v>29.2</v>
          </cell>
        </row>
        <row r="865">
          <cell r="A865">
            <v>217</v>
          </cell>
          <cell r="B865" t="str">
            <v>FG</v>
          </cell>
          <cell r="C865" t="str">
            <v>FM</v>
          </cell>
          <cell r="D865" t="str">
            <v>LE CHAT</v>
          </cell>
          <cell r="I865">
            <v>5</v>
          </cell>
          <cell r="R865">
            <v>5</v>
          </cell>
          <cell r="AA865">
            <v>5</v>
          </cell>
          <cell r="AJ865">
            <v>5</v>
          </cell>
          <cell r="AS865">
            <v>5</v>
          </cell>
          <cell r="BB865">
            <v>5</v>
          </cell>
          <cell r="BK865">
            <v>15</v>
          </cell>
          <cell r="BT865">
            <v>8</v>
          </cell>
          <cell r="CC865">
            <v>8</v>
          </cell>
          <cell r="CL865">
            <v>8</v>
          </cell>
          <cell r="CU865">
            <v>8</v>
          </cell>
          <cell r="DD865">
            <v>8</v>
          </cell>
          <cell r="DM865">
            <v>8</v>
          </cell>
          <cell r="DV865">
            <v>103</v>
          </cell>
          <cell r="EE865">
            <v>23</v>
          </cell>
          <cell r="EN865">
            <v>23</v>
          </cell>
        </row>
        <row r="866">
          <cell r="A866">
            <v>218</v>
          </cell>
          <cell r="B866" t="str">
            <v>FG</v>
          </cell>
          <cell r="C866" t="str">
            <v>FM</v>
          </cell>
          <cell r="D866" t="str">
            <v>SDM NOODLES</v>
          </cell>
          <cell r="I866">
            <v>10</v>
          </cell>
          <cell r="R866">
            <v>0</v>
          </cell>
          <cell r="AA866">
            <v>0</v>
          </cell>
          <cell r="AJ866">
            <v>0</v>
          </cell>
          <cell r="AS866">
            <v>0</v>
          </cell>
          <cell r="BB866">
            <v>0</v>
          </cell>
          <cell r="BK866">
            <v>26</v>
          </cell>
          <cell r="BT866">
            <v>26</v>
          </cell>
          <cell r="CC866">
            <v>26</v>
          </cell>
          <cell r="CL866">
            <v>26</v>
          </cell>
          <cell r="CU866">
            <v>26</v>
          </cell>
          <cell r="DD866">
            <v>26</v>
          </cell>
          <cell r="DM866">
            <v>26</v>
          </cell>
          <cell r="DV866">
            <v>26</v>
          </cell>
          <cell r="EE866">
            <v>26</v>
          </cell>
          <cell r="EN866">
            <v>26</v>
          </cell>
        </row>
        <row r="867">
          <cell r="A867">
            <v>219</v>
          </cell>
          <cell r="B867" t="str">
            <v>FG</v>
          </cell>
          <cell r="C867" t="str">
            <v>FM</v>
          </cell>
          <cell r="D867" t="str">
            <v>ITC</v>
          </cell>
          <cell r="I867">
            <v>5.6</v>
          </cell>
          <cell r="J867">
            <v>128.05000000000001</v>
          </cell>
          <cell r="R867">
            <v>5.6</v>
          </cell>
          <cell r="S867">
            <v>100.45</v>
          </cell>
          <cell r="AA867">
            <v>5.6</v>
          </cell>
          <cell r="AB867">
            <v>100.45</v>
          </cell>
          <cell r="AJ867">
            <v>5.6</v>
          </cell>
          <cell r="AK867">
            <v>151.25</v>
          </cell>
          <cell r="AS867">
            <v>0</v>
          </cell>
          <cell r="AT867">
            <v>134.05000000000001</v>
          </cell>
          <cell r="BB867">
            <v>0</v>
          </cell>
          <cell r="BC867">
            <v>169.25</v>
          </cell>
          <cell r="BK867">
            <v>0</v>
          </cell>
          <cell r="BL867">
            <v>82.05</v>
          </cell>
          <cell r="BT867">
            <v>78</v>
          </cell>
          <cell r="BU867">
            <v>214.4</v>
          </cell>
          <cell r="CC867">
            <v>0</v>
          </cell>
          <cell r="CD867">
            <v>391.6</v>
          </cell>
          <cell r="CL867">
            <v>0</v>
          </cell>
          <cell r="CM867">
            <v>340</v>
          </cell>
          <cell r="CU867">
            <v>0</v>
          </cell>
          <cell r="CV867">
            <v>296.8</v>
          </cell>
          <cell r="DD867">
            <v>0</v>
          </cell>
          <cell r="DM867">
            <v>0</v>
          </cell>
          <cell r="DN867">
            <v>388.6</v>
          </cell>
          <cell r="DV867">
            <v>0</v>
          </cell>
          <cell r="DW867">
            <v>370.2</v>
          </cell>
          <cell r="EE867">
            <v>0</v>
          </cell>
          <cell r="EF867">
            <v>284.89999999999998</v>
          </cell>
          <cell r="EN867">
            <v>0</v>
          </cell>
          <cell r="EO867">
            <v>169.3</v>
          </cell>
        </row>
        <row r="868">
          <cell r="A868">
            <v>220</v>
          </cell>
          <cell r="B868" t="str">
            <v>FG</v>
          </cell>
          <cell r="C868" t="str">
            <v>FM</v>
          </cell>
          <cell r="D868" t="str">
            <v>GENERAL NOODLES</v>
          </cell>
          <cell r="I868">
            <v>37.799999999999997</v>
          </cell>
          <cell r="R868">
            <v>45.8</v>
          </cell>
          <cell r="AA868">
            <v>28.8</v>
          </cell>
          <cell r="AJ868">
            <v>28.8</v>
          </cell>
          <cell r="AS868">
            <v>32.200000000000003</v>
          </cell>
          <cell r="BB868">
            <v>32.200000000000003</v>
          </cell>
          <cell r="BK868">
            <v>32.200000000000003</v>
          </cell>
          <cell r="BT868">
            <v>52</v>
          </cell>
          <cell r="CC868">
            <v>50</v>
          </cell>
          <cell r="CL868">
            <v>23.2</v>
          </cell>
          <cell r="CU868">
            <v>23.2</v>
          </cell>
          <cell r="DD868">
            <v>23.2</v>
          </cell>
          <cell r="DM868">
            <v>24.6</v>
          </cell>
          <cell r="DV868">
            <v>4.8</v>
          </cell>
          <cell r="EE868">
            <v>4.8</v>
          </cell>
          <cell r="EN868">
            <v>4.8</v>
          </cell>
        </row>
        <row r="869">
          <cell r="A869">
            <v>221</v>
          </cell>
          <cell r="B869" t="str">
            <v>FG</v>
          </cell>
          <cell r="C869" t="str">
            <v>FM</v>
          </cell>
          <cell r="D869" t="str">
            <v>NEAT SCRAP SOAP</v>
          </cell>
          <cell r="R869">
            <v>3</v>
          </cell>
          <cell r="AJ869">
            <v>16</v>
          </cell>
          <cell r="AS869">
            <v>16.5</v>
          </cell>
          <cell r="BB869">
            <v>17</v>
          </cell>
          <cell r="BK869">
            <v>18</v>
          </cell>
          <cell r="BT869">
            <v>20</v>
          </cell>
          <cell r="CC869">
            <v>24</v>
          </cell>
          <cell r="CL869">
            <v>30</v>
          </cell>
          <cell r="CU869">
            <v>30</v>
          </cell>
          <cell r="DD869">
            <v>30</v>
          </cell>
          <cell r="DM869">
            <v>32</v>
          </cell>
          <cell r="DV869">
            <v>32</v>
          </cell>
          <cell r="EE869">
            <v>33</v>
          </cell>
          <cell r="EN869">
            <v>33</v>
          </cell>
        </row>
        <row r="870">
          <cell r="A870">
            <v>222</v>
          </cell>
          <cell r="B870" t="str">
            <v>FG</v>
          </cell>
          <cell r="C870" t="str">
            <v>FM</v>
          </cell>
          <cell r="D870" t="str">
            <v>DAVID OPEC</v>
          </cell>
          <cell r="J870">
            <v>0.8</v>
          </cell>
          <cell r="S870">
            <v>0.8</v>
          </cell>
          <cell r="AB870">
            <v>0.8</v>
          </cell>
          <cell r="AK870">
            <v>0.8</v>
          </cell>
          <cell r="AT870">
            <v>0.8</v>
          </cell>
          <cell r="BC870">
            <v>0.8</v>
          </cell>
          <cell r="BL870">
            <v>0.8</v>
          </cell>
          <cell r="BU870">
            <v>0.8</v>
          </cell>
          <cell r="CD870">
            <v>0.8</v>
          </cell>
          <cell r="CM870">
            <v>0.8</v>
          </cell>
          <cell r="CV870">
            <v>0.8</v>
          </cell>
          <cell r="DN870">
            <v>0.8</v>
          </cell>
          <cell r="DW870">
            <v>0.8</v>
          </cell>
          <cell r="EF870">
            <v>0.8</v>
          </cell>
          <cell r="EO870">
            <v>0.8</v>
          </cell>
        </row>
        <row r="871">
          <cell r="A871">
            <v>223</v>
          </cell>
          <cell r="B871" t="str">
            <v>FG</v>
          </cell>
          <cell r="C871" t="str">
            <v>FM</v>
          </cell>
          <cell r="D871" t="str">
            <v>DABUR VATICA</v>
          </cell>
          <cell r="J871">
            <v>1.756</v>
          </cell>
          <cell r="S871">
            <v>1.756</v>
          </cell>
          <cell r="AB871">
            <v>1.756</v>
          </cell>
          <cell r="AK871">
            <v>1.756</v>
          </cell>
          <cell r="AT871">
            <v>1.756</v>
          </cell>
          <cell r="BC871">
            <v>1.756</v>
          </cell>
          <cell r="BL871">
            <v>1.756</v>
          </cell>
          <cell r="BU871">
            <v>1.756</v>
          </cell>
          <cell r="CD871">
            <v>1.756</v>
          </cell>
          <cell r="CM871">
            <v>1.756</v>
          </cell>
          <cell r="CV871">
            <v>1.756</v>
          </cell>
          <cell r="DN871">
            <v>1.756</v>
          </cell>
          <cell r="DW871">
            <v>1.756</v>
          </cell>
          <cell r="EF871">
            <v>1.756</v>
          </cell>
          <cell r="EO871">
            <v>1.756</v>
          </cell>
        </row>
        <row r="872">
          <cell r="A872">
            <v>224</v>
          </cell>
          <cell r="B872" t="str">
            <v>FG</v>
          </cell>
          <cell r="C872" t="str">
            <v>FM</v>
          </cell>
          <cell r="D872" t="str">
            <v>MARGO</v>
          </cell>
          <cell r="J872">
            <v>3.4009999999999998</v>
          </cell>
          <cell r="S872">
            <v>3.4009999999999998</v>
          </cell>
          <cell r="AB872">
            <v>3.4009999999999998</v>
          </cell>
          <cell r="AK872">
            <v>3.4009999999999998</v>
          </cell>
          <cell r="AT872">
            <v>3.4009999999999998</v>
          </cell>
          <cell r="BC872">
            <v>3.4009999999999998</v>
          </cell>
          <cell r="BL872">
            <v>3.4009999999999998</v>
          </cell>
          <cell r="BU872">
            <v>3.4009999999999998</v>
          </cell>
          <cell r="CD872">
            <v>3.4009999999999998</v>
          </cell>
          <cell r="CM872">
            <v>113.401</v>
          </cell>
          <cell r="CV872">
            <v>150.80099999999999</v>
          </cell>
          <cell r="DN872">
            <v>150.80099999999999</v>
          </cell>
          <cell r="DW872">
            <v>150.80100000000002</v>
          </cell>
          <cell r="EF872">
            <v>150.80100000000002</v>
          </cell>
          <cell r="EO872">
            <v>198.80099999999999</v>
          </cell>
        </row>
        <row r="873">
          <cell r="A873">
            <v>225</v>
          </cell>
          <cell r="B873" t="str">
            <v>FG</v>
          </cell>
          <cell r="C873" t="str">
            <v>FM</v>
          </cell>
          <cell r="D873" t="str">
            <v>OIL BASED NOODLES</v>
          </cell>
        </row>
        <row r="874">
          <cell r="A874">
            <v>226</v>
          </cell>
          <cell r="B874" t="str">
            <v>FG</v>
          </cell>
          <cell r="C874" t="str">
            <v>SM</v>
          </cell>
          <cell r="D874" t="str">
            <v>TRANSLUCENT</v>
          </cell>
          <cell r="J874">
            <v>140.06</v>
          </cell>
          <cell r="M874">
            <v>47.813000000000002</v>
          </cell>
          <cell r="N874">
            <v>224.73</v>
          </cell>
          <cell r="S874">
            <v>140.06</v>
          </cell>
          <cell r="V874">
            <v>15.938000000000002</v>
          </cell>
          <cell r="W874">
            <v>227</v>
          </cell>
          <cell r="AB874">
            <v>55.872999999999998</v>
          </cell>
          <cell r="AE874">
            <v>64.5</v>
          </cell>
          <cell r="AF874">
            <v>152.66999999999999</v>
          </cell>
          <cell r="AK874">
            <v>182.96100000000001</v>
          </cell>
          <cell r="AN874">
            <v>32.174999999999997</v>
          </cell>
          <cell r="AO874">
            <v>155.66</v>
          </cell>
          <cell r="AT874">
            <v>310.31099999999998</v>
          </cell>
          <cell r="AW874">
            <v>113.625</v>
          </cell>
          <cell r="AX874">
            <v>188.37</v>
          </cell>
          <cell r="BC874">
            <v>166.286</v>
          </cell>
          <cell r="BF874">
            <v>80.775000000000006</v>
          </cell>
          <cell r="BG874">
            <v>300.23</v>
          </cell>
          <cell r="BL874">
            <v>117.886</v>
          </cell>
          <cell r="BO874">
            <v>64.575000000000003</v>
          </cell>
          <cell r="BP874">
            <v>222.29</v>
          </cell>
          <cell r="BU874">
            <v>299.93599999999998</v>
          </cell>
          <cell r="BY874">
            <v>198.7</v>
          </cell>
          <cell r="CD874">
            <v>203.37299999999999</v>
          </cell>
          <cell r="CG874">
            <v>48.187999999999988</v>
          </cell>
          <cell r="CH874">
            <v>263.68</v>
          </cell>
          <cell r="CM874">
            <v>183.12299999999999</v>
          </cell>
          <cell r="CP874">
            <v>6.3</v>
          </cell>
          <cell r="CQ874">
            <v>258.98</v>
          </cell>
          <cell r="CV874">
            <v>183.12299999999999</v>
          </cell>
          <cell r="CY874">
            <v>6.3</v>
          </cell>
          <cell r="CZ874">
            <v>228.98</v>
          </cell>
          <cell r="DH874">
            <v>16.2</v>
          </cell>
          <cell r="DI874">
            <v>191.37</v>
          </cell>
          <cell r="DN874">
            <v>156.773</v>
          </cell>
          <cell r="DR874">
            <v>138.82</v>
          </cell>
          <cell r="DW874">
            <v>50.573</v>
          </cell>
          <cell r="DZ874">
            <v>162</v>
          </cell>
          <cell r="EA874">
            <v>169.6</v>
          </cell>
          <cell r="EF874">
            <v>35.423000000000002</v>
          </cell>
          <cell r="EI874">
            <v>13.8</v>
          </cell>
          <cell r="EJ874">
            <v>265.10000000000002</v>
          </cell>
          <cell r="EO874">
            <v>33.173000000000002</v>
          </cell>
          <cell r="ES874">
            <v>221.6</v>
          </cell>
        </row>
        <row r="875">
          <cell r="A875">
            <v>227</v>
          </cell>
          <cell r="B875" t="str">
            <v>FG</v>
          </cell>
          <cell r="C875" t="str">
            <v>SM</v>
          </cell>
          <cell r="D875" t="str">
            <v>TETMOSOL</v>
          </cell>
        </row>
        <row r="876">
          <cell r="A876">
            <v>228</v>
          </cell>
          <cell r="B876" t="str">
            <v>FG</v>
          </cell>
          <cell r="C876" t="str">
            <v>FM</v>
          </cell>
          <cell r="D876" t="str">
            <v xml:space="preserve">J &amp; J </v>
          </cell>
          <cell r="J876">
            <v>0.8</v>
          </cell>
          <cell r="S876">
            <v>0.8</v>
          </cell>
          <cell r="AB876">
            <v>0.8</v>
          </cell>
          <cell r="AK876">
            <v>0.8</v>
          </cell>
          <cell r="AT876">
            <v>0.8</v>
          </cell>
          <cell r="BC876">
            <v>0.8</v>
          </cell>
          <cell r="BL876">
            <v>0.8</v>
          </cell>
          <cell r="BU876">
            <v>0.8</v>
          </cell>
          <cell r="CD876">
            <v>0.8</v>
          </cell>
          <cell r="CM876">
            <v>0.8</v>
          </cell>
          <cell r="CV876">
            <v>0.8</v>
          </cell>
          <cell r="DN876">
            <v>0.8</v>
          </cell>
          <cell r="DW876">
            <v>0.8</v>
          </cell>
          <cell r="EF876">
            <v>0.8</v>
          </cell>
          <cell r="EO876">
            <v>0.8</v>
          </cell>
        </row>
        <row r="877">
          <cell r="A877">
            <v>229</v>
          </cell>
          <cell r="B877" t="str">
            <v>FG</v>
          </cell>
          <cell r="C877" t="str">
            <v>FM</v>
          </cell>
          <cell r="D877" t="str">
            <v>JBS 80:20</v>
          </cell>
          <cell r="EF877">
            <v>380</v>
          </cell>
        </row>
        <row r="878">
          <cell r="A878">
            <v>230</v>
          </cell>
          <cell r="B878" t="str">
            <v>FG</v>
          </cell>
          <cell r="C878" t="str">
            <v>FM</v>
          </cell>
          <cell r="D878" t="str">
            <v>IMPORTED NOODLES</v>
          </cell>
          <cell r="N878">
            <v>80</v>
          </cell>
          <cell r="W878">
            <v>80</v>
          </cell>
          <cell r="AF878">
            <v>80</v>
          </cell>
          <cell r="AO878">
            <v>80</v>
          </cell>
          <cell r="AW878">
            <v>800</v>
          </cell>
          <cell r="AX878">
            <v>80</v>
          </cell>
          <cell r="BF878">
            <v>300</v>
          </cell>
          <cell r="BG878">
            <v>80</v>
          </cell>
          <cell r="BO878">
            <v>800</v>
          </cell>
          <cell r="BP878">
            <v>52</v>
          </cell>
          <cell r="BX878">
            <v>800</v>
          </cell>
          <cell r="BY878">
            <v>52</v>
          </cell>
          <cell r="CG878">
            <v>800</v>
          </cell>
          <cell r="CH878">
            <v>52</v>
          </cell>
          <cell r="CP878">
            <v>500</v>
          </cell>
          <cell r="CQ878">
            <v>52</v>
          </cell>
          <cell r="CY878">
            <v>500</v>
          </cell>
          <cell r="CZ878">
            <v>52</v>
          </cell>
          <cell r="DH878">
            <v>500</v>
          </cell>
          <cell r="DI878">
            <v>52</v>
          </cell>
          <cell r="DN878">
            <v>120.52500000000001</v>
          </cell>
          <cell r="DR878">
            <v>52</v>
          </cell>
          <cell r="DW878">
            <v>254.125</v>
          </cell>
          <cell r="EA878">
            <v>52</v>
          </cell>
          <cell r="EJ878">
            <v>52</v>
          </cell>
          <cell r="EO878">
            <v>332.8</v>
          </cell>
          <cell r="ES878">
            <v>52</v>
          </cell>
        </row>
        <row r="879">
          <cell r="A879">
            <v>231</v>
          </cell>
          <cell r="B879" t="str">
            <v>FG</v>
          </cell>
          <cell r="C879" t="str">
            <v>FM</v>
          </cell>
          <cell r="D879" t="str">
            <v>HAWAI SYNDAATE BASE REGULER</v>
          </cell>
        </row>
        <row r="880">
          <cell r="F880">
            <v>0</v>
          </cell>
          <cell r="G880">
            <v>0</v>
          </cell>
          <cell r="H880">
            <v>0</v>
          </cell>
          <cell r="I880">
            <v>679.3</v>
          </cell>
          <cell r="J880">
            <v>785.29299999999989</v>
          </cell>
          <cell r="K880">
            <v>0</v>
          </cell>
          <cell r="L880">
            <v>0</v>
          </cell>
          <cell r="M880">
            <v>650.31299999999999</v>
          </cell>
          <cell r="N880">
            <v>1229.6300000000001</v>
          </cell>
          <cell r="O880">
            <v>0</v>
          </cell>
          <cell r="P880">
            <v>0</v>
          </cell>
          <cell r="Q880">
            <v>0</v>
          </cell>
          <cell r="R880">
            <v>509.50000000000006</v>
          </cell>
          <cell r="S880">
            <v>725.29299999999989</v>
          </cell>
          <cell r="T880">
            <v>0</v>
          </cell>
          <cell r="U880">
            <v>0</v>
          </cell>
          <cell r="V880">
            <v>891.73799999999994</v>
          </cell>
          <cell r="W880">
            <v>1120.5</v>
          </cell>
          <cell r="X880">
            <v>0</v>
          </cell>
          <cell r="Y880">
            <v>0</v>
          </cell>
          <cell r="Z880">
            <v>0</v>
          </cell>
          <cell r="AA880">
            <v>440.1</v>
          </cell>
          <cell r="AB880">
            <v>701.70600000000002</v>
          </cell>
          <cell r="AC880">
            <v>0</v>
          </cell>
          <cell r="AD880">
            <v>0</v>
          </cell>
          <cell r="AE880">
            <v>795.2</v>
          </cell>
          <cell r="AF880">
            <v>1337.4700000000003</v>
          </cell>
          <cell r="AG880">
            <v>0</v>
          </cell>
          <cell r="AH880">
            <v>0</v>
          </cell>
          <cell r="AI880">
            <v>0</v>
          </cell>
          <cell r="AJ880">
            <v>444.50000000000006</v>
          </cell>
          <cell r="AK880">
            <v>887.77399999999989</v>
          </cell>
          <cell r="AL880">
            <v>0</v>
          </cell>
          <cell r="AM880">
            <v>0</v>
          </cell>
          <cell r="AN880">
            <v>685.07500000000005</v>
          </cell>
          <cell r="AO880">
            <v>1348.88</v>
          </cell>
          <cell r="AP880">
            <v>0</v>
          </cell>
          <cell r="AQ880">
            <v>0</v>
          </cell>
          <cell r="AR880">
            <v>0</v>
          </cell>
          <cell r="AS880">
            <v>665.80000000000007</v>
          </cell>
          <cell r="AT880">
            <v>854.22399999999971</v>
          </cell>
          <cell r="AU880">
            <v>0</v>
          </cell>
          <cell r="AV880">
            <v>0</v>
          </cell>
          <cell r="AW880">
            <v>1208.7249999999999</v>
          </cell>
          <cell r="AX880">
            <v>1257.5500000000002</v>
          </cell>
          <cell r="AY880">
            <v>0</v>
          </cell>
          <cell r="AZ880">
            <v>0</v>
          </cell>
          <cell r="BA880">
            <v>0</v>
          </cell>
          <cell r="BB880">
            <v>528.29999999999995</v>
          </cell>
          <cell r="BC880">
            <v>764.4989999999998</v>
          </cell>
          <cell r="BD880">
            <v>0</v>
          </cell>
          <cell r="BE880">
            <v>0</v>
          </cell>
          <cell r="BF880">
            <v>966.47500000000002</v>
          </cell>
          <cell r="BG880">
            <v>1324.5600000000002</v>
          </cell>
          <cell r="BH880">
            <v>0</v>
          </cell>
          <cell r="BI880">
            <v>0</v>
          </cell>
          <cell r="BJ880">
            <v>0</v>
          </cell>
          <cell r="BK880">
            <v>473.70000000000005</v>
          </cell>
          <cell r="BL880">
            <v>827.67399999999975</v>
          </cell>
          <cell r="BM880">
            <v>0</v>
          </cell>
          <cell r="BN880">
            <v>0</v>
          </cell>
          <cell r="BO880">
            <v>1384.875</v>
          </cell>
          <cell r="BP880">
            <v>1499.3</v>
          </cell>
          <cell r="BQ880">
            <v>0</v>
          </cell>
          <cell r="BR880">
            <v>0</v>
          </cell>
          <cell r="BS880">
            <v>0</v>
          </cell>
          <cell r="BT880">
            <v>726.5</v>
          </cell>
          <cell r="BU880">
            <v>938.52399999999966</v>
          </cell>
          <cell r="BV880">
            <v>0</v>
          </cell>
          <cell r="BW880">
            <v>0</v>
          </cell>
          <cell r="BX880">
            <v>1241.5999999999999</v>
          </cell>
          <cell r="BY880">
            <v>1778.6100000000001</v>
          </cell>
          <cell r="BZ880">
            <v>0</v>
          </cell>
          <cell r="CA880">
            <v>0</v>
          </cell>
          <cell r="CB880">
            <v>0</v>
          </cell>
          <cell r="CC880">
            <v>630.29999999999995</v>
          </cell>
          <cell r="CD880">
            <v>1005.1609999999998</v>
          </cell>
          <cell r="CE880">
            <v>0</v>
          </cell>
          <cell r="CF880">
            <v>0</v>
          </cell>
          <cell r="CG880">
            <v>1186.1880000000001</v>
          </cell>
          <cell r="CH880">
            <v>1802.79</v>
          </cell>
          <cell r="CI880">
            <v>0</v>
          </cell>
          <cell r="CJ880">
            <v>0</v>
          </cell>
          <cell r="CK880">
            <v>0</v>
          </cell>
          <cell r="CL880">
            <v>375.79999999999995</v>
          </cell>
          <cell r="CM880">
            <v>975.26099999999974</v>
          </cell>
          <cell r="CN880">
            <v>0</v>
          </cell>
          <cell r="CO880">
            <v>0</v>
          </cell>
          <cell r="CP880">
            <v>756.3</v>
          </cell>
          <cell r="CQ880">
            <v>1844.89</v>
          </cell>
          <cell r="CR880">
            <v>0</v>
          </cell>
          <cell r="CS880">
            <v>0</v>
          </cell>
          <cell r="CT880">
            <v>0</v>
          </cell>
          <cell r="CU880">
            <v>542.6</v>
          </cell>
          <cell r="CV880">
            <v>834.66099999999983</v>
          </cell>
          <cell r="CW880">
            <v>0</v>
          </cell>
          <cell r="CX880">
            <v>0</v>
          </cell>
          <cell r="CY880">
            <v>873.90000000000009</v>
          </cell>
          <cell r="CZ880">
            <v>1764.66</v>
          </cell>
          <cell r="DA880">
            <v>0</v>
          </cell>
          <cell r="DB880">
            <v>0</v>
          </cell>
          <cell r="DC880">
            <v>0</v>
          </cell>
          <cell r="DD880">
            <v>604.40000000000009</v>
          </cell>
          <cell r="DE880">
            <v>0</v>
          </cell>
          <cell r="DF880">
            <v>0</v>
          </cell>
          <cell r="DG880">
            <v>0</v>
          </cell>
          <cell r="DH880">
            <v>872.59999999999991</v>
          </cell>
          <cell r="DI880">
            <v>1654.9</v>
          </cell>
          <cell r="DJ880">
            <v>0</v>
          </cell>
          <cell r="DK880">
            <v>0</v>
          </cell>
          <cell r="DL880">
            <v>0</v>
          </cell>
          <cell r="DM880">
            <v>504.2</v>
          </cell>
          <cell r="DN880">
            <v>1107.3809999999999</v>
          </cell>
          <cell r="DO880">
            <v>0</v>
          </cell>
          <cell r="DP880">
            <v>0</v>
          </cell>
          <cell r="DQ880">
            <v>423.6</v>
          </cell>
          <cell r="DR880">
            <v>1479.9499999999998</v>
          </cell>
          <cell r="DS880">
            <v>0</v>
          </cell>
          <cell r="DT880">
            <v>0</v>
          </cell>
          <cell r="DU880">
            <v>0</v>
          </cell>
          <cell r="DV880">
            <v>497.55</v>
          </cell>
          <cell r="DW880">
            <v>1259.9059999999999</v>
          </cell>
          <cell r="DX880">
            <v>0</v>
          </cell>
          <cell r="DY880">
            <v>0</v>
          </cell>
          <cell r="DZ880">
            <v>438.4</v>
          </cell>
          <cell r="EA880">
            <v>1473.9299999999998</v>
          </cell>
          <cell r="EB880">
            <v>0</v>
          </cell>
          <cell r="EC880">
            <v>0</v>
          </cell>
          <cell r="ED880">
            <v>0</v>
          </cell>
          <cell r="EE880">
            <v>688.55</v>
          </cell>
          <cell r="EF880">
            <v>1340.0809999999999</v>
          </cell>
          <cell r="EG880">
            <v>0</v>
          </cell>
          <cell r="EH880">
            <v>0</v>
          </cell>
          <cell r="EI880">
            <v>708.59999999999991</v>
          </cell>
          <cell r="EJ880">
            <v>1398.19</v>
          </cell>
          <cell r="EK880">
            <v>0</v>
          </cell>
          <cell r="EL880">
            <v>0</v>
          </cell>
          <cell r="EM880">
            <v>0</v>
          </cell>
          <cell r="EN880">
            <v>491.85</v>
          </cell>
          <cell r="EO880">
            <v>1214.9559999999999</v>
          </cell>
          <cell r="EP880">
            <v>0</v>
          </cell>
          <cell r="EQ880">
            <v>0</v>
          </cell>
          <cell r="ER880">
            <v>741.40000000000009</v>
          </cell>
          <cell r="ES880">
            <v>1800.08</v>
          </cell>
        </row>
        <row r="881">
          <cell r="F881">
            <v>2865.1527799999999</v>
          </cell>
          <cell r="G881">
            <v>8413.9691623999988</v>
          </cell>
          <cell r="H881">
            <v>16965.286</v>
          </cell>
          <cell r="I881">
            <v>15510.192000000001</v>
          </cell>
          <cell r="J881">
            <v>1153.002</v>
          </cell>
          <cell r="K881">
            <v>6528.7969999999996</v>
          </cell>
          <cell r="L881">
            <v>3838.7529999999997</v>
          </cell>
          <cell r="M881">
            <v>1526.0830000000001</v>
          </cell>
          <cell r="N881">
            <v>1229.6300000000001</v>
          </cell>
          <cell r="O881">
            <v>2944.284498</v>
          </cell>
          <cell r="P881">
            <v>8012.9816624000014</v>
          </cell>
          <cell r="Q881">
            <v>16482.114000000001</v>
          </cell>
          <cell r="R881">
            <v>15526.682000000001</v>
          </cell>
          <cell r="S881">
            <v>1169.4589999999998</v>
          </cell>
          <cell r="T881">
            <v>6651.1309999999994</v>
          </cell>
          <cell r="U881">
            <v>2736.35</v>
          </cell>
          <cell r="V881">
            <v>2631.9180000000001</v>
          </cell>
          <cell r="W881">
            <v>1120.5</v>
          </cell>
          <cell r="X881">
            <v>2962.9412300000004</v>
          </cell>
          <cell r="Y881">
            <v>8782.2211224000002</v>
          </cell>
          <cell r="Z881">
            <v>14196.563999999998</v>
          </cell>
          <cell r="AA881">
            <v>16284.174999999999</v>
          </cell>
          <cell r="AB881">
            <v>1376.327</v>
          </cell>
          <cell r="AC881">
            <v>5341.9459999999999</v>
          </cell>
          <cell r="AD881">
            <v>1449.3109999999999</v>
          </cell>
          <cell r="AE881">
            <v>8728.65</v>
          </cell>
          <cell r="AF881">
            <v>1337.4700000000003</v>
          </cell>
          <cell r="AG881">
            <v>3414.3259800000001</v>
          </cell>
          <cell r="AH881">
            <v>9139.2640623999996</v>
          </cell>
          <cell r="AI881">
            <v>16835.898999999998</v>
          </cell>
          <cell r="AJ881">
            <v>16999.044867142857</v>
          </cell>
          <cell r="AK881">
            <v>887.77399999999989</v>
          </cell>
          <cell r="AL881">
            <v>2407.7460000000001</v>
          </cell>
          <cell r="AM881">
            <v>2253.451</v>
          </cell>
          <cell r="AN881">
            <v>1985.6950000000002</v>
          </cell>
          <cell r="AO881">
            <v>1348.88</v>
          </cell>
          <cell r="AP881">
            <v>3144.21288</v>
          </cell>
          <cell r="AQ881">
            <v>9591.7667623999987</v>
          </cell>
          <cell r="AR881">
            <v>15615.231</v>
          </cell>
          <cell r="AS881">
            <v>16422.327000000001</v>
          </cell>
          <cell r="AT881">
            <v>1707.9829999999995</v>
          </cell>
          <cell r="AU881">
            <v>1789.367</v>
          </cell>
          <cell r="AV881">
            <v>785.22900000000004</v>
          </cell>
          <cell r="AW881">
            <v>3422.5099999999998</v>
          </cell>
          <cell r="AX881">
            <v>1257.5500000000002</v>
          </cell>
          <cell r="AY881">
            <v>2990.2951800000001</v>
          </cell>
          <cell r="AZ881">
            <v>9432.4053624000007</v>
          </cell>
          <cell r="BA881">
            <v>13105.361000000001</v>
          </cell>
          <cell r="BB881">
            <v>16948.537</v>
          </cell>
          <cell r="BC881">
            <v>1754.1369999999997</v>
          </cell>
          <cell r="BD881">
            <v>1227.3969999999999</v>
          </cell>
          <cell r="BE881">
            <v>6.9610000000000003</v>
          </cell>
          <cell r="BF881">
            <v>4039.2200000000003</v>
          </cell>
          <cell r="BG881">
            <v>1324.5600000000002</v>
          </cell>
          <cell r="BH881">
            <v>2793.5568300000004</v>
          </cell>
          <cell r="BI881">
            <v>9700.7561623999991</v>
          </cell>
          <cell r="BJ881">
            <v>10883.724000000002</v>
          </cell>
          <cell r="BK881">
            <v>15784.582071999999</v>
          </cell>
          <cell r="BL881">
            <v>1692.7739999999999</v>
          </cell>
          <cell r="BM881">
            <v>852.57799999999997</v>
          </cell>
          <cell r="BN881">
            <v>986.03800000000001</v>
          </cell>
          <cell r="BO881">
            <v>7308.7999999999993</v>
          </cell>
          <cell r="BP881">
            <v>1499.3</v>
          </cell>
          <cell r="BQ881">
            <v>2813.7402299999994</v>
          </cell>
          <cell r="BR881">
            <v>9067.8593624000005</v>
          </cell>
          <cell r="BS881">
            <v>10118.798999999999</v>
          </cell>
          <cell r="BT881">
            <v>15142.361000000003</v>
          </cell>
          <cell r="BU881">
            <v>1928.1489999999999</v>
          </cell>
          <cell r="BV881">
            <v>407.12200000000007</v>
          </cell>
          <cell r="BW881">
            <v>4240.5039999999999</v>
          </cell>
          <cell r="BX881">
            <v>1771.1599999999999</v>
          </cell>
          <cell r="BY881">
            <v>1778.6100000000001</v>
          </cell>
          <cell r="BZ881">
            <v>2958.5105680000001</v>
          </cell>
          <cell r="CA881">
            <v>8596.3881624000005</v>
          </cell>
          <cell r="CB881">
            <v>8933.1190000000006</v>
          </cell>
          <cell r="CC881">
            <v>15907.971000000001</v>
          </cell>
          <cell r="CD881">
            <v>1932.6099999999997</v>
          </cell>
          <cell r="CE881">
            <v>1766.6290000000001</v>
          </cell>
          <cell r="CF881">
            <v>1790.4979999999998</v>
          </cell>
          <cell r="CG881">
            <v>5216.8180000000002</v>
          </cell>
          <cell r="CH881">
            <v>1802.79</v>
          </cell>
          <cell r="CI881">
            <v>2935.7179799999999</v>
          </cell>
          <cell r="CJ881">
            <v>9016.6190024000007</v>
          </cell>
          <cell r="CK881">
            <v>10945.084999999999</v>
          </cell>
          <cell r="CL881">
            <v>16742.349000000002</v>
          </cell>
          <cell r="CM881">
            <v>1932.1579999999994</v>
          </cell>
          <cell r="CN881">
            <v>3970.9960000000001</v>
          </cell>
          <cell r="CO881">
            <v>1237.95</v>
          </cell>
          <cell r="CP881">
            <v>7535.99</v>
          </cell>
          <cell r="CQ881">
            <v>1844.89</v>
          </cell>
          <cell r="CR881">
            <v>3089.7663499999999</v>
          </cell>
          <cell r="CS881">
            <v>9303.3034824000006</v>
          </cell>
          <cell r="CT881">
            <v>12895.425999999999</v>
          </cell>
          <cell r="CU881">
            <v>16790.739000000001</v>
          </cell>
          <cell r="CV881">
            <v>1713.5139999999997</v>
          </cell>
          <cell r="CW881">
            <v>3324.8580000000002</v>
          </cell>
          <cell r="CX881">
            <v>1435.6</v>
          </cell>
          <cell r="CY881">
            <v>7929.82</v>
          </cell>
          <cell r="CZ881">
            <v>1764.66</v>
          </cell>
          <cell r="DA881">
            <v>2939.5553500000005</v>
          </cell>
          <cell r="DB881">
            <v>9711.2424424000001</v>
          </cell>
          <cell r="DC881">
            <v>11779.782999999999</v>
          </cell>
          <cell r="DD881">
            <v>17445.57</v>
          </cell>
          <cell r="DE881">
            <v>1055.171</v>
          </cell>
          <cell r="DF881">
            <v>2868.9119999999998</v>
          </cell>
          <cell r="DG881">
            <v>5682.6809999999996</v>
          </cell>
          <cell r="DH881">
            <v>8219.94</v>
          </cell>
          <cell r="DI881">
            <v>1654.9</v>
          </cell>
          <cell r="DJ881">
            <v>2563.2531800000002</v>
          </cell>
          <cell r="DK881">
            <v>10663.4417424</v>
          </cell>
          <cell r="DL881">
            <v>11517.512999999999</v>
          </cell>
          <cell r="DM881">
            <v>15660.19</v>
          </cell>
          <cell r="DN881">
            <v>2063.3679999999999</v>
          </cell>
          <cell r="DO881">
            <v>2844.585</v>
          </cell>
          <cell r="DP881">
            <v>6091.049</v>
          </cell>
          <cell r="DQ881">
            <v>4808.6880000000001</v>
          </cell>
          <cell r="DR881">
            <v>1479.9499999999998</v>
          </cell>
          <cell r="DS881">
            <v>2776.92245</v>
          </cell>
          <cell r="DT881">
            <v>9847.4656424000004</v>
          </cell>
          <cell r="DU881">
            <v>12392.48</v>
          </cell>
          <cell r="DV881">
            <v>15720.852000000001</v>
          </cell>
          <cell r="DW881">
            <v>2290.1130000000003</v>
          </cell>
          <cell r="DX881">
            <v>5892.8159999999998</v>
          </cell>
          <cell r="DY881">
            <v>2035.7449999999999</v>
          </cell>
          <cell r="DZ881">
            <v>747.2</v>
          </cell>
          <cell r="EA881">
            <v>1473.9299999999998</v>
          </cell>
          <cell r="EB881">
            <v>2670.4754000000003</v>
          </cell>
          <cell r="EC881">
            <v>9840.325642400001</v>
          </cell>
          <cell r="ED881">
            <v>11735.330000000002</v>
          </cell>
          <cell r="EE881">
            <v>14752.831999999999</v>
          </cell>
          <cell r="EF881">
            <v>2402.6569999999997</v>
          </cell>
          <cell r="EG881">
            <v>7216.6120000000001</v>
          </cell>
          <cell r="EH881">
            <v>602.90200000000004</v>
          </cell>
          <cell r="EI881">
            <v>6255.0259999999998</v>
          </cell>
          <cell r="EJ881">
            <v>1398.19</v>
          </cell>
          <cell r="EK881">
            <v>2501.5605</v>
          </cell>
          <cell r="EL881">
            <v>9768.6310424000003</v>
          </cell>
          <cell r="EM881">
            <v>11089.055</v>
          </cell>
          <cell r="EN881">
            <v>14056.962000000003</v>
          </cell>
          <cell r="EO881">
            <v>2047.8239999999996</v>
          </cell>
          <cell r="EP881">
            <v>7565.1100000000006</v>
          </cell>
          <cell r="EQ881">
            <v>1994.7180000000001</v>
          </cell>
          <cell r="ER881">
            <v>6538.7459999999992</v>
          </cell>
          <cell r="ES881">
            <v>1800.08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 quarter"/>
      <sheetName val="2nd quarter"/>
      <sheetName val="3rd quarter"/>
      <sheetName val="4th quarter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02">
          <cell r="A902" t="str">
            <v>NO:</v>
          </cell>
          <cell r="D902" t="str">
            <v>MATERIAL</v>
          </cell>
          <cell r="F902">
            <v>109</v>
          </cell>
          <cell r="G902" t="str">
            <v>109 B</v>
          </cell>
          <cell r="H902" t="str">
            <v>SEWREE</v>
          </cell>
          <cell r="I902" t="str">
            <v>TALOJA</v>
          </cell>
          <cell r="J902" t="str">
            <v>KUTCH-1</v>
          </cell>
          <cell r="K902" t="str">
            <v>KUTCH-2</v>
          </cell>
          <cell r="L902" t="str">
            <v>KUTCH-O</v>
          </cell>
          <cell r="M902" t="str">
            <v>GIT</v>
          </cell>
          <cell r="N902" t="str">
            <v>BADDI</v>
          </cell>
          <cell r="O902">
            <v>109</v>
          </cell>
          <cell r="P902" t="str">
            <v>109 B</v>
          </cell>
          <cell r="Q902" t="str">
            <v>SEWREE</v>
          </cell>
          <cell r="R902" t="str">
            <v>TALOJA</v>
          </cell>
          <cell r="S902" t="str">
            <v>KUTCH-1</v>
          </cell>
          <cell r="T902" t="str">
            <v>KUTCH-2</v>
          </cell>
          <cell r="U902" t="str">
            <v>KUTCH-O</v>
          </cell>
          <cell r="V902" t="str">
            <v>GIT</v>
          </cell>
          <cell r="W902" t="str">
            <v>BADDI</v>
          </cell>
          <cell r="X902">
            <v>109</v>
          </cell>
          <cell r="Y902" t="str">
            <v>109 B</v>
          </cell>
          <cell r="Z902" t="str">
            <v>SEWREE</v>
          </cell>
          <cell r="AA902" t="str">
            <v>TALOJA</v>
          </cell>
          <cell r="AB902" t="str">
            <v>KUTCH-1</v>
          </cell>
          <cell r="AC902" t="str">
            <v>KUTCH-2</v>
          </cell>
          <cell r="AD902" t="str">
            <v>KUTCH-O</v>
          </cell>
          <cell r="AE902" t="str">
            <v>GIT</v>
          </cell>
          <cell r="AF902" t="str">
            <v>BADDI</v>
          </cell>
          <cell r="AG902">
            <v>109</v>
          </cell>
          <cell r="AH902" t="str">
            <v>109 B</v>
          </cell>
          <cell r="AI902" t="str">
            <v>SEWREE</v>
          </cell>
          <cell r="AJ902" t="str">
            <v>TALOJA</v>
          </cell>
          <cell r="AK902" t="str">
            <v>KUTCH-1</v>
          </cell>
          <cell r="AL902" t="str">
            <v>KUTCH-2</v>
          </cell>
          <cell r="AM902" t="str">
            <v>KUTCH-O</v>
          </cell>
          <cell r="AN902" t="str">
            <v>GIT</v>
          </cell>
          <cell r="AO902" t="str">
            <v>BADDI</v>
          </cell>
          <cell r="AP902">
            <v>109</v>
          </cell>
          <cell r="AQ902" t="str">
            <v>109 B</v>
          </cell>
          <cell r="AR902" t="str">
            <v>SEWREE</v>
          </cell>
          <cell r="AS902" t="str">
            <v>TALOJA</v>
          </cell>
          <cell r="AT902" t="str">
            <v>KUTCH-1</v>
          </cell>
          <cell r="AU902" t="str">
            <v>KUTCH-2</v>
          </cell>
          <cell r="AV902" t="str">
            <v>KUTCH-O</v>
          </cell>
          <cell r="AW902" t="str">
            <v>GIT</v>
          </cell>
          <cell r="AX902" t="str">
            <v>BADDI</v>
          </cell>
          <cell r="AY902">
            <v>109</v>
          </cell>
          <cell r="AZ902" t="str">
            <v>109 B</v>
          </cell>
          <cell r="BA902" t="str">
            <v>SEWREE</v>
          </cell>
          <cell r="BB902" t="str">
            <v>TALOJA</v>
          </cell>
          <cell r="BC902" t="str">
            <v>KUTCH-1</v>
          </cell>
          <cell r="BD902" t="str">
            <v>KUTCH-2</v>
          </cell>
          <cell r="BE902" t="str">
            <v>KUTCH-O</v>
          </cell>
          <cell r="BF902" t="str">
            <v>GIT</v>
          </cell>
          <cell r="BG902" t="str">
            <v>BADDI</v>
          </cell>
        </row>
        <row r="903">
          <cell r="A903" t="str">
            <v>RAW MATERIALS</v>
          </cell>
        </row>
        <row r="904">
          <cell r="A904">
            <v>1</v>
          </cell>
          <cell r="B904" t="str">
            <v>RM</v>
          </cell>
          <cell r="C904" t="str">
            <v>FM</v>
          </cell>
          <cell r="D904" t="str">
            <v>CPKO-5%</v>
          </cell>
          <cell r="E904" t="str">
            <v>CPKO-5%</v>
          </cell>
          <cell r="K904">
            <v>1805.3820000000001</v>
          </cell>
          <cell r="L904">
            <v>1564.769</v>
          </cell>
          <cell r="T904">
            <v>1097.1579999999999</v>
          </cell>
          <cell r="U904">
            <v>23.028999999999996</v>
          </cell>
          <cell r="V904">
            <v>69</v>
          </cell>
          <cell r="AC904">
            <v>435.06400000000002</v>
          </cell>
          <cell r="AD904">
            <v>2034.7439999999999</v>
          </cell>
          <cell r="AL904">
            <v>53.365000000000002</v>
          </cell>
          <cell r="AM904">
            <v>7665.7569999999996</v>
          </cell>
          <cell r="AU904">
            <v>2361.65</v>
          </cell>
          <cell r="AV904">
            <v>3836.8470000000002</v>
          </cell>
          <cell r="AW904">
            <v>31.81</v>
          </cell>
          <cell r="BD904">
            <v>2410.4899999999998</v>
          </cell>
          <cell r="BE904">
            <v>2768.5259999999998</v>
          </cell>
        </row>
        <row r="905">
          <cell r="A905">
            <v>2</v>
          </cell>
          <cell r="B905" t="str">
            <v>RM</v>
          </cell>
          <cell r="C905" t="str">
            <v>FM</v>
          </cell>
          <cell r="D905" t="str">
            <v>CPKO-23%</v>
          </cell>
          <cell r="E905" t="str">
            <v>CPKO-23%</v>
          </cell>
        </row>
        <row r="906">
          <cell r="A906">
            <v>3</v>
          </cell>
          <cell r="B906" t="str">
            <v>RM</v>
          </cell>
          <cell r="C906" t="str">
            <v>FM</v>
          </cell>
          <cell r="D906" t="str">
            <v>CNO-C</v>
          </cell>
          <cell r="E906" t="str">
            <v>CNO-C</v>
          </cell>
          <cell r="AS906">
            <v>19.183500000000002</v>
          </cell>
          <cell r="AW906">
            <v>15.58</v>
          </cell>
          <cell r="BB906">
            <v>76.734000000000009</v>
          </cell>
        </row>
        <row r="907">
          <cell r="A907">
            <v>4</v>
          </cell>
          <cell r="B907" t="str">
            <v>RM</v>
          </cell>
          <cell r="C907" t="str">
            <v>FM</v>
          </cell>
          <cell r="D907" t="str">
            <v>CNO-R</v>
          </cell>
          <cell r="E907" t="str">
            <v>CNO-R</v>
          </cell>
        </row>
        <row r="908">
          <cell r="A908">
            <v>5</v>
          </cell>
          <cell r="B908" t="str">
            <v>RM</v>
          </cell>
          <cell r="C908" t="str">
            <v>FM</v>
          </cell>
          <cell r="D908" t="str">
            <v>PKFAD</v>
          </cell>
          <cell r="E908" t="str">
            <v>PKFAD</v>
          </cell>
        </row>
        <row r="909">
          <cell r="A909">
            <v>6</v>
          </cell>
          <cell r="B909" t="str">
            <v>RM</v>
          </cell>
          <cell r="C909" t="str">
            <v>FM</v>
          </cell>
          <cell r="D909" t="str">
            <v>RBDPS</v>
          </cell>
          <cell r="E909" t="str">
            <v>RBDPS</v>
          </cell>
          <cell r="I909">
            <v>248.68</v>
          </cell>
          <cell r="K909">
            <v>258.79000000000002</v>
          </cell>
          <cell r="M909">
            <v>43.79</v>
          </cell>
          <cell r="R909">
            <v>340.29428571428571</v>
          </cell>
          <cell r="T909">
            <v>11.445</v>
          </cell>
          <cell r="AA909">
            <v>314.5422857142857</v>
          </cell>
          <cell r="AC909">
            <v>49.954999999999998</v>
          </cell>
          <cell r="AJ909">
            <v>75.34</v>
          </cell>
          <cell r="AL909">
            <v>92.775000000000006</v>
          </cell>
          <cell r="AU909">
            <v>92.775000000000006</v>
          </cell>
          <cell r="BB909">
            <v>64.38</v>
          </cell>
          <cell r="BD909">
            <v>92.775000000000006</v>
          </cell>
          <cell r="BF909">
            <v>87.62</v>
          </cell>
        </row>
        <row r="910">
          <cell r="A910">
            <v>7</v>
          </cell>
          <cell r="B910" t="str">
            <v>RM</v>
          </cell>
          <cell r="C910" t="str">
            <v>FM</v>
          </cell>
          <cell r="D910" t="str">
            <v>CPS-5%</v>
          </cell>
          <cell r="E910" t="str">
            <v>CPS-5%</v>
          </cell>
        </row>
        <row r="911">
          <cell r="A911">
            <v>8</v>
          </cell>
          <cell r="B911" t="str">
            <v>RM</v>
          </cell>
          <cell r="C911" t="str">
            <v>FM</v>
          </cell>
          <cell r="D911" t="str">
            <v>CPS-20%</v>
          </cell>
          <cell r="E911" t="str">
            <v>CPS-20%</v>
          </cell>
        </row>
        <row r="912">
          <cell r="A912">
            <v>9</v>
          </cell>
          <cell r="B912" t="str">
            <v>RM</v>
          </cell>
          <cell r="C912" t="str">
            <v>FM</v>
          </cell>
          <cell r="D912" t="str">
            <v>CPS-23%-HLL</v>
          </cell>
          <cell r="E912" t="str">
            <v>CPS-23%-HLL</v>
          </cell>
        </row>
        <row r="913">
          <cell r="A913">
            <v>10</v>
          </cell>
          <cell r="B913" t="str">
            <v>RM</v>
          </cell>
          <cell r="C913" t="str">
            <v>FM</v>
          </cell>
          <cell r="D913" t="str">
            <v>CPO</v>
          </cell>
          <cell r="E913" t="str">
            <v>CPO</v>
          </cell>
        </row>
        <row r="914">
          <cell r="A914">
            <v>11</v>
          </cell>
          <cell r="B914" t="str">
            <v>RM</v>
          </cell>
          <cell r="C914" t="str">
            <v>FM</v>
          </cell>
          <cell r="D914" t="str">
            <v>RBDPN</v>
          </cell>
          <cell r="E914" t="str">
            <v>RBDPN</v>
          </cell>
        </row>
        <row r="915">
          <cell r="A915">
            <v>12</v>
          </cell>
          <cell r="B915" t="str">
            <v>RM</v>
          </cell>
          <cell r="C915" t="str">
            <v>FM</v>
          </cell>
          <cell r="D915" t="str">
            <v>PFAD</v>
          </cell>
          <cell r="E915" t="str">
            <v>PFAD</v>
          </cell>
          <cell r="J915">
            <v>162.99600000000001</v>
          </cell>
          <cell r="K915">
            <v>674.99799999999993</v>
          </cell>
          <cell r="L915">
            <v>83.997</v>
          </cell>
          <cell r="T915">
            <v>21.858000000000001</v>
          </cell>
          <cell r="U915">
            <v>26.51</v>
          </cell>
          <cell r="V915">
            <v>182</v>
          </cell>
          <cell r="AA915">
            <v>360.52800000000002</v>
          </cell>
          <cell r="AC915">
            <v>332.59800000000001</v>
          </cell>
          <cell r="AD915">
            <v>26.51</v>
          </cell>
          <cell r="AE915">
            <v>46.17</v>
          </cell>
          <cell r="AJ915">
            <v>328.36</v>
          </cell>
          <cell r="AL915">
            <v>277.31900000000002</v>
          </cell>
          <cell r="AM915">
            <v>1182.0889999999999</v>
          </cell>
          <cell r="AR915">
            <v>1398.75</v>
          </cell>
          <cell r="AU915">
            <v>20.984000000000002</v>
          </cell>
          <cell r="AV915">
            <v>26.498000000000001</v>
          </cell>
          <cell r="AW915">
            <v>23.51</v>
          </cell>
          <cell r="BA915">
            <v>2777.92</v>
          </cell>
          <cell r="BB915">
            <v>294.14699999999999</v>
          </cell>
          <cell r="BD915">
            <v>20.984000000000002</v>
          </cell>
          <cell r="BE915">
            <v>26.498000000000001</v>
          </cell>
          <cell r="BF915">
            <v>142.69999999999999</v>
          </cell>
        </row>
        <row r="916">
          <cell r="A916">
            <v>13</v>
          </cell>
          <cell r="B916" t="str">
            <v>RM</v>
          </cell>
          <cell r="C916" t="str">
            <v>FM</v>
          </cell>
          <cell r="D916" t="str">
            <v>MUSTARD OIL-EXPELLER</v>
          </cell>
          <cell r="E916" t="str">
            <v>MUSTARD OIL-EXPELLER</v>
          </cell>
          <cell r="K916">
            <v>790.89499999999998</v>
          </cell>
          <cell r="T916">
            <v>807.61500000000001</v>
          </cell>
          <cell r="AL916">
            <v>157.19900000000001</v>
          </cell>
          <cell r="AN916">
            <v>16</v>
          </cell>
          <cell r="AU916">
            <v>263.10500000000002</v>
          </cell>
          <cell r="BD916">
            <v>5.2010000000000218</v>
          </cell>
        </row>
        <row r="917">
          <cell r="A917">
            <v>14</v>
          </cell>
          <cell r="B917" t="str">
            <v>RM</v>
          </cell>
          <cell r="C917" t="str">
            <v>FM</v>
          </cell>
          <cell r="D917" t="str">
            <v>MUSTARD OIL-REFINED</v>
          </cell>
          <cell r="E917" t="str">
            <v>MUSTARD OIL-REFINED</v>
          </cell>
          <cell r="AL917">
            <v>181.78</v>
          </cell>
        </row>
        <row r="918">
          <cell r="A918">
            <v>15</v>
          </cell>
          <cell r="B918" t="str">
            <v>RM</v>
          </cell>
          <cell r="C918" t="str">
            <v>FM</v>
          </cell>
          <cell r="D918" t="str">
            <v>CRUDE GLYCERINE</v>
          </cell>
          <cell r="E918" t="str">
            <v>CRUDE GLYCERINE</v>
          </cell>
          <cell r="F918">
            <v>264.62</v>
          </cell>
          <cell r="G918">
            <v>357.9</v>
          </cell>
          <cell r="J918">
            <v>1223.1969999999999</v>
          </cell>
          <cell r="K918">
            <v>1949.511</v>
          </cell>
          <cell r="O918">
            <v>301.3</v>
          </cell>
          <cell r="P918">
            <v>194.71</v>
          </cell>
          <cell r="R918">
            <v>794.6</v>
          </cell>
          <cell r="S918">
            <v>1140.9110000000001</v>
          </cell>
          <cell r="T918">
            <v>2177.3760000000002</v>
          </cell>
          <cell r="X918">
            <v>269.20999999999998</v>
          </cell>
          <cell r="Y918">
            <v>91.71</v>
          </cell>
          <cell r="AB918">
            <v>1037.703</v>
          </cell>
          <cell r="AC918">
            <v>2407.8220000000001</v>
          </cell>
          <cell r="AG918">
            <v>327.5</v>
          </cell>
          <cell r="AK918">
            <v>978.48199999999997</v>
          </cell>
          <cell r="AL918">
            <v>2474.8020000000001</v>
          </cell>
          <cell r="AP918">
            <v>345.84</v>
          </cell>
          <cell r="AQ918">
            <v>91.71</v>
          </cell>
          <cell r="AT918">
            <v>948.21799999999996</v>
          </cell>
          <cell r="AU918">
            <v>2317.2399999999998</v>
          </cell>
          <cell r="AY918">
            <v>281.64999999999998</v>
          </cell>
          <cell r="AZ918">
            <v>91.71</v>
          </cell>
          <cell r="BC918">
            <v>879.428</v>
          </cell>
          <cell r="BD918">
            <v>2449.2719999999999</v>
          </cell>
        </row>
        <row r="919">
          <cell r="A919">
            <v>16</v>
          </cell>
          <cell r="B919" t="str">
            <v>RM</v>
          </cell>
          <cell r="C919" t="str">
            <v>FM</v>
          </cell>
          <cell r="D919" t="str">
            <v>CAUSTIC SODA</v>
          </cell>
          <cell r="E919" t="str">
            <v>CAUSTIC SODA</v>
          </cell>
          <cell r="I919">
            <v>609.70000000000005</v>
          </cell>
          <cell r="J919">
            <v>153.61099999999999</v>
          </cell>
          <cell r="V919">
            <v>128</v>
          </cell>
          <cell r="AA919">
            <v>1157.8</v>
          </cell>
          <cell r="AB919">
            <v>181.316</v>
          </cell>
          <cell r="AE919">
            <v>17.14</v>
          </cell>
          <cell r="AH919">
            <v>91.71</v>
          </cell>
          <cell r="AJ919">
            <v>1262</v>
          </cell>
          <cell r="AK919">
            <v>200.26900000000001</v>
          </cell>
          <cell r="AN919">
            <v>42.81</v>
          </cell>
          <cell r="AS919">
            <v>1684.2</v>
          </cell>
          <cell r="AT919">
            <v>151.47300000000001</v>
          </cell>
          <cell r="BB919">
            <v>1739.4</v>
          </cell>
          <cell r="BC919">
            <v>131.303</v>
          </cell>
        </row>
        <row r="920">
          <cell r="A920">
            <v>17</v>
          </cell>
          <cell r="B920" t="str">
            <v>RM</v>
          </cell>
          <cell r="C920" t="str">
            <v>FM</v>
          </cell>
          <cell r="D920" t="str">
            <v>MINERAL OIL(SAVANOL-82)</v>
          </cell>
          <cell r="E920" t="str">
            <v>MINERAL OIL(SAVANOL-82)</v>
          </cell>
        </row>
        <row r="921">
          <cell r="A921">
            <v>237</v>
          </cell>
          <cell r="B921" t="str">
            <v>RM</v>
          </cell>
          <cell r="C921" t="str">
            <v>FM</v>
          </cell>
          <cell r="D921" t="str">
            <v>NEEM OIL</v>
          </cell>
          <cell r="E921" t="str">
            <v>NEEM OIL</v>
          </cell>
          <cell r="J921">
            <v>38.118000000000002</v>
          </cell>
          <cell r="S921">
            <v>38.118000000000002</v>
          </cell>
          <cell r="AB921">
            <v>38.118000000000002</v>
          </cell>
          <cell r="AK921">
            <v>38.118000000000002</v>
          </cell>
        </row>
        <row r="922">
          <cell r="D922" t="str">
            <v>RM TOTAL</v>
          </cell>
          <cell r="E922" t="str">
            <v>RM TOTAL</v>
          </cell>
          <cell r="F922">
            <v>264.62</v>
          </cell>
          <cell r="G922">
            <v>357.9</v>
          </cell>
          <cell r="H922">
            <v>0</v>
          </cell>
          <cell r="I922">
            <v>858.38000000000011</v>
          </cell>
          <cell r="J922">
            <v>1577.922</v>
          </cell>
          <cell r="K922">
            <v>5479.576</v>
          </cell>
          <cell r="L922">
            <v>1648.7660000000001</v>
          </cell>
          <cell r="M922">
            <v>43.79</v>
          </cell>
          <cell r="N922">
            <v>0</v>
          </cell>
          <cell r="O922">
            <v>301.3</v>
          </cell>
          <cell r="P922">
            <v>194.71</v>
          </cell>
          <cell r="Q922">
            <v>0</v>
          </cell>
          <cell r="R922">
            <v>1134.8942857142856</v>
          </cell>
          <cell r="S922">
            <v>1179.029</v>
          </cell>
          <cell r="T922">
            <v>4115.4520000000002</v>
          </cell>
          <cell r="U922">
            <v>49.539000000000001</v>
          </cell>
          <cell r="V922">
            <v>379</v>
          </cell>
          <cell r="W922">
            <v>0</v>
          </cell>
          <cell r="X922">
            <v>269.20999999999998</v>
          </cell>
          <cell r="Y922">
            <v>91.71</v>
          </cell>
          <cell r="Z922">
            <v>0</v>
          </cell>
          <cell r="AA922">
            <v>1832.8702857142857</v>
          </cell>
          <cell r="AB922">
            <v>1257.1369999999999</v>
          </cell>
          <cell r="AC922">
            <v>3225.4390000000003</v>
          </cell>
          <cell r="AD922">
            <v>2061.2539999999999</v>
          </cell>
          <cell r="AE922">
            <v>63.31</v>
          </cell>
          <cell r="AF922">
            <v>0</v>
          </cell>
          <cell r="AG922">
            <v>327.5</v>
          </cell>
          <cell r="AH922">
            <v>91.71</v>
          </cell>
          <cell r="AI922">
            <v>0</v>
          </cell>
          <cell r="AJ922">
            <v>1665.7</v>
          </cell>
          <cell r="AK922">
            <v>1216.8689999999999</v>
          </cell>
          <cell r="AL922">
            <v>3237.2400000000002</v>
          </cell>
          <cell r="AM922">
            <v>8847.8459999999995</v>
          </cell>
          <cell r="AN922">
            <v>58.81</v>
          </cell>
          <cell r="AO922">
            <v>0</v>
          </cell>
          <cell r="AP922">
            <v>345.84</v>
          </cell>
          <cell r="AQ922">
            <v>91.71</v>
          </cell>
          <cell r="AR922">
            <v>1398.75</v>
          </cell>
          <cell r="AS922">
            <v>1703.3835000000001</v>
          </cell>
          <cell r="AT922">
            <v>1099.691</v>
          </cell>
          <cell r="AU922">
            <v>5055.7539999999999</v>
          </cell>
          <cell r="AV922">
            <v>3863.3450000000003</v>
          </cell>
          <cell r="AW922">
            <v>70.900000000000006</v>
          </cell>
          <cell r="AX922">
            <v>0</v>
          </cell>
          <cell r="AY922">
            <v>281.64999999999998</v>
          </cell>
          <cell r="AZ922">
            <v>91.71</v>
          </cell>
          <cell r="BA922">
            <v>2777.92</v>
          </cell>
          <cell r="BB922">
            <v>2174.6610000000001</v>
          </cell>
          <cell r="BC922">
            <v>1010.731</v>
          </cell>
          <cell r="BD922">
            <v>4978.7219999999998</v>
          </cell>
          <cell r="BE922">
            <v>2795.0239999999999</v>
          </cell>
          <cell r="BF922">
            <v>230.32</v>
          </cell>
          <cell r="BG922">
            <v>0</v>
          </cell>
        </row>
        <row r="923">
          <cell r="A923" t="str">
            <v>SPLIT FATTY ACIDS</v>
          </cell>
        </row>
        <row r="924">
          <cell r="A924">
            <v>18</v>
          </cell>
          <cell r="B924" t="str">
            <v>SRM</v>
          </cell>
          <cell r="C924" t="str">
            <v>FM</v>
          </cell>
          <cell r="D924" t="str">
            <v>SCPKO</v>
          </cell>
          <cell r="E924" t="str">
            <v>SCPKO</v>
          </cell>
          <cell r="G924">
            <v>792.15</v>
          </cell>
          <cell r="I924">
            <v>345.303</v>
          </cell>
          <cell r="K924">
            <v>341.04200000000003</v>
          </cell>
          <cell r="M924">
            <v>661.44</v>
          </cell>
          <cell r="P924">
            <v>400.86</v>
          </cell>
          <cell r="R924">
            <v>179.04600000000002</v>
          </cell>
          <cell r="T924">
            <v>393.22899999999993</v>
          </cell>
          <cell r="V924">
            <v>959.59</v>
          </cell>
          <cell r="Y924">
            <v>517.14</v>
          </cell>
          <cell r="AA924">
            <v>458.577</v>
          </cell>
          <cell r="AC924">
            <v>1237.2049999999999</v>
          </cell>
          <cell r="AE924">
            <v>1460.46</v>
          </cell>
          <cell r="AH924">
            <v>1330.48</v>
          </cell>
          <cell r="AJ924">
            <v>476.84700000000004</v>
          </cell>
          <cell r="AL924">
            <v>1651.412</v>
          </cell>
          <cell r="AN924">
            <v>633.09</v>
          </cell>
          <cell r="AQ924">
            <v>1238.76</v>
          </cell>
          <cell r="AS924">
            <v>365.4</v>
          </cell>
          <cell r="AU924">
            <v>666.34699999999987</v>
          </cell>
          <cell r="AW924">
            <v>863.63</v>
          </cell>
          <cell r="AZ924">
            <v>1435.66</v>
          </cell>
          <cell r="BB924">
            <v>498.77100000000007</v>
          </cell>
          <cell r="BD924">
            <v>1113.921</v>
          </cell>
          <cell r="BF924">
            <v>461.5</v>
          </cell>
        </row>
        <row r="925">
          <cell r="A925">
            <v>19</v>
          </cell>
          <cell r="B925" t="str">
            <v>SRM</v>
          </cell>
          <cell r="C925" t="str">
            <v>FM</v>
          </cell>
          <cell r="D925" t="str">
            <v>SCNO</v>
          </cell>
          <cell r="E925" t="str">
            <v>SCNO</v>
          </cell>
        </row>
        <row r="926">
          <cell r="A926">
            <v>20</v>
          </cell>
          <cell r="B926" t="str">
            <v>SRM</v>
          </cell>
          <cell r="C926" t="str">
            <v>FM</v>
          </cell>
          <cell r="D926" t="str">
            <v>SCPKO-HLL</v>
          </cell>
          <cell r="E926" t="str">
            <v>SCPKO-HLL</v>
          </cell>
        </row>
        <row r="927">
          <cell r="A927">
            <v>21</v>
          </cell>
          <cell r="B927" t="str">
            <v>SRM</v>
          </cell>
          <cell r="C927" t="str">
            <v>FM</v>
          </cell>
          <cell r="D927" t="str">
            <v>SPKFAD</v>
          </cell>
          <cell r="E927" t="str">
            <v>SPKFAD</v>
          </cell>
          <cell r="K927">
            <v>209.65</v>
          </cell>
          <cell r="T927">
            <v>209.65</v>
          </cell>
          <cell r="AC927">
            <v>209.65</v>
          </cell>
          <cell r="AL927">
            <v>209.65</v>
          </cell>
          <cell r="AU927">
            <v>209.65</v>
          </cell>
          <cell r="BD927">
            <v>209.65</v>
          </cell>
        </row>
        <row r="928">
          <cell r="A928">
            <v>22</v>
          </cell>
          <cell r="B928" t="str">
            <v>SRM</v>
          </cell>
          <cell r="C928" t="str">
            <v>FM</v>
          </cell>
          <cell r="D928" t="str">
            <v>SCPS</v>
          </cell>
          <cell r="E928" t="str">
            <v>SCPS</v>
          </cell>
        </row>
        <row r="929">
          <cell r="A929">
            <v>23</v>
          </cell>
          <cell r="B929" t="str">
            <v>SRM</v>
          </cell>
          <cell r="C929" t="str">
            <v>FM</v>
          </cell>
          <cell r="D929" t="str">
            <v>SRBDPS</v>
          </cell>
          <cell r="E929" t="str">
            <v>SRBDPS</v>
          </cell>
          <cell r="G929">
            <v>201.39660000000001</v>
          </cell>
          <cell r="K929">
            <v>28.806999999999999</v>
          </cell>
          <cell r="P929">
            <v>201.39660000000001</v>
          </cell>
          <cell r="T929">
            <v>37.424999999999997</v>
          </cell>
          <cell r="V929">
            <v>233</v>
          </cell>
          <cell r="X929">
            <v>410.4</v>
          </cell>
          <cell r="AC929">
            <v>37.424999999999997</v>
          </cell>
          <cell r="AG929">
            <v>505.30500000000001</v>
          </cell>
          <cell r="AL929">
            <v>37.424999999999997</v>
          </cell>
          <cell r="AP929">
            <v>505.30500000000001</v>
          </cell>
          <cell r="AU929">
            <v>37.424999999999997</v>
          </cell>
          <cell r="AY929">
            <v>505.30500000000001</v>
          </cell>
          <cell r="BD929">
            <v>37.424999999999997</v>
          </cell>
        </row>
        <row r="930">
          <cell r="A930">
            <v>24</v>
          </cell>
          <cell r="B930" t="str">
            <v>SRM</v>
          </cell>
          <cell r="C930" t="str">
            <v>FM</v>
          </cell>
          <cell r="D930" t="str">
            <v>SCPO</v>
          </cell>
          <cell r="E930" t="str">
            <v>SCPO</v>
          </cell>
        </row>
        <row r="931">
          <cell r="A931">
            <v>25</v>
          </cell>
          <cell r="B931" t="str">
            <v>SRM</v>
          </cell>
          <cell r="C931" t="str">
            <v>FM</v>
          </cell>
          <cell r="D931" t="str">
            <v>SPFAD</v>
          </cell>
          <cell r="E931" t="str">
            <v>SPFAD</v>
          </cell>
          <cell r="F931">
            <v>163.30500000000001</v>
          </cell>
          <cell r="G931">
            <v>18.75</v>
          </cell>
          <cell r="H931">
            <v>4.42</v>
          </cell>
          <cell r="K931">
            <v>524.18499999999995</v>
          </cell>
          <cell r="M931">
            <v>832.73</v>
          </cell>
          <cell r="P931">
            <v>175</v>
          </cell>
          <cell r="Q931">
            <v>4.42</v>
          </cell>
          <cell r="R931">
            <v>239.12571428571425</v>
          </cell>
          <cell r="S931">
            <v>101.568</v>
          </cell>
          <cell r="T931">
            <v>410.20400000000001</v>
          </cell>
          <cell r="Z931">
            <v>4.42</v>
          </cell>
          <cell r="AA931">
            <v>67.139142857142829</v>
          </cell>
          <cell r="AB931">
            <v>96.86</v>
          </cell>
          <cell r="AC931">
            <v>126.414</v>
          </cell>
          <cell r="AI931">
            <v>4.42</v>
          </cell>
          <cell r="AJ931">
            <v>82.77428571428571</v>
          </cell>
          <cell r="AK931">
            <v>41.616</v>
          </cell>
          <cell r="AL931">
            <v>152.59299999999999</v>
          </cell>
          <cell r="AN931">
            <v>111.22</v>
          </cell>
          <cell r="AP931">
            <v>25.866</v>
          </cell>
          <cell r="AR931">
            <v>4.42</v>
          </cell>
          <cell r="AS931">
            <v>36.78857142857143</v>
          </cell>
          <cell r="AU931">
            <v>180.357</v>
          </cell>
          <cell r="AW931">
            <v>794.41</v>
          </cell>
          <cell r="BA931">
            <v>4.42</v>
          </cell>
          <cell r="BB931">
            <v>202.33714285714285</v>
          </cell>
          <cell r="BC931">
            <v>120.56399999999999</v>
          </cell>
          <cell r="BD931">
            <v>67.057000000000002</v>
          </cell>
          <cell r="BF931">
            <v>104.56</v>
          </cell>
        </row>
        <row r="932">
          <cell r="A932">
            <v>26</v>
          </cell>
          <cell r="B932" t="str">
            <v>SRM</v>
          </cell>
          <cell r="C932" t="str">
            <v>FM</v>
          </cell>
          <cell r="D932" t="str">
            <v>SCPS-HLL</v>
          </cell>
          <cell r="E932" t="str">
            <v>SCPS-HLL</v>
          </cell>
        </row>
        <row r="933">
          <cell r="A933">
            <v>27</v>
          </cell>
          <cell r="B933" t="str">
            <v>SRM</v>
          </cell>
          <cell r="C933" t="str">
            <v>FM</v>
          </cell>
          <cell r="D933" t="str">
            <v>SMUSTARD OIL</v>
          </cell>
          <cell r="E933" t="str">
            <v>SMUSTARD OIL</v>
          </cell>
          <cell r="AC933">
            <v>11.241</v>
          </cell>
          <cell r="AU933">
            <v>407.7</v>
          </cell>
          <cell r="BD933">
            <v>339.74599999999998</v>
          </cell>
        </row>
        <row r="934">
          <cell r="A934">
            <v>28</v>
          </cell>
          <cell r="B934" t="str">
            <v>SRM</v>
          </cell>
          <cell r="C934" t="str">
            <v>FM</v>
          </cell>
          <cell r="D934" t="str">
            <v>SMUSTARD OIL-EXPELLER</v>
          </cell>
          <cell r="E934" t="str">
            <v>SMUSTARD OIL-EXPELLER</v>
          </cell>
          <cell r="I934">
            <v>590.12099999999998</v>
          </cell>
          <cell r="K934">
            <v>626.49099999999999</v>
          </cell>
          <cell r="Q934">
            <v>40.11</v>
          </cell>
          <cell r="R934">
            <v>634.42399999999998</v>
          </cell>
          <cell r="T934">
            <v>214.50100000000003</v>
          </cell>
          <cell r="V934">
            <v>345.18</v>
          </cell>
          <cell r="Z934">
            <v>40.11</v>
          </cell>
          <cell r="AA934">
            <v>886.20600000000002</v>
          </cell>
          <cell r="AC934">
            <v>433.92500000000001</v>
          </cell>
          <cell r="AI934">
            <v>40.11</v>
          </cell>
          <cell r="AJ934">
            <v>263.08799999999997</v>
          </cell>
          <cell r="AR934">
            <v>40.11</v>
          </cell>
          <cell r="BA934">
            <v>40.11</v>
          </cell>
          <cell r="BB934">
            <v>91.35</v>
          </cell>
          <cell r="BF934">
            <v>291.35000000000002</v>
          </cell>
        </row>
        <row r="935">
          <cell r="D935" t="str">
            <v>SRM TOTAL</v>
          </cell>
          <cell r="E935" t="str">
            <v>SRM TOTAL</v>
          </cell>
          <cell r="F935">
            <v>163.30500000000001</v>
          </cell>
          <cell r="G935">
            <v>1012.2966</v>
          </cell>
          <cell r="H935">
            <v>4.42</v>
          </cell>
          <cell r="I935">
            <v>935.42399999999998</v>
          </cell>
          <cell r="J935">
            <v>0</v>
          </cell>
          <cell r="K935">
            <v>1730.175</v>
          </cell>
          <cell r="L935">
            <v>0</v>
          </cell>
          <cell r="M935">
            <v>1494.17</v>
          </cell>
          <cell r="N935">
            <v>0</v>
          </cell>
          <cell r="O935">
            <v>0</v>
          </cell>
          <cell r="P935">
            <v>777.25660000000005</v>
          </cell>
          <cell r="Q935">
            <v>44.53</v>
          </cell>
          <cell r="R935">
            <v>1052.5957142857142</v>
          </cell>
          <cell r="S935">
            <v>101.568</v>
          </cell>
          <cell r="T935">
            <v>1265.0089999999998</v>
          </cell>
          <cell r="U935">
            <v>0</v>
          </cell>
          <cell r="V935">
            <v>1537.7700000000002</v>
          </cell>
          <cell r="W935">
            <v>0</v>
          </cell>
          <cell r="X935">
            <v>410.4</v>
          </cell>
          <cell r="Y935">
            <v>517.14</v>
          </cell>
          <cell r="Z935">
            <v>44.53</v>
          </cell>
          <cell r="AA935">
            <v>1411.9221428571427</v>
          </cell>
          <cell r="AB935">
            <v>96.86</v>
          </cell>
          <cell r="AC935">
            <v>2055.86</v>
          </cell>
          <cell r="AD935">
            <v>0</v>
          </cell>
          <cell r="AE935">
            <v>1460.46</v>
          </cell>
          <cell r="AF935">
            <v>0</v>
          </cell>
          <cell r="AG935">
            <v>505.30500000000001</v>
          </cell>
          <cell r="AH935">
            <v>1330.48</v>
          </cell>
          <cell r="AI935">
            <v>44.53</v>
          </cell>
          <cell r="AJ935">
            <v>822.70928571428567</v>
          </cell>
          <cell r="AK935">
            <v>41.616</v>
          </cell>
          <cell r="AL935">
            <v>2051.08</v>
          </cell>
          <cell r="AM935">
            <v>0</v>
          </cell>
          <cell r="AN935">
            <v>744.31000000000006</v>
          </cell>
          <cell r="AO935">
            <v>0</v>
          </cell>
          <cell r="AP935">
            <v>531.17100000000005</v>
          </cell>
          <cell r="AQ935">
            <v>1238.76</v>
          </cell>
          <cell r="AR935">
            <v>44.53</v>
          </cell>
          <cell r="AS935">
            <v>402.18857142857144</v>
          </cell>
          <cell r="AT935">
            <v>0</v>
          </cell>
          <cell r="AU935">
            <v>1501.4789999999998</v>
          </cell>
          <cell r="AV935">
            <v>0</v>
          </cell>
          <cell r="AW935">
            <v>1658.04</v>
          </cell>
          <cell r="AX935">
            <v>0</v>
          </cell>
          <cell r="AY935">
            <v>505.30500000000001</v>
          </cell>
          <cell r="AZ935">
            <v>1435.66</v>
          </cell>
          <cell r="BA935">
            <v>44.53</v>
          </cell>
          <cell r="BB935">
            <v>792.45814285714289</v>
          </cell>
          <cell r="BC935">
            <v>120.56399999999999</v>
          </cell>
          <cell r="BD935">
            <v>1767.799</v>
          </cell>
          <cell r="BE935">
            <v>0</v>
          </cell>
          <cell r="BF935">
            <v>857.41</v>
          </cell>
          <cell r="BG935">
            <v>0</v>
          </cell>
        </row>
        <row r="936">
          <cell r="A936" t="str">
            <v>IN-PROCESS FATTY ACIDS</v>
          </cell>
        </row>
        <row r="937">
          <cell r="A937">
            <v>29</v>
          </cell>
          <cell r="B937" t="str">
            <v>IPRM</v>
          </cell>
          <cell r="C937" t="str">
            <v>FM</v>
          </cell>
          <cell r="D937" t="str">
            <v>B/PSCPKO&gt;C14</v>
          </cell>
          <cell r="E937" t="str">
            <v xml:space="preserve">B/P PKO </v>
          </cell>
          <cell r="F937">
            <v>200.4</v>
          </cell>
          <cell r="G937">
            <v>340.12440000000004</v>
          </cell>
          <cell r="I937">
            <v>134.06700000000001</v>
          </cell>
          <cell r="O937">
            <v>166.8</v>
          </cell>
          <cell r="P937">
            <v>421.84260000000006</v>
          </cell>
          <cell r="R937">
            <v>87.435000000000002</v>
          </cell>
          <cell r="V937">
            <v>97.85</v>
          </cell>
          <cell r="X937">
            <v>99.215999999999994</v>
          </cell>
          <cell r="Y937">
            <v>948.57</v>
          </cell>
          <cell r="AA937">
            <v>113.24914285714286</v>
          </cell>
          <cell r="AG937">
            <v>267.55</v>
          </cell>
          <cell r="AH937">
            <v>464.91030000000006</v>
          </cell>
          <cell r="AJ937">
            <v>614</v>
          </cell>
          <cell r="AP937">
            <v>207.6</v>
          </cell>
          <cell r="AQ937">
            <v>66.257999999999996</v>
          </cell>
          <cell r="AS937">
            <v>398.9</v>
          </cell>
          <cell r="AY937">
            <v>207.6</v>
          </cell>
          <cell r="AZ937">
            <v>66.257999999999996</v>
          </cell>
          <cell r="BB937">
            <v>110.36571428571429</v>
          </cell>
        </row>
        <row r="938">
          <cell r="A938">
            <v>30</v>
          </cell>
          <cell r="B938" t="str">
            <v>IPRM</v>
          </cell>
          <cell r="C938" t="str">
            <v>FM</v>
          </cell>
          <cell r="D938" t="str">
            <v>B/P CNO&gt;C14</v>
          </cell>
          <cell r="E938" t="str">
            <v>B/P CNO&gt;C14</v>
          </cell>
        </row>
        <row r="939">
          <cell r="A939">
            <v>31</v>
          </cell>
          <cell r="B939" t="str">
            <v>IPRM</v>
          </cell>
          <cell r="C939" t="str">
            <v>FM</v>
          </cell>
          <cell r="D939" t="str">
            <v>SB/PSCPKO&gt;C14</v>
          </cell>
          <cell r="E939" t="str">
            <v>S B/P PKO</v>
          </cell>
        </row>
        <row r="940">
          <cell r="A940">
            <v>32</v>
          </cell>
          <cell r="B940" t="str">
            <v>IPRM</v>
          </cell>
          <cell r="C940" t="str">
            <v>FM</v>
          </cell>
          <cell r="D940" t="str">
            <v>B/PSCNO&gt;C14</v>
          </cell>
          <cell r="E940" t="str">
            <v>S B/P CNO</v>
          </cell>
        </row>
        <row r="941">
          <cell r="A941">
            <v>33</v>
          </cell>
          <cell r="B941" t="str">
            <v>IPRM</v>
          </cell>
          <cell r="C941" t="str">
            <v>SM</v>
          </cell>
          <cell r="D941" t="str">
            <v>B/PSCPKO&gt;C16</v>
          </cell>
          <cell r="E941" t="str">
            <v>B/P&gt;C16 - OLEIC K</v>
          </cell>
        </row>
        <row r="942">
          <cell r="A942">
            <v>34</v>
          </cell>
          <cell r="B942" t="str">
            <v>IPRM</v>
          </cell>
          <cell r="C942" t="str">
            <v>SM</v>
          </cell>
          <cell r="D942" t="str">
            <v>HYD C16/C18 FOR DTP-7</v>
          </cell>
          <cell r="E942" t="str">
            <v>HYD C16/C18 FOR DTP-7</v>
          </cell>
        </row>
        <row r="943">
          <cell r="A943">
            <v>35</v>
          </cell>
          <cell r="B943" t="str">
            <v>IPRM</v>
          </cell>
          <cell r="C943" t="str">
            <v>NM</v>
          </cell>
          <cell r="D943" t="str">
            <v>L/E PKO(C6-C8)-C6@65%</v>
          </cell>
          <cell r="E943" t="str">
            <v>C6&gt;50%</v>
          </cell>
          <cell r="X943">
            <v>268.94000000000005</v>
          </cell>
        </row>
        <row r="944">
          <cell r="A944">
            <v>36</v>
          </cell>
          <cell r="B944" t="str">
            <v>IPRM</v>
          </cell>
          <cell r="C944" t="str">
            <v>FM</v>
          </cell>
          <cell r="D944" t="str">
            <v>L/E PKO(C6-C12)</v>
          </cell>
          <cell r="E944" t="str">
            <v>TALOJA</v>
          </cell>
          <cell r="F944">
            <v>148.43</v>
          </cell>
          <cell r="G944">
            <v>1382.16</v>
          </cell>
          <cell r="I944">
            <v>30.133071428571434</v>
          </cell>
          <cell r="O944">
            <v>160.64249999999998</v>
          </cell>
          <cell r="P944">
            <v>1382.16</v>
          </cell>
          <cell r="R944">
            <v>148.64571428571429</v>
          </cell>
          <cell r="Y944">
            <v>1258.1199999999999</v>
          </cell>
          <cell r="AA944">
            <v>72.70714285714287</v>
          </cell>
          <cell r="AG944">
            <v>266.23</v>
          </cell>
          <cell r="AH944">
            <v>1404.31</v>
          </cell>
          <cell r="AJ944">
            <v>104.825</v>
          </cell>
          <cell r="AP944">
            <v>268.20999999999998</v>
          </cell>
          <cell r="AQ944">
            <v>1630.24</v>
          </cell>
          <cell r="AS944">
            <v>151.06928571428571</v>
          </cell>
          <cell r="AY944">
            <v>269.94</v>
          </cell>
          <cell r="AZ944">
            <v>1652.39</v>
          </cell>
          <cell r="BB944">
            <v>210.8507142857143</v>
          </cell>
        </row>
        <row r="945">
          <cell r="A945">
            <v>37</v>
          </cell>
          <cell r="B945" t="str">
            <v>IPRM</v>
          </cell>
          <cell r="C945" t="str">
            <v>FM</v>
          </cell>
          <cell r="D945" t="str">
            <v>HYD.L/EPKO(C6-C12)</v>
          </cell>
          <cell r="E945" t="str">
            <v>H L/E PKO</v>
          </cell>
          <cell r="G945">
            <v>138.16836000000001</v>
          </cell>
          <cell r="I945">
            <v>163.995</v>
          </cell>
          <cell r="O945">
            <v>86.111999999999995</v>
          </cell>
          <cell r="P945">
            <v>240.01236</v>
          </cell>
          <cell r="Y945">
            <v>248.49936000000002</v>
          </cell>
          <cell r="AH945">
            <v>250.19676000000001</v>
          </cell>
          <cell r="AQ945">
            <v>250.19676000000001</v>
          </cell>
          <cell r="AY945">
            <v>27.143999999999998</v>
          </cell>
          <cell r="AZ945">
            <v>4.07376</v>
          </cell>
        </row>
        <row r="946">
          <cell r="A946">
            <v>38</v>
          </cell>
          <cell r="B946" t="str">
            <v>IPRM</v>
          </cell>
          <cell r="C946" t="str">
            <v>FM</v>
          </cell>
          <cell r="D946" t="str">
            <v>L/E PKO(C8-C12)</v>
          </cell>
          <cell r="E946" t="str">
            <v>L/E PKO</v>
          </cell>
          <cell r="G946">
            <v>408.26600000000002</v>
          </cell>
          <cell r="P946">
            <v>408.26600000000002</v>
          </cell>
          <cell r="Y946">
            <v>377.39600000000002</v>
          </cell>
          <cell r="AH946">
            <v>377.39600000000002</v>
          </cell>
          <cell r="AP946">
            <v>27.768000000000001</v>
          </cell>
          <cell r="AY946">
            <v>135.13499999999999</v>
          </cell>
        </row>
        <row r="947">
          <cell r="A947">
            <v>39</v>
          </cell>
          <cell r="B947" t="str">
            <v>IPRM</v>
          </cell>
          <cell r="C947" t="str">
            <v>FM</v>
          </cell>
          <cell r="D947" t="str">
            <v>L/E PKO(C10-C12)</v>
          </cell>
          <cell r="E947" t="str">
            <v>B/P OF C8 H</v>
          </cell>
          <cell r="P947">
            <v>118.935</v>
          </cell>
          <cell r="X947">
            <v>75.239999999999995</v>
          </cell>
          <cell r="Y947">
            <v>117.34920000000001</v>
          </cell>
          <cell r="AP947">
            <v>273.60000000000002</v>
          </cell>
          <cell r="AY947">
            <v>300.60000000000002</v>
          </cell>
        </row>
        <row r="948">
          <cell r="A948">
            <v>40</v>
          </cell>
          <cell r="B948" t="str">
            <v>IPRM</v>
          </cell>
          <cell r="C948" t="str">
            <v>FM</v>
          </cell>
          <cell r="D948" t="str">
            <v>C12+C14+C16-PKO/CNO</v>
          </cell>
          <cell r="E948" t="str">
            <v>C12+C14+C16-PKO/CNO</v>
          </cell>
        </row>
        <row r="949">
          <cell r="A949">
            <v>41</v>
          </cell>
          <cell r="B949" t="str">
            <v>IPRM</v>
          </cell>
          <cell r="C949" t="str">
            <v>FM</v>
          </cell>
          <cell r="D949" t="str">
            <v>C14+C16(C14~60)</v>
          </cell>
          <cell r="E949" t="str">
            <v>C14+C16(C14~60)</v>
          </cell>
        </row>
        <row r="950">
          <cell r="A950">
            <v>42</v>
          </cell>
          <cell r="B950" t="str">
            <v>IPRM</v>
          </cell>
          <cell r="C950" t="str">
            <v>FM</v>
          </cell>
          <cell r="D950" t="str">
            <v>C14+C16+C18(C16@65%)</v>
          </cell>
          <cell r="E950" t="str">
            <v>C14+C16+C18(C16@65%)</v>
          </cell>
        </row>
        <row r="951">
          <cell r="A951">
            <v>43</v>
          </cell>
          <cell r="B951" t="str">
            <v>IPRM</v>
          </cell>
          <cell r="C951" t="str">
            <v>FM</v>
          </cell>
          <cell r="D951" t="str">
            <v>C16+C18-PFAD/PKO(C16@80%)</v>
          </cell>
          <cell r="E951" t="str">
            <v>C16+C18-PFAD/PKO(C16@80%)</v>
          </cell>
        </row>
        <row r="952">
          <cell r="A952">
            <v>44</v>
          </cell>
          <cell r="B952" t="str">
            <v>IPRM</v>
          </cell>
          <cell r="C952" t="str">
            <v>NM</v>
          </cell>
          <cell r="D952" t="str">
            <v>L/E'S OF  S.B</v>
          </cell>
          <cell r="E952" t="str">
            <v>L/E'S OF  S.B</v>
          </cell>
          <cell r="F952">
            <v>8.3975000000000009</v>
          </cell>
          <cell r="G952">
            <v>14.272200000000002</v>
          </cell>
          <cell r="H952">
            <v>14.59</v>
          </cell>
          <cell r="I952">
            <v>137</v>
          </cell>
          <cell r="O952">
            <v>8.3975000000000009</v>
          </cell>
          <cell r="Q952">
            <v>14.59</v>
          </cell>
          <cell r="X952">
            <v>8.3975000000000009</v>
          </cell>
          <cell r="Z952">
            <v>14.59</v>
          </cell>
          <cell r="AI952">
            <v>14.59</v>
          </cell>
          <cell r="AJ952">
            <v>17</v>
          </cell>
          <cell r="AR952">
            <v>14.59</v>
          </cell>
          <cell r="BA952">
            <v>14.59</v>
          </cell>
        </row>
        <row r="953">
          <cell r="A953">
            <v>45</v>
          </cell>
          <cell r="B953" t="str">
            <v>IPRM</v>
          </cell>
          <cell r="C953" t="str">
            <v>NM</v>
          </cell>
          <cell r="D953" t="str">
            <v>BAD C8/C10</v>
          </cell>
          <cell r="E953" t="str">
            <v>BAD C8/C10</v>
          </cell>
          <cell r="F953">
            <v>0.312</v>
          </cell>
          <cell r="G953">
            <v>42.044402499999997</v>
          </cell>
          <cell r="O953">
            <v>29.952000000000002</v>
          </cell>
          <cell r="X953">
            <v>56.472000000000001</v>
          </cell>
          <cell r="AA953">
            <v>60</v>
          </cell>
          <cell r="AG953">
            <v>26.207999999999998</v>
          </cell>
          <cell r="AJ953">
            <v>23</v>
          </cell>
          <cell r="AP953">
            <v>25.271999999999998</v>
          </cell>
          <cell r="AY953">
            <v>99.84</v>
          </cell>
        </row>
        <row r="954">
          <cell r="A954">
            <v>46</v>
          </cell>
          <cell r="B954" t="str">
            <v>IPRM</v>
          </cell>
          <cell r="C954" t="str">
            <v>FM</v>
          </cell>
          <cell r="D954" t="str">
            <v>L/E PKO(C12@80%)</v>
          </cell>
          <cell r="E954" t="str">
            <v>B/P OF C10</v>
          </cell>
          <cell r="F954">
            <v>112.36499999999999</v>
          </cell>
          <cell r="AH954">
            <v>196.63920000000002</v>
          </cell>
        </row>
        <row r="955">
          <cell r="A955">
            <v>47</v>
          </cell>
          <cell r="B955" t="str">
            <v>IPRM</v>
          </cell>
          <cell r="C955" t="str">
            <v>NM</v>
          </cell>
          <cell r="D955" t="str">
            <v>DAG-MCT</v>
          </cell>
          <cell r="E955" t="str">
            <v>HYD DEAC MCT</v>
          </cell>
          <cell r="G955">
            <v>466.22520000000003</v>
          </cell>
          <cell r="H955">
            <v>26.38</v>
          </cell>
          <cell r="P955">
            <v>466.22520000000003</v>
          </cell>
          <cell r="Q955">
            <v>26.38</v>
          </cell>
          <cell r="Y955">
            <v>464.63940000000002</v>
          </cell>
          <cell r="Z955">
            <v>26.38</v>
          </cell>
          <cell r="AH955">
            <v>464.63940000000002</v>
          </cell>
          <cell r="AI955">
            <v>26.38</v>
          </cell>
          <cell r="AQ955">
            <v>464.63940000000002</v>
          </cell>
          <cell r="AR955">
            <v>26.38</v>
          </cell>
          <cell r="AZ955">
            <v>464.63940000000002</v>
          </cell>
          <cell r="BA955">
            <v>26.38</v>
          </cell>
        </row>
        <row r="956">
          <cell r="A956">
            <v>247</v>
          </cell>
          <cell r="B956" t="str">
            <v>IPRM</v>
          </cell>
          <cell r="C956" t="str">
            <v>NM</v>
          </cell>
          <cell r="D956" t="str">
            <v>D ACIDIFIED MCT</v>
          </cell>
          <cell r="E956" t="str">
            <v>D ACIDIFIED MCT</v>
          </cell>
        </row>
        <row r="957">
          <cell r="A957">
            <v>48</v>
          </cell>
          <cell r="B957" t="str">
            <v>IPRM</v>
          </cell>
          <cell r="C957" t="str">
            <v>SM</v>
          </cell>
          <cell r="D957" t="str">
            <v>PKORESIDUE</v>
          </cell>
          <cell r="E957" t="str">
            <v>PKORESIDUE</v>
          </cell>
          <cell r="F957">
            <v>14.498999999999999</v>
          </cell>
          <cell r="G957">
            <v>803.93040000000008</v>
          </cell>
          <cell r="O957">
            <v>14.228067999999999</v>
          </cell>
          <cell r="P957">
            <v>1025.56</v>
          </cell>
          <cell r="Y957">
            <v>1048.82</v>
          </cell>
          <cell r="AG957">
            <v>89.658000000000001</v>
          </cell>
          <cell r="AH957">
            <v>1112.7</v>
          </cell>
          <cell r="AQ957">
            <v>1366.1</v>
          </cell>
          <cell r="AZ957">
            <v>1701.48</v>
          </cell>
          <cell r="BB957">
            <v>97.427571428571426</v>
          </cell>
        </row>
        <row r="958">
          <cell r="A958">
            <v>49</v>
          </cell>
          <cell r="B958" t="str">
            <v>IPRM</v>
          </cell>
          <cell r="C958" t="str">
            <v>SM</v>
          </cell>
          <cell r="D958" t="str">
            <v>SPKORESIDUE</v>
          </cell>
          <cell r="E958" t="str">
            <v>SPKORESIDUE</v>
          </cell>
          <cell r="G958">
            <v>845.37180000000001</v>
          </cell>
          <cell r="I958">
            <v>13.702500000000001</v>
          </cell>
          <cell r="P958">
            <v>689.92560000000003</v>
          </cell>
          <cell r="Y958">
            <v>741.0311999999999</v>
          </cell>
          <cell r="AH958">
            <v>790.00740000000008</v>
          </cell>
          <cell r="AQ958">
            <v>391.80959999999999</v>
          </cell>
          <cell r="AS958">
            <v>137.95714285714286</v>
          </cell>
          <cell r="AW958">
            <v>46.55</v>
          </cell>
          <cell r="AZ958">
            <v>306.6336</v>
          </cell>
          <cell r="BB958">
            <v>128.76</v>
          </cell>
        </row>
        <row r="959">
          <cell r="A959">
            <v>50</v>
          </cell>
          <cell r="B959" t="str">
            <v>IPRM</v>
          </cell>
          <cell r="C959" t="str">
            <v>SM</v>
          </cell>
          <cell r="D959" t="str">
            <v>DPKORESIDUE</v>
          </cell>
          <cell r="E959" t="str">
            <v>DPKORESIDUE</v>
          </cell>
          <cell r="BB959">
            <v>422.5</v>
          </cell>
        </row>
        <row r="960">
          <cell r="A960">
            <v>51</v>
          </cell>
          <cell r="B960" t="str">
            <v>IPRM</v>
          </cell>
          <cell r="C960" t="str">
            <v>FM</v>
          </cell>
          <cell r="D960" t="str">
            <v>SPFAD+DPKORESIDUE-DSB FEED</v>
          </cell>
          <cell r="E960" t="str">
            <v>SPFAD+DPKORESIDUE-DSB FEED</v>
          </cell>
          <cell r="R960">
            <v>89.522999999999982</v>
          </cell>
          <cell r="V960">
            <v>79</v>
          </cell>
        </row>
        <row r="961">
          <cell r="A961">
            <v>52</v>
          </cell>
          <cell r="B961" t="str">
            <v>IPRM</v>
          </cell>
          <cell r="C961" t="str">
            <v>FM</v>
          </cell>
          <cell r="D961" t="str">
            <v>SRBDPS/CPS+SCPO-JBS FEED</v>
          </cell>
          <cell r="E961" t="str">
            <v>SRBDPS/CPS+SCPO-JBS FEED</v>
          </cell>
        </row>
        <row r="962">
          <cell r="A962">
            <v>53</v>
          </cell>
          <cell r="B962" t="str">
            <v>IPRM</v>
          </cell>
          <cell r="C962" t="str">
            <v>FM</v>
          </cell>
          <cell r="D962" t="str">
            <v>SRBDPS/CPS+B/PPKO-JBS FEED</v>
          </cell>
          <cell r="E962" t="str">
            <v>SRBDPS/CPS+B/PPKO-JBS FEED</v>
          </cell>
          <cell r="I962">
            <v>197.14</v>
          </cell>
          <cell r="M962">
            <v>15</v>
          </cell>
        </row>
        <row r="963">
          <cell r="A963">
            <v>54</v>
          </cell>
          <cell r="B963" t="str">
            <v>IPRM</v>
          </cell>
          <cell r="C963" t="str">
            <v>FM</v>
          </cell>
          <cell r="D963" t="str">
            <v>SPFAD&gt;C16(C16@15-25%)</v>
          </cell>
          <cell r="E963" t="str">
            <v>D B/P&gt;C16 FOR ALC</v>
          </cell>
        </row>
        <row r="964">
          <cell r="A964">
            <v>55</v>
          </cell>
          <cell r="B964" t="str">
            <v>IPRM</v>
          </cell>
          <cell r="C964" t="str">
            <v>FM</v>
          </cell>
          <cell r="D964" t="str">
            <v>SPFAD&gt;C16(C16@15-25%)</v>
          </cell>
          <cell r="E964" t="str">
            <v>B/P&gt;C16 FOR ALC</v>
          </cell>
        </row>
        <row r="965">
          <cell r="A965">
            <v>56</v>
          </cell>
          <cell r="B965" t="str">
            <v>IPRM</v>
          </cell>
          <cell r="C965" t="str">
            <v>SM</v>
          </cell>
          <cell r="D965" t="str">
            <v>MIX RESIDUE</v>
          </cell>
          <cell r="E965" t="str">
            <v>MIX RESIDUE</v>
          </cell>
          <cell r="G965">
            <v>963.92</v>
          </cell>
          <cell r="H965">
            <v>463.23</v>
          </cell>
          <cell r="I965">
            <v>9.992571428571452</v>
          </cell>
          <cell r="J965">
            <v>28.010999999999999</v>
          </cell>
          <cell r="M965">
            <v>20.75</v>
          </cell>
          <cell r="P965">
            <v>1047.18</v>
          </cell>
          <cell r="Q965">
            <v>463.23</v>
          </cell>
          <cell r="R965">
            <v>47.46471428571428</v>
          </cell>
          <cell r="S965">
            <v>38.780999999999999</v>
          </cell>
          <cell r="Y965">
            <v>1122.05</v>
          </cell>
          <cell r="Z965">
            <v>463.23</v>
          </cell>
          <cell r="AA965">
            <v>109.9182857142857</v>
          </cell>
          <cell r="AB965">
            <v>24.138999999999999</v>
          </cell>
          <cell r="AH965">
            <v>1288.73</v>
          </cell>
          <cell r="AI965">
            <v>463.23</v>
          </cell>
          <cell r="AJ965">
            <v>99.092999999999975</v>
          </cell>
          <cell r="AK965">
            <v>28.978999999999999</v>
          </cell>
          <cell r="AN965">
            <v>24.61</v>
          </cell>
          <cell r="AP965">
            <v>4.8099999999999996</v>
          </cell>
          <cell r="AQ965">
            <v>1961.9</v>
          </cell>
          <cell r="AS965">
            <v>51.62828571428571</v>
          </cell>
          <cell r="AW965">
            <v>24.48</v>
          </cell>
          <cell r="AZ965">
            <v>1985.69</v>
          </cell>
          <cell r="BB965">
            <v>85.769571428571425</v>
          </cell>
          <cell r="BC965">
            <v>27.044</v>
          </cell>
        </row>
        <row r="966">
          <cell r="A966">
            <v>57</v>
          </cell>
          <cell r="B966" t="str">
            <v>IPRM</v>
          </cell>
          <cell r="C966" t="str">
            <v>SM</v>
          </cell>
          <cell r="D966" t="str">
            <v>SMIX RESIDUE</v>
          </cell>
          <cell r="E966" t="str">
            <v>SMIX RESIDUE</v>
          </cell>
        </row>
        <row r="967">
          <cell r="A967">
            <v>58</v>
          </cell>
          <cell r="B967" t="str">
            <v>IPRM</v>
          </cell>
          <cell r="C967" t="str">
            <v>FM</v>
          </cell>
          <cell r="D967" t="str">
            <v>DMIX RESIDUE</v>
          </cell>
          <cell r="E967" t="str">
            <v>DMIX RESIDUE</v>
          </cell>
          <cell r="F967">
            <v>9.6199999999999992</v>
          </cell>
          <cell r="O967">
            <v>4.8099999999999996</v>
          </cell>
          <cell r="X967">
            <v>4.8099999999999996</v>
          </cell>
          <cell r="AA967">
            <v>30</v>
          </cell>
          <cell r="AG967">
            <v>4.8099999999999996</v>
          </cell>
          <cell r="AY967">
            <v>4.8099999999999996</v>
          </cell>
        </row>
        <row r="968">
          <cell r="A968">
            <v>59</v>
          </cell>
          <cell r="B968" t="str">
            <v>IPRM</v>
          </cell>
          <cell r="C968" t="str">
            <v>FM</v>
          </cell>
          <cell r="D968" t="str">
            <v>HYD D RFA</v>
          </cell>
          <cell r="E968" t="str">
            <v>HYD D RFA</v>
          </cell>
          <cell r="F968">
            <v>21</v>
          </cell>
          <cell r="I968">
            <v>133.97999999999999</v>
          </cell>
        </row>
        <row r="969">
          <cell r="A969">
            <v>60</v>
          </cell>
          <cell r="B969" t="str">
            <v>IPRM</v>
          </cell>
          <cell r="C969" t="str">
            <v>FM</v>
          </cell>
          <cell r="D969" t="str">
            <v>B/P SMUSTARD&gt;C18</v>
          </cell>
          <cell r="E969" t="str">
            <v>B/P SMUSTARD&gt;C18</v>
          </cell>
        </row>
        <row r="970">
          <cell r="A970">
            <v>61</v>
          </cell>
          <cell r="B970" t="str">
            <v>IPRM</v>
          </cell>
          <cell r="C970" t="str">
            <v>FM</v>
          </cell>
          <cell r="D970" t="str">
            <v>B/P SMUSTARD&gt;C20</v>
          </cell>
          <cell r="E970" t="str">
            <v>B/P SMUSTARD&gt;C20</v>
          </cell>
        </row>
        <row r="971">
          <cell r="A971">
            <v>62</v>
          </cell>
          <cell r="B971" t="str">
            <v>IPRM</v>
          </cell>
          <cell r="C971" t="str">
            <v>SM</v>
          </cell>
          <cell r="D971" t="str">
            <v>DFA C18+22(20@50%)</v>
          </cell>
          <cell r="E971" t="str">
            <v>DFA C18+22(20@50%)</v>
          </cell>
        </row>
        <row r="972">
          <cell r="A972">
            <v>63</v>
          </cell>
          <cell r="B972" t="str">
            <v>IPRM</v>
          </cell>
          <cell r="C972" t="str">
            <v>NM</v>
          </cell>
          <cell r="D972" t="str">
            <v>MUSTARD RESIDUE</v>
          </cell>
          <cell r="E972" t="str">
            <v>MUSTARD RESIDUE</v>
          </cell>
          <cell r="F972">
            <v>40.9</v>
          </cell>
          <cell r="G972">
            <v>299.71620000000001</v>
          </cell>
          <cell r="H972">
            <v>1976.26</v>
          </cell>
          <cell r="O972">
            <v>40.9</v>
          </cell>
          <cell r="P972">
            <v>299.71600000000001</v>
          </cell>
          <cell r="Q972">
            <v>1976.26</v>
          </cell>
          <cell r="X972">
            <v>40.9</v>
          </cell>
          <cell r="Y972">
            <v>295.59312</v>
          </cell>
          <cell r="Z972">
            <v>1976.26</v>
          </cell>
          <cell r="AA972">
            <v>42.468428571428582</v>
          </cell>
          <cell r="AG972">
            <v>40.9</v>
          </cell>
          <cell r="AH972">
            <v>299.71620000000001</v>
          </cell>
          <cell r="AI972">
            <v>1976.26</v>
          </cell>
          <cell r="AJ972">
            <v>148.55000000000001</v>
          </cell>
          <cell r="AP972">
            <v>40.9</v>
          </cell>
          <cell r="AQ972">
            <v>775.45999999999992</v>
          </cell>
          <cell r="AR972">
            <v>1696.78</v>
          </cell>
          <cell r="AS972">
            <v>166.54285714285714</v>
          </cell>
          <cell r="AY972">
            <v>40.9</v>
          </cell>
          <cell r="AZ972">
            <v>775.46</v>
          </cell>
          <cell r="BA972">
            <v>1696.78</v>
          </cell>
        </row>
        <row r="973">
          <cell r="A973">
            <v>64</v>
          </cell>
          <cell r="B973" t="str">
            <v>IPRM</v>
          </cell>
          <cell r="C973" t="str">
            <v>NM</v>
          </cell>
          <cell r="D973" t="str">
            <v>SMUSTARD RESIDUE</v>
          </cell>
          <cell r="E973" t="str">
            <v>SMUSTARD RESIDUE</v>
          </cell>
          <cell r="G973">
            <v>14.905799999999999</v>
          </cell>
          <cell r="H973">
            <v>498.73</v>
          </cell>
          <cell r="Q973">
            <v>498.73</v>
          </cell>
          <cell r="Z973">
            <v>498.73</v>
          </cell>
          <cell r="AI973">
            <v>498.73</v>
          </cell>
          <cell r="AR973">
            <v>498.73</v>
          </cell>
          <cell r="BA973">
            <v>498.73</v>
          </cell>
        </row>
        <row r="974">
          <cell r="A974">
            <v>65</v>
          </cell>
          <cell r="B974" t="str">
            <v>IPRM</v>
          </cell>
          <cell r="C974" t="str">
            <v>NM</v>
          </cell>
          <cell r="D974" t="str">
            <v>DMUSTARD RESIDUE</v>
          </cell>
          <cell r="E974" t="str">
            <v>DMUSTARD RESIDUE</v>
          </cell>
          <cell r="G974">
            <v>51.043542400000007</v>
          </cell>
          <cell r="AA974">
            <v>12</v>
          </cell>
        </row>
        <row r="975">
          <cell r="A975">
            <v>66</v>
          </cell>
          <cell r="B975" t="str">
            <v>IPRM</v>
          </cell>
          <cell r="C975" t="str">
            <v>NM</v>
          </cell>
          <cell r="D975" t="str">
            <v>CONTAMINATED MUST</v>
          </cell>
          <cell r="E975" t="str">
            <v>CONTAMINATED MUST</v>
          </cell>
          <cell r="G975">
            <v>120</v>
          </cell>
          <cell r="H975">
            <v>40.11</v>
          </cell>
          <cell r="P975">
            <v>120</v>
          </cell>
          <cell r="Y975">
            <v>120</v>
          </cell>
          <cell r="AH975">
            <v>120</v>
          </cell>
          <cell r="AQ975">
            <v>120</v>
          </cell>
          <cell r="AZ975">
            <v>120</v>
          </cell>
        </row>
        <row r="976">
          <cell r="A976">
            <v>67</v>
          </cell>
          <cell r="B976" t="str">
            <v>IPRM</v>
          </cell>
          <cell r="C976" t="str">
            <v>NM</v>
          </cell>
          <cell r="D976" t="str">
            <v>HYD SPFAD</v>
          </cell>
          <cell r="E976" t="str">
            <v>HYD SPFAD</v>
          </cell>
          <cell r="R976">
            <v>304.82400000000001</v>
          </cell>
          <cell r="AA976">
            <v>93.176999999999992</v>
          </cell>
          <cell r="AJ976">
            <v>17.835000000000001</v>
          </cell>
          <cell r="AP976">
            <v>21</v>
          </cell>
          <cell r="AS976">
            <v>165.56100000000001</v>
          </cell>
          <cell r="BB976">
            <v>289.44900000000001</v>
          </cell>
        </row>
        <row r="977">
          <cell r="A977">
            <v>68</v>
          </cell>
          <cell r="B977" t="str">
            <v>IPRM</v>
          </cell>
          <cell r="C977" t="str">
            <v>NM</v>
          </cell>
          <cell r="D977" t="str">
            <v>C16 RICH (FOR SB)</v>
          </cell>
          <cell r="E977" t="str">
            <v>C16 RICH (FOR SB)</v>
          </cell>
          <cell r="AP977">
            <v>318.50918000000001</v>
          </cell>
          <cell r="AY977">
            <v>318.50918000000001</v>
          </cell>
        </row>
        <row r="978">
          <cell r="A978">
            <v>69</v>
          </cell>
          <cell r="B978" t="str">
            <v>IPRM</v>
          </cell>
          <cell r="C978" t="str">
            <v>NM</v>
          </cell>
          <cell r="D978" t="str">
            <v>B/P PFAD (FOR C16/C18)</v>
          </cell>
          <cell r="E978" t="str">
            <v>B/P PFAD (FOR C16/C18)</v>
          </cell>
        </row>
        <row r="979">
          <cell r="A979">
            <v>70</v>
          </cell>
          <cell r="B979" t="str">
            <v>IPRM</v>
          </cell>
          <cell r="C979" t="str">
            <v>NM</v>
          </cell>
          <cell r="D979" t="str">
            <v>DFA C8&gt;90%</v>
          </cell>
          <cell r="E979" t="str">
            <v>DFA C8&gt;90%</v>
          </cell>
        </row>
        <row r="980">
          <cell r="A980">
            <v>71</v>
          </cell>
          <cell r="B980" t="str">
            <v>IPRM</v>
          </cell>
          <cell r="C980" t="str">
            <v>NM</v>
          </cell>
          <cell r="D980" t="str">
            <v>FEED FOR DTP-CT</v>
          </cell>
          <cell r="E980" t="str">
            <v>FEED FOR DTP-CT</v>
          </cell>
          <cell r="O980">
            <v>204.44</v>
          </cell>
          <cell r="AA980">
            <v>148.90049999999997</v>
          </cell>
          <cell r="AE980">
            <v>71.739999999999995</v>
          </cell>
        </row>
        <row r="981">
          <cell r="A981">
            <v>72</v>
          </cell>
          <cell r="B981" t="str">
            <v>IPRM</v>
          </cell>
          <cell r="C981" t="str">
            <v>NM</v>
          </cell>
          <cell r="D981" t="str">
            <v>C16 RICH FROM PFAD</v>
          </cell>
          <cell r="E981" t="str">
            <v>C16 RICH FROM PFAD</v>
          </cell>
          <cell r="F981">
            <v>156.41999999999999</v>
          </cell>
          <cell r="O981">
            <v>254.79</v>
          </cell>
          <cell r="AG981">
            <v>130.12477999999999</v>
          </cell>
        </row>
        <row r="982">
          <cell r="A982">
            <v>73</v>
          </cell>
          <cell r="B982" t="str">
            <v>IPRM</v>
          </cell>
          <cell r="C982" t="str">
            <v>NM</v>
          </cell>
          <cell r="D982" t="str">
            <v>FEED FOR P-12</v>
          </cell>
          <cell r="E982" t="str">
            <v>FEED FOR P-12</v>
          </cell>
          <cell r="G982">
            <v>272.68</v>
          </cell>
          <cell r="O982">
            <v>255.6</v>
          </cell>
          <cell r="P982">
            <v>3.23</v>
          </cell>
          <cell r="X982">
            <v>255.6</v>
          </cell>
          <cell r="AG982">
            <v>136.4</v>
          </cell>
          <cell r="AJ982">
            <v>80.387999999999977</v>
          </cell>
          <cell r="AN982">
            <v>18.739999999999998</v>
          </cell>
        </row>
        <row r="983">
          <cell r="A983">
            <v>74</v>
          </cell>
          <cell r="B983" t="str">
            <v>IPRM</v>
          </cell>
          <cell r="C983" t="str">
            <v>NM</v>
          </cell>
          <cell r="D983" t="str">
            <v>HYD P-12</v>
          </cell>
          <cell r="E983" t="str">
            <v>HYD P-12</v>
          </cell>
          <cell r="AG983">
            <v>7</v>
          </cell>
        </row>
        <row r="984">
          <cell r="A984">
            <v>75</v>
          </cell>
          <cell r="B984" t="str">
            <v>IPRM</v>
          </cell>
          <cell r="C984" t="str">
            <v>NM</v>
          </cell>
          <cell r="D984" t="str">
            <v>D HYD P-12</v>
          </cell>
          <cell r="E984" t="str">
            <v>D HYD P-12</v>
          </cell>
        </row>
        <row r="985">
          <cell r="A985">
            <v>76</v>
          </cell>
          <cell r="B985" t="str">
            <v>IPRM</v>
          </cell>
          <cell r="C985" t="str">
            <v>NM</v>
          </cell>
          <cell r="D985" t="str">
            <v>DFA C16/18  FOR TRANSLUCENT</v>
          </cell>
          <cell r="E985" t="str">
            <v>DFA C16/18  FOR TRANSLUCENT</v>
          </cell>
        </row>
        <row r="986">
          <cell r="A986">
            <v>77</v>
          </cell>
          <cell r="B986" t="str">
            <v>IPRM</v>
          </cell>
          <cell r="C986" t="str">
            <v>NM</v>
          </cell>
          <cell r="D986" t="str">
            <v>GLY RES</v>
          </cell>
          <cell r="E986" t="str">
            <v>GLY RES</v>
          </cell>
          <cell r="F986">
            <v>21</v>
          </cell>
          <cell r="O986">
            <v>2.35</v>
          </cell>
          <cell r="X986">
            <v>35</v>
          </cell>
          <cell r="AG986">
            <v>12.6</v>
          </cell>
          <cell r="AP986">
            <v>4.375</v>
          </cell>
          <cell r="AY986">
            <v>22.75</v>
          </cell>
        </row>
        <row r="987">
          <cell r="A987">
            <v>78</v>
          </cell>
          <cell r="B987" t="str">
            <v>IPRM</v>
          </cell>
          <cell r="C987" t="str">
            <v>NM</v>
          </cell>
          <cell r="D987" t="str">
            <v>D B/P PKO</v>
          </cell>
          <cell r="E987" t="str">
            <v>D B/P PKO</v>
          </cell>
          <cell r="F987">
            <v>188.1</v>
          </cell>
          <cell r="O987">
            <v>14</v>
          </cell>
          <cell r="AS987">
            <v>286.23</v>
          </cell>
        </row>
        <row r="988">
          <cell r="A988">
            <v>79</v>
          </cell>
          <cell r="B988" t="str">
            <v>IPRM</v>
          </cell>
          <cell r="C988" t="str">
            <v>NM</v>
          </cell>
          <cell r="D988" t="str">
            <v>FOR NEEM SOAP</v>
          </cell>
          <cell r="E988" t="str">
            <v>FOR NEEM SOAP</v>
          </cell>
          <cell r="BC988">
            <v>24.492000000000001</v>
          </cell>
        </row>
        <row r="989">
          <cell r="A989">
            <v>239</v>
          </cell>
          <cell r="B989" t="str">
            <v>IPRM</v>
          </cell>
          <cell r="C989" t="str">
            <v>NM</v>
          </cell>
          <cell r="D989" t="str">
            <v>FEED FOR ITC</v>
          </cell>
          <cell r="E989" t="str">
            <v>FEED FOR ITC</v>
          </cell>
        </row>
        <row r="990">
          <cell r="A990">
            <v>240</v>
          </cell>
          <cell r="B990" t="str">
            <v>IPRM</v>
          </cell>
          <cell r="C990" t="str">
            <v>NM</v>
          </cell>
          <cell r="D990" t="str">
            <v>MUSTARD-MCT</v>
          </cell>
          <cell r="E990" t="str">
            <v>MUSTARD-MCT</v>
          </cell>
          <cell r="F990">
            <v>29.8935</v>
          </cell>
          <cell r="G990">
            <v>118.578</v>
          </cell>
          <cell r="O990">
            <v>29.8935</v>
          </cell>
          <cell r="P990">
            <v>118.578</v>
          </cell>
          <cell r="X990">
            <v>29.8935</v>
          </cell>
          <cell r="Y990">
            <v>118.578</v>
          </cell>
          <cell r="AG990">
            <v>29.3825</v>
          </cell>
          <cell r="AH990">
            <v>118.578</v>
          </cell>
          <cell r="AP990">
            <v>29.3825</v>
          </cell>
          <cell r="AQ990">
            <v>97.578000000000003</v>
          </cell>
          <cell r="AY990">
            <v>29.3825</v>
          </cell>
          <cell r="AZ990">
            <v>97.578000000000003</v>
          </cell>
        </row>
        <row r="991">
          <cell r="A991">
            <v>242</v>
          </cell>
          <cell r="B991" t="str">
            <v>IPRM</v>
          </cell>
          <cell r="C991" t="str">
            <v>NM</v>
          </cell>
          <cell r="D991" t="str">
            <v>HYD STEARIC-90</v>
          </cell>
          <cell r="E991" t="str">
            <v>HYD STEARIC-90</v>
          </cell>
        </row>
        <row r="992">
          <cell r="D992" t="str">
            <v>IPRM TOTAL</v>
          </cell>
          <cell r="F992">
            <v>951.33699999999999</v>
          </cell>
          <cell r="G992">
            <v>6281.4063049000015</v>
          </cell>
          <cell r="H992">
            <v>3019.3</v>
          </cell>
          <cell r="I992">
            <v>820.01014285714291</v>
          </cell>
          <cell r="J992">
            <v>28.010999999999999</v>
          </cell>
          <cell r="K992">
            <v>0</v>
          </cell>
          <cell r="L992">
            <v>0</v>
          </cell>
          <cell r="M992">
            <v>35.75</v>
          </cell>
          <cell r="N992">
            <v>0</v>
          </cell>
          <cell r="O992">
            <v>1272.9155679999997</v>
          </cell>
          <cell r="P992">
            <v>6341.6307600000009</v>
          </cell>
          <cell r="Q992">
            <v>2979.19</v>
          </cell>
          <cell r="R992">
            <v>677.89242857142858</v>
          </cell>
          <cell r="S992">
            <v>38.780999999999999</v>
          </cell>
          <cell r="T992">
            <v>0</v>
          </cell>
          <cell r="U992">
            <v>0</v>
          </cell>
          <cell r="V992">
            <v>176.85</v>
          </cell>
          <cell r="W992">
            <v>0</v>
          </cell>
          <cell r="X992">
            <v>874.46900000000005</v>
          </cell>
          <cell r="Y992">
            <v>6860.6462800000018</v>
          </cell>
          <cell r="Z992">
            <v>2979.19</v>
          </cell>
          <cell r="AA992">
            <v>682.42050000000006</v>
          </cell>
          <cell r="AB992">
            <v>24.138999999999999</v>
          </cell>
          <cell r="AC992">
            <v>0</v>
          </cell>
          <cell r="AD992">
            <v>0</v>
          </cell>
          <cell r="AE992">
            <v>71.739999999999995</v>
          </cell>
          <cell r="AF992">
            <v>0</v>
          </cell>
          <cell r="AG992">
            <v>1010.8632799999999</v>
          </cell>
          <cell r="AH992">
            <v>6887.823260000001</v>
          </cell>
          <cell r="AI992">
            <v>2979.19</v>
          </cell>
          <cell r="AJ992">
            <v>1104.691</v>
          </cell>
          <cell r="AK992">
            <v>28.978999999999999</v>
          </cell>
          <cell r="AL992">
            <v>0</v>
          </cell>
          <cell r="AM992">
            <v>0</v>
          </cell>
          <cell r="AN992">
            <v>43.349999999999994</v>
          </cell>
          <cell r="AO992">
            <v>0</v>
          </cell>
          <cell r="AP992">
            <v>1221.4266799999998</v>
          </cell>
          <cell r="AQ992">
            <v>7124.1817600000013</v>
          </cell>
          <cell r="AR992">
            <v>2236.48</v>
          </cell>
          <cell r="AS992">
            <v>1357.8885714285714</v>
          </cell>
          <cell r="AT992">
            <v>0</v>
          </cell>
          <cell r="AU992">
            <v>0</v>
          </cell>
          <cell r="AV992">
            <v>0</v>
          </cell>
          <cell r="AW992">
            <v>71.03</v>
          </cell>
          <cell r="AX992">
            <v>0</v>
          </cell>
          <cell r="AY992">
            <v>1456.61068</v>
          </cell>
          <cell r="AZ992">
            <v>7174.2027600000001</v>
          </cell>
          <cell r="BA992">
            <v>2236.48</v>
          </cell>
          <cell r="BB992">
            <v>1345.1225714285715</v>
          </cell>
          <cell r="BC992">
            <v>51.536000000000001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</row>
        <row r="993">
          <cell r="A993" t="str">
            <v>FATTY ACID FINISHED PRODUCTS</v>
          </cell>
        </row>
        <row r="994">
          <cell r="A994">
            <v>80</v>
          </cell>
          <cell r="B994" t="str">
            <v>FG</v>
          </cell>
          <cell r="C994" t="str">
            <v>FM</v>
          </cell>
          <cell r="D994" t="str">
            <v>CPKO/MUSTO/MIX II RESIDUE</v>
          </cell>
          <cell r="E994" t="str">
            <v>PITCH</v>
          </cell>
          <cell r="F994">
            <v>175.3605</v>
          </cell>
          <cell r="I994">
            <v>89.516785714285717</v>
          </cell>
          <cell r="O994">
            <v>59.332500000000003</v>
          </cell>
          <cell r="R994">
            <v>2.4981428571428337</v>
          </cell>
        </row>
        <row r="995">
          <cell r="A995">
            <v>81</v>
          </cell>
          <cell r="B995" t="str">
            <v>FG</v>
          </cell>
          <cell r="C995" t="str">
            <v>FM</v>
          </cell>
          <cell r="D995" t="str">
            <v>JBS(80:20)</v>
          </cell>
          <cell r="E995" t="str">
            <v>JBS(80:20)</v>
          </cell>
          <cell r="R995">
            <v>108.70650000000001</v>
          </cell>
          <cell r="AA995">
            <v>285.03200000000004</v>
          </cell>
        </row>
        <row r="996">
          <cell r="A996">
            <v>82</v>
          </cell>
          <cell r="B996" t="str">
            <v>FG</v>
          </cell>
          <cell r="C996" t="str">
            <v>FM</v>
          </cell>
          <cell r="D996" t="str">
            <v>TRANSLUCENT</v>
          </cell>
          <cell r="E996" t="str">
            <v>TRANSLUCENT</v>
          </cell>
        </row>
        <row r="997">
          <cell r="A997">
            <v>83</v>
          </cell>
          <cell r="B997" t="str">
            <v>FG</v>
          </cell>
          <cell r="C997" t="str">
            <v>FM</v>
          </cell>
          <cell r="D997" t="str">
            <v>D.S.B</v>
          </cell>
          <cell r="E997" t="str">
            <v>DPFAD 70% + SDD PKO RES 30%</v>
          </cell>
          <cell r="P997">
            <v>45.988199999999999</v>
          </cell>
          <cell r="R997">
            <v>396.459</v>
          </cell>
          <cell r="AA997">
            <v>191.83500000000001</v>
          </cell>
        </row>
        <row r="998">
          <cell r="A998">
            <v>84</v>
          </cell>
          <cell r="B998" t="str">
            <v>FG</v>
          </cell>
          <cell r="C998" t="str">
            <v>FM</v>
          </cell>
          <cell r="D998" t="str">
            <v>JO BLEND</v>
          </cell>
          <cell r="E998" t="str">
            <v>JO BLEND</v>
          </cell>
        </row>
        <row r="999">
          <cell r="A999">
            <v>85</v>
          </cell>
          <cell r="B999" t="str">
            <v>FG</v>
          </cell>
          <cell r="C999" t="str">
            <v>FM</v>
          </cell>
          <cell r="D999" t="str">
            <v>ITC</v>
          </cell>
          <cell r="E999" t="str">
            <v>DPFAD 70% + DCPS 30%</v>
          </cell>
        </row>
        <row r="1000">
          <cell r="A1000">
            <v>86</v>
          </cell>
          <cell r="B1000" t="str">
            <v>FG</v>
          </cell>
          <cell r="C1000" t="str">
            <v>FM</v>
          </cell>
          <cell r="D1000" t="str">
            <v>DDPKORESIDUEFA</v>
          </cell>
          <cell r="E1000" t="str">
            <v>S DD PKO RES</v>
          </cell>
        </row>
        <row r="1001">
          <cell r="A1001">
            <v>87</v>
          </cell>
          <cell r="B1001" t="str">
            <v>FG</v>
          </cell>
          <cell r="C1001" t="str">
            <v>FM</v>
          </cell>
          <cell r="D1001" t="str">
            <v>DRBDPS FOR P-12</v>
          </cell>
          <cell r="E1001" t="str">
            <v>DRBDPS/CPS 65%+B/P PKO 35%</v>
          </cell>
        </row>
        <row r="1002">
          <cell r="A1002">
            <v>258</v>
          </cell>
          <cell r="B1002" t="str">
            <v>FG</v>
          </cell>
          <cell r="C1002" t="str">
            <v>FM</v>
          </cell>
          <cell r="D1002" t="str">
            <v>DRBDPS</v>
          </cell>
          <cell r="E1002" t="str">
            <v>DRBDPS</v>
          </cell>
          <cell r="I1002">
            <v>66.242500000000007</v>
          </cell>
          <cell r="R1002">
            <v>340.2</v>
          </cell>
          <cell r="AA1002">
            <v>247.49100000000001</v>
          </cell>
          <cell r="AJ1002">
            <v>183.5</v>
          </cell>
          <cell r="AS1002">
            <v>519.9</v>
          </cell>
          <cell r="BB1002">
            <v>634.29999999999995</v>
          </cell>
        </row>
        <row r="1003">
          <cell r="A1003">
            <v>88</v>
          </cell>
          <cell r="B1003" t="str">
            <v>FG</v>
          </cell>
          <cell r="C1003" t="str">
            <v>FM</v>
          </cell>
          <cell r="D1003" t="str">
            <v>DPKO</v>
          </cell>
          <cell r="E1003" t="str">
            <v>D C12-C18</v>
          </cell>
          <cell r="I1003">
            <v>328.03784999999999</v>
          </cell>
          <cell r="J1003">
            <v>260.53500000000003</v>
          </cell>
          <cell r="R1003">
            <v>131.54399999999998</v>
          </cell>
          <cell r="S1003">
            <v>204.23099999999999</v>
          </cell>
          <cell r="AB1003">
            <v>216.19200000000001</v>
          </cell>
          <cell r="AJ1003">
            <v>369.05399999999997</v>
          </cell>
          <cell r="AK1003">
            <v>289.09399999999999</v>
          </cell>
          <cell r="AW1003">
            <v>25.83</v>
          </cell>
          <cell r="BB1003">
            <v>222.89399999999998</v>
          </cell>
          <cell r="BC1003">
            <v>131.81399999999999</v>
          </cell>
          <cell r="BF1003">
            <v>59.18</v>
          </cell>
        </row>
        <row r="1004">
          <cell r="A1004">
            <v>89</v>
          </cell>
          <cell r="B1004" t="str">
            <v>FG</v>
          </cell>
          <cell r="C1004" t="str">
            <v>FM</v>
          </cell>
          <cell r="D1004" t="str">
            <v>DPFAD</v>
          </cell>
          <cell r="E1004" t="str">
            <v>DPFAD</v>
          </cell>
        </row>
        <row r="1005">
          <cell r="A1005">
            <v>90</v>
          </cell>
          <cell r="B1005" t="str">
            <v>FG</v>
          </cell>
          <cell r="C1005" t="str">
            <v>NM</v>
          </cell>
          <cell r="D1005" t="str">
            <v>C6&gt;98%</v>
          </cell>
          <cell r="E1005" t="str">
            <v>C6&gt;98%</v>
          </cell>
          <cell r="F1005">
            <v>21.901999999999997</v>
          </cell>
          <cell r="O1005">
            <v>22.546999999999997</v>
          </cell>
          <cell r="X1005">
            <v>39.962000000000003</v>
          </cell>
          <cell r="AG1005">
            <v>39.962000000000003</v>
          </cell>
          <cell r="AP1005">
            <v>39.962000000000003</v>
          </cell>
          <cell r="AY1005">
            <v>50.282000000000004</v>
          </cell>
        </row>
        <row r="1006">
          <cell r="A1006">
            <v>91</v>
          </cell>
          <cell r="B1006" t="str">
            <v>FG</v>
          </cell>
          <cell r="C1006" t="str">
            <v>FM</v>
          </cell>
          <cell r="D1006" t="str">
            <v>C8&gt;98%</v>
          </cell>
          <cell r="E1006" t="str">
            <v>C8&gt;98%</v>
          </cell>
          <cell r="F1006">
            <v>64.844999999999999</v>
          </cell>
          <cell r="O1006">
            <v>49.994999999999997</v>
          </cell>
          <cell r="X1006">
            <v>128.20500000000001</v>
          </cell>
          <cell r="AG1006">
            <v>114.345</v>
          </cell>
          <cell r="AP1006">
            <v>61.875</v>
          </cell>
          <cell r="AY1006">
            <v>117.81</v>
          </cell>
        </row>
        <row r="1007">
          <cell r="A1007">
            <v>92</v>
          </cell>
          <cell r="B1007" t="str">
            <v>FG</v>
          </cell>
          <cell r="C1007" t="str">
            <v>FM</v>
          </cell>
          <cell r="D1007" t="str">
            <v>C10&gt;98%</v>
          </cell>
          <cell r="E1007" t="str">
            <v>C10&gt;98%</v>
          </cell>
          <cell r="F1007">
            <v>93.06</v>
          </cell>
          <cell r="O1007">
            <v>93.06</v>
          </cell>
          <cell r="X1007">
            <v>160.38</v>
          </cell>
          <cell r="AG1007">
            <v>60.39</v>
          </cell>
          <cell r="AP1007">
            <v>83.655000000000001</v>
          </cell>
          <cell r="AY1007">
            <v>83.655000000000001</v>
          </cell>
        </row>
        <row r="1008">
          <cell r="A1008">
            <v>93</v>
          </cell>
          <cell r="B1008" t="str">
            <v>FG</v>
          </cell>
          <cell r="C1008" t="str">
            <v>FM</v>
          </cell>
          <cell r="D1008" t="str">
            <v>C8+C10&gt;98%</v>
          </cell>
          <cell r="E1008" t="str">
            <v>C8+C10&gt;98%</v>
          </cell>
          <cell r="F1008">
            <v>126.35814999999999</v>
          </cell>
          <cell r="G1008">
            <v>52.53</v>
          </cell>
          <cell r="O1008">
            <v>74.952399999999997</v>
          </cell>
          <cell r="P1008">
            <v>52.53</v>
          </cell>
          <cell r="X1008">
            <v>125.36320000000001</v>
          </cell>
          <cell r="Y1008">
            <v>52.53</v>
          </cell>
          <cell r="AG1008">
            <v>107.4541</v>
          </cell>
          <cell r="AH1008">
            <v>52.53</v>
          </cell>
          <cell r="AP1008">
            <v>104.13759999999999</v>
          </cell>
          <cell r="AQ1008">
            <v>41.48</v>
          </cell>
          <cell r="AY1008">
            <v>163.15299999999999</v>
          </cell>
        </row>
        <row r="1009">
          <cell r="A1009">
            <v>94</v>
          </cell>
          <cell r="B1009" t="str">
            <v>FG</v>
          </cell>
          <cell r="C1009" t="str">
            <v>FM</v>
          </cell>
          <cell r="D1009" t="str">
            <v>C12&gt;99%</v>
          </cell>
          <cell r="E1009" t="str">
            <v>C12&gt;99%</v>
          </cell>
          <cell r="I1009">
            <v>228.62357142857147</v>
          </cell>
          <cell r="R1009">
            <v>209.23500000000001</v>
          </cell>
          <cell r="AA1009">
            <v>156.32035714285715</v>
          </cell>
          <cell r="AJ1009">
            <v>129.25714285714287</v>
          </cell>
          <cell r="AS1009">
            <v>129.25714285714287</v>
          </cell>
          <cell r="BB1009">
            <v>129.25714285714287</v>
          </cell>
        </row>
        <row r="1010">
          <cell r="A1010">
            <v>95</v>
          </cell>
          <cell r="B1010" t="str">
            <v>FG</v>
          </cell>
          <cell r="C1010" t="str">
            <v>FM</v>
          </cell>
          <cell r="D1010" t="str">
            <v>C14&gt;99%</v>
          </cell>
          <cell r="E1010" t="str">
            <v>C14&gt;99%</v>
          </cell>
        </row>
        <row r="1011">
          <cell r="A1011">
            <v>96</v>
          </cell>
          <cell r="B1011" t="str">
            <v>FG</v>
          </cell>
          <cell r="C1011" t="str">
            <v>FM</v>
          </cell>
          <cell r="D1011" t="str">
            <v>C12+14&gt;99</v>
          </cell>
          <cell r="E1011" t="str">
            <v>C12-C14</v>
          </cell>
          <cell r="I1011">
            <v>1261.3</v>
          </cell>
          <cell r="R1011">
            <v>1095.4000000000001</v>
          </cell>
          <cell r="AA1011">
            <v>38.628000000000021</v>
          </cell>
          <cell r="AJ1011">
            <v>36.78857142857143</v>
          </cell>
          <cell r="AS1011">
            <v>1453.2</v>
          </cell>
          <cell r="BB1011">
            <v>1900.8</v>
          </cell>
        </row>
        <row r="1012">
          <cell r="A1012">
            <v>248</v>
          </cell>
          <cell r="B1012" t="str">
            <v>FG</v>
          </cell>
          <cell r="C1012" t="str">
            <v>FM</v>
          </cell>
          <cell r="D1012" t="str">
            <v>C12+14&gt;99 (IMP)</v>
          </cell>
          <cell r="E1012" t="str">
            <v>C12-C14 (IMP)</v>
          </cell>
        </row>
        <row r="1013">
          <cell r="A1013">
            <v>97</v>
          </cell>
          <cell r="B1013" t="str">
            <v>FG</v>
          </cell>
          <cell r="C1013" t="str">
            <v>FM</v>
          </cell>
          <cell r="D1013" t="str">
            <v>C12+C14+C16&gt;99</v>
          </cell>
          <cell r="E1013" t="str">
            <v>C12-C16</v>
          </cell>
          <cell r="I1013">
            <v>583.72649999999999</v>
          </cell>
          <cell r="R1013">
            <v>583.72649999999999</v>
          </cell>
          <cell r="AA1013">
            <v>489.63600000000008</v>
          </cell>
          <cell r="AJ1013">
            <v>1.8270000000000259</v>
          </cell>
        </row>
        <row r="1014">
          <cell r="A1014">
            <v>98</v>
          </cell>
          <cell r="B1014" t="str">
            <v>FG</v>
          </cell>
          <cell r="C1014" t="str">
            <v>FM</v>
          </cell>
          <cell r="D1014" t="str">
            <v>C16&gt;90%</v>
          </cell>
          <cell r="E1014" t="str">
            <v>C16&gt;90%</v>
          </cell>
        </row>
        <row r="1015">
          <cell r="A1015">
            <v>99</v>
          </cell>
          <cell r="B1015" t="str">
            <v>FG</v>
          </cell>
          <cell r="C1015" t="str">
            <v>FM</v>
          </cell>
          <cell r="D1015" t="str">
            <v>C16&gt;99%</v>
          </cell>
          <cell r="E1015" t="str">
            <v>C16&gt;99%</v>
          </cell>
          <cell r="I1015">
            <v>164.43</v>
          </cell>
          <cell r="R1015">
            <v>42.020999999999951</v>
          </cell>
          <cell r="AA1015">
            <v>194.57549999999998</v>
          </cell>
          <cell r="AE1015">
            <v>79.84</v>
          </cell>
          <cell r="AJ1015">
            <v>383.67</v>
          </cell>
          <cell r="AS1015">
            <v>588.29399999999998</v>
          </cell>
          <cell r="AW1015">
            <v>198.79</v>
          </cell>
          <cell r="BB1015">
            <v>607.39400000000001</v>
          </cell>
        </row>
        <row r="1016">
          <cell r="A1016">
            <v>100</v>
          </cell>
          <cell r="B1016" t="str">
            <v>FG</v>
          </cell>
          <cell r="C1016" t="str">
            <v>FM</v>
          </cell>
          <cell r="D1016" t="str">
            <v>DFA C16/C18</v>
          </cell>
          <cell r="E1016" t="str">
            <v>DFA C16/C18</v>
          </cell>
          <cell r="H1016">
            <v>22.812000000000126</v>
          </cell>
          <cell r="M1016">
            <v>120.63</v>
          </cell>
        </row>
        <row r="1017">
          <cell r="A1017">
            <v>101</v>
          </cell>
          <cell r="B1017" t="str">
            <v>FG</v>
          </cell>
          <cell r="C1017" t="str">
            <v>FM</v>
          </cell>
          <cell r="D1017" t="str">
            <v>C18&gt;95%</v>
          </cell>
          <cell r="E1017" t="str">
            <v>C18&gt;95%</v>
          </cell>
          <cell r="H1017">
            <v>1619.68</v>
          </cell>
          <cell r="I1017">
            <v>36.366</v>
          </cell>
          <cell r="Q1017">
            <v>1619.68</v>
          </cell>
          <cell r="R1017">
            <v>11.31</v>
          </cell>
          <cell r="Z1017">
            <v>1589.58</v>
          </cell>
          <cell r="AE1017">
            <v>15</v>
          </cell>
          <cell r="AI1017">
            <v>1374.29</v>
          </cell>
          <cell r="AN1017">
            <v>22.07</v>
          </cell>
          <cell r="AR1017">
            <v>995.8</v>
          </cell>
          <cell r="AS1017">
            <v>149.20500000000001</v>
          </cell>
          <cell r="BA1017">
            <v>235.66</v>
          </cell>
          <cell r="BB1017">
            <v>14.616</v>
          </cell>
        </row>
        <row r="1018">
          <cell r="A1018">
            <v>102</v>
          </cell>
          <cell r="B1018" t="str">
            <v>FG</v>
          </cell>
          <cell r="C1018" t="str">
            <v>FM</v>
          </cell>
          <cell r="D1018" t="str">
            <v>OLEIC-K</v>
          </cell>
          <cell r="E1018" t="str">
            <v>OLEIC-K</v>
          </cell>
          <cell r="F1018">
            <v>129.47</v>
          </cell>
          <cell r="O1018">
            <v>250.38</v>
          </cell>
          <cell r="X1018">
            <v>162.63999999999999</v>
          </cell>
          <cell r="AG1018">
            <v>237.54</v>
          </cell>
          <cell r="AP1018">
            <v>167.99</v>
          </cell>
          <cell r="AS1018">
            <v>126.06299999999997</v>
          </cell>
          <cell r="AY1018">
            <v>90.95</v>
          </cell>
        </row>
        <row r="1019">
          <cell r="A1019">
            <v>103</v>
          </cell>
          <cell r="B1019" t="str">
            <v>FG</v>
          </cell>
          <cell r="C1019" t="str">
            <v>FM</v>
          </cell>
          <cell r="D1019" t="str">
            <v>C16+C18(30:70)TA</v>
          </cell>
          <cell r="E1019" t="str">
            <v>C16-C18</v>
          </cell>
          <cell r="BF1019">
            <v>162.41999999999999</v>
          </cell>
        </row>
        <row r="1020">
          <cell r="A1020">
            <v>104</v>
          </cell>
          <cell r="B1020" t="str">
            <v>FG</v>
          </cell>
          <cell r="C1020" t="str">
            <v>FM</v>
          </cell>
          <cell r="D1020" t="str">
            <v>HYD.RBDPS-G3</v>
          </cell>
          <cell r="E1020" t="str">
            <v>HYD.RBDPS</v>
          </cell>
          <cell r="I1020">
            <v>0.3</v>
          </cell>
          <cell r="AJ1020">
            <v>41.585999999999999</v>
          </cell>
          <cell r="AS1020">
            <v>66.989999999999995</v>
          </cell>
          <cell r="BB1020">
            <v>50.285999999999994</v>
          </cell>
        </row>
        <row r="1021">
          <cell r="A1021">
            <v>105</v>
          </cell>
          <cell r="B1021" t="str">
            <v>FG</v>
          </cell>
          <cell r="C1021" t="str">
            <v>SM</v>
          </cell>
          <cell r="D1021" t="str">
            <v>L/E MUSTARD C1820</v>
          </cell>
          <cell r="E1021" t="str">
            <v>DFA C18C20 MFA</v>
          </cell>
          <cell r="I1021">
            <v>187.01892857142857</v>
          </cell>
          <cell r="R1021">
            <v>176.11285714285717</v>
          </cell>
          <cell r="AA1021">
            <v>282.71199999999999</v>
          </cell>
          <cell r="AJ1021">
            <v>607.5</v>
          </cell>
          <cell r="AS1021">
            <v>735.3</v>
          </cell>
          <cell r="BA1021">
            <v>635.91</v>
          </cell>
          <cell r="BB1021">
            <v>691.1</v>
          </cell>
        </row>
        <row r="1022">
          <cell r="A1022">
            <v>106</v>
          </cell>
          <cell r="B1022" t="str">
            <v>FG</v>
          </cell>
          <cell r="C1022" t="str">
            <v>SM</v>
          </cell>
          <cell r="D1022" t="str">
            <v>L/E MUSTARD UPTO C18 (OLEIC 15)</v>
          </cell>
          <cell r="E1022" t="str">
            <v>DFA C18 PURE MFA (OLEIC 15)</v>
          </cell>
        </row>
        <row r="1023">
          <cell r="A1023">
            <v>107</v>
          </cell>
          <cell r="B1023" t="str">
            <v>FG</v>
          </cell>
          <cell r="C1023" t="str">
            <v>SM</v>
          </cell>
          <cell r="D1023" t="str">
            <v>DC20+22&gt;98%</v>
          </cell>
          <cell r="E1023" t="str">
            <v>C20-C22</v>
          </cell>
          <cell r="I1023">
            <v>285.58619999999996</v>
          </cell>
          <cell r="R1023">
            <v>288.34000000000003</v>
          </cell>
          <cell r="AA1023">
            <v>285.58619999999996</v>
          </cell>
          <cell r="AJ1023">
            <v>285.58619999999996</v>
          </cell>
          <cell r="AS1023">
            <v>285.58619999999996</v>
          </cell>
          <cell r="BB1023">
            <v>285.58619999999996</v>
          </cell>
        </row>
        <row r="1024">
          <cell r="A1024">
            <v>108</v>
          </cell>
          <cell r="B1024" t="str">
            <v>FG</v>
          </cell>
          <cell r="C1024" t="str">
            <v>FM</v>
          </cell>
          <cell r="D1024" t="str">
            <v>DC22:1&gt;90%</v>
          </cell>
          <cell r="E1024" t="str">
            <v>ERUCIC</v>
          </cell>
          <cell r="I1024">
            <v>344.8</v>
          </cell>
          <cell r="R1024">
            <v>344.8</v>
          </cell>
          <cell r="AA1024">
            <v>264.2</v>
          </cell>
          <cell r="AJ1024">
            <v>278.89999999999998</v>
          </cell>
          <cell r="AS1024">
            <v>186.09300000000002</v>
          </cell>
          <cell r="BB1024">
            <v>186.09300000000002</v>
          </cell>
        </row>
        <row r="1025">
          <cell r="A1025">
            <v>109</v>
          </cell>
          <cell r="B1025" t="str">
            <v>FG</v>
          </cell>
          <cell r="C1025" t="str">
            <v>FM</v>
          </cell>
          <cell r="D1025" t="str">
            <v>D C18/C22 - R</v>
          </cell>
          <cell r="E1025" t="str">
            <v>D C18/C22 - R</v>
          </cell>
          <cell r="G1025">
            <v>1242.5911999999998</v>
          </cell>
          <cell r="P1025">
            <v>1242.5911999999998</v>
          </cell>
          <cell r="Y1025">
            <v>1248.0164</v>
          </cell>
          <cell r="AH1025">
            <v>1193.7643999999998</v>
          </cell>
          <cell r="AQ1025">
            <v>1068.7643999999998</v>
          </cell>
          <cell r="AZ1025">
            <v>1068.7643999999998</v>
          </cell>
        </row>
        <row r="1026">
          <cell r="A1026">
            <v>110</v>
          </cell>
          <cell r="B1026" t="str">
            <v>FG</v>
          </cell>
          <cell r="C1026" t="str">
            <v>FM</v>
          </cell>
          <cell r="D1026" t="str">
            <v>BEHENIC-90</v>
          </cell>
          <cell r="E1026" t="str">
            <v>BEHENIC-90</v>
          </cell>
        </row>
        <row r="1027">
          <cell r="A1027">
            <v>111</v>
          </cell>
          <cell r="B1027" t="str">
            <v>FG</v>
          </cell>
          <cell r="C1027" t="str">
            <v>FM</v>
          </cell>
          <cell r="D1027" t="str">
            <v>BEHENIC-75</v>
          </cell>
          <cell r="E1027" t="str">
            <v>BEHENIC-75</v>
          </cell>
        </row>
        <row r="1028">
          <cell r="A1028">
            <v>112</v>
          </cell>
          <cell r="B1028" t="str">
            <v>FG</v>
          </cell>
          <cell r="C1028" t="str">
            <v>FM</v>
          </cell>
          <cell r="D1028" t="str">
            <v>BEHENIC-85</v>
          </cell>
          <cell r="E1028" t="str">
            <v>BEHENIC-85</v>
          </cell>
        </row>
        <row r="1029">
          <cell r="A1029">
            <v>113</v>
          </cell>
          <cell r="B1029" t="str">
            <v>FG</v>
          </cell>
          <cell r="C1029" t="str">
            <v>FM</v>
          </cell>
          <cell r="D1029" t="str">
            <v>UTSR</v>
          </cell>
          <cell r="E1029" t="str">
            <v>UTSR</v>
          </cell>
          <cell r="F1029">
            <v>41.085000000000001</v>
          </cell>
          <cell r="X1029">
            <v>97.61999999999999</v>
          </cell>
          <cell r="AG1029">
            <v>57.28</v>
          </cell>
          <cell r="AP1029">
            <v>67.965000000000003</v>
          </cell>
          <cell r="AY1029">
            <v>328.82000000000005</v>
          </cell>
        </row>
        <row r="1030">
          <cell r="A1030">
            <v>114</v>
          </cell>
          <cell r="B1030" t="str">
            <v>FG</v>
          </cell>
          <cell r="C1030" t="str">
            <v>FM</v>
          </cell>
          <cell r="D1030" t="str">
            <v>P-12</v>
          </cell>
          <cell r="E1030" t="str">
            <v>P-12</v>
          </cell>
          <cell r="AS1030">
            <v>0.87</v>
          </cell>
        </row>
        <row r="1031">
          <cell r="A1031">
            <v>115</v>
          </cell>
          <cell r="B1031" t="str">
            <v>FG</v>
          </cell>
          <cell r="C1031" t="str">
            <v>FM</v>
          </cell>
          <cell r="D1031" t="str">
            <v>DTP-7</v>
          </cell>
          <cell r="E1031" t="str">
            <v>DTP-7</v>
          </cell>
          <cell r="AA1031">
            <v>133.97999999999999</v>
          </cell>
          <cell r="AJ1031">
            <v>17.922000000000001</v>
          </cell>
          <cell r="AS1031">
            <v>15.66</v>
          </cell>
        </row>
        <row r="1032">
          <cell r="A1032">
            <v>116</v>
          </cell>
          <cell r="B1032" t="str">
            <v>FG</v>
          </cell>
          <cell r="C1032" t="str">
            <v>FM</v>
          </cell>
          <cell r="D1032" t="str">
            <v>DTP-CT</v>
          </cell>
          <cell r="E1032" t="str">
            <v>DTP-CT</v>
          </cell>
        </row>
        <row r="1033">
          <cell r="A1033">
            <v>117</v>
          </cell>
          <cell r="B1033" t="str">
            <v>FG</v>
          </cell>
          <cell r="C1033" t="str">
            <v>FM</v>
          </cell>
          <cell r="D1033" t="str">
            <v>REFINED GLYCERINE-CP</v>
          </cell>
          <cell r="E1033" t="str">
            <v>REFINED GLYCERINE-CP</v>
          </cell>
          <cell r="F1033">
            <v>18.8</v>
          </cell>
          <cell r="J1033">
            <v>83.37</v>
          </cell>
          <cell r="O1033">
            <v>21</v>
          </cell>
          <cell r="S1033">
            <v>76.343000000000004</v>
          </cell>
          <cell r="X1033">
            <v>37</v>
          </cell>
          <cell r="Z1033">
            <v>0.34</v>
          </cell>
          <cell r="AB1033">
            <v>62.512</v>
          </cell>
          <cell r="AG1033">
            <v>12.925000000000001</v>
          </cell>
          <cell r="AK1033">
            <v>98.831999999999994</v>
          </cell>
          <cell r="AP1033">
            <v>1.88</v>
          </cell>
          <cell r="AT1033">
            <v>110.744</v>
          </cell>
          <cell r="AY1033">
            <v>11.75</v>
          </cell>
          <cell r="BC1033">
            <v>110.744</v>
          </cell>
        </row>
        <row r="1034">
          <cell r="A1034">
            <v>118</v>
          </cell>
          <cell r="B1034" t="str">
            <v>FG</v>
          </cell>
          <cell r="C1034" t="str">
            <v>FM</v>
          </cell>
          <cell r="D1034" t="str">
            <v>REFINED GLYCERINE-IP</v>
          </cell>
          <cell r="E1034" t="str">
            <v>REFINED GLYCERINE-IP</v>
          </cell>
          <cell r="J1034">
            <v>28.314</v>
          </cell>
          <cell r="S1034">
            <v>66.977999999999994</v>
          </cell>
          <cell r="AB1034">
            <v>146.261</v>
          </cell>
          <cell r="AK1034">
            <v>116.297</v>
          </cell>
          <cell r="AT1034">
            <v>96.488</v>
          </cell>
          <cell r="BC1034">
            <v>197.16900000000001</v>
          </cell>
        </row>
        <row r="1035">
          <cell r="A1035">
            <v>119</v>
          </cell>
          <cell r="B1035" t="str">
            <v>FG</v>
          </cell>
          <cell r="C1035" t="str">
            <v>FM</v>
          </cell>
          <cell r="D1035" t="str">
            <v>REFINED GLYCERINE-USP</v>
          </cell>
          <cell r="E1035" t="str">
            <v>REFINED GLYCERINE-USP</v>
          </cell>
          <cell r="F1035">
            <v>19.25</v>
          </cell>
          <cell r="O1035">
            <v>39.97</v>
          </cell>
          <cell r="X1035">
            <v>34.066000000000003</v>
          </cell>
          <cell r="AG1035">
            <v>58.91</v>
          </cell>
          <cell r="AP1035">
            <v>160.80000000000001</v>
          </cell>
          <cell r="AY1035">
            <v>148.24</v>
          </cell>
        </row>
        <row r="1036">
          <cell r="A1036">
            <v>120</v>
          </cell>
          <cell r="B1036" t="str">
            <v>FG</v>
          </cell>
          <cell r="C1036" t="str">
            <v>FM</v>
          </cell>
          <cell r="D1036" t="str">
            <v>REFINED GLYCERINE-JP</v>
          </cell>
          <cell r="E1036" t="str">
            <v>REFINED GLYCERINE-JP</v>
          </cell>
          <cell r="F1036">
            <v>17</v>
          </cell>
          <cell r="O1036">
            <v>6</v>
          </cell>
          <cell r="X1036">
            <v>6</v>
          </cell>
          <cell r="AG1036">
            <v>6</v>
          </cell>
          <cell r="AP1036">
            <v>6</v>
          </cell>
          <cell r="AY1036">
            <v>6</v>
          </cell>
        </row>
        <row r="1037">
          <cell r="A1037">
            <v>238</v>
          </cell>
          <cell r="B1037" t="str">
            <v>FG</v>
          </cell>
          <cell r="C1037" t="str">
            <v>FM</v>
          </cell>
          <cell r="D1037" t="str">
            <v>DFA C18/C22 C22:1</v>
          </cell>
          <cell r="E1037" t="str">
            <v>DFA C18/C22 C22:1</v>
          </cell>
        </row>
        <row r="1038">
          <cell r="A1038">
            <v>243</v>
          </cell>
          <cell r="B1038" t="str">
            <v>FG</v>
          </cell>
          <cell r="C1038" t="str">
            <v>FM</v>
          </cell>
          <cell r="D1038" t="str">
            <v>STEARIC-90</v>
          </cell>
          <cell r="E1038" t="str">
            <v>STEARIC-90</v>
          </cell>
          <cell r="F1038">
            <v>79.599999999999994</v>
          </cell>
        </row>
        <row r="1039">
          <cell r="A1039">
            <v>245</v>
          </cell>
          <cell r="B1039" t="str">
            <v>FG</v>
          </cell>
          <cell r="C1039" t="str">
            <v>FM</v>
          </cell>
          <cell r="D1039" t="str">
            <v>HPS</v>
          </cell>
          <cell r="E1039" t="str">
            <v>HPS</v>
          </cell>
        </row>
        <row r="1040">
          <cell r="A1040">
            <v>249</v>
          </cell>
          <cell r="B1040" t="str">
            <v>FG</v>
          </cell>
          <cell r="C1040" t="str">
            <v>FM</v>
          </cell>
          <cell r="D1040" t="str">
            <v>OLEIC - IG</v>
          </cell>
          <cell r="E1040" t="str">
            <v>OLEIC - IG</v>
          </cell>
        </row>
        <row r="1041">
          <cell r="F1041">
            <v>786.73064999999997</v>
          </cell>
          <cell r="G1041">
            <v>1295.1211999999998</v>
          </cell>
          <cell r="H1041">
            <v>1642.4920000000002</v>
          </cell>
          <cell r="I1041">
            <v>3575.9483357142863</v>
          </cell>
          <cell r="J1041">
            <v>372.21900000000005</v>
          </cell>
          <cell r="K1041">
            <v>0</v>
          </cell>
          <cell r="L1041">
            <v>0</v>
          </cell>
          <cell r="M1041">
            <v>120.63</v>
          </cell>
          <cell r="N1041">
            <v>0</v>
          </cell>
          <cell r="O1041">
            <v>617.23690000000011</v>
          </cell>
          <cell r="P1041">
            <v>1341.1093999999998</v>
          </cell>
          <cell r="Q1041">
            <v>1619.68</v>
          </cell>
          <cell r="R1041">
            <v>3730.3529999999996</v>
          </cell>
          <cell r="S1041">
            <v>347.55200000000002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791.23620000000005</v>
          </cell>
          <cell r="Y1041">
            <v>1300.5463999999999</v>
          </cell>
          <cell r="Z1041">
            <v>1589.9199999999998</v>
          </cell>
          <cell r="AA1041">
            <v>2569.9960571428569</v>
          </cell>
          <cell r="AB1041">
            <v>424.96500000000003</v>
          </cell>
          <cell r="AC1041">
            <v>0</v>
          </cell>
          <cell r="AD1041">
            <v>0</v>
          </cell>
          <cell r="AE1041">
            <v>94.84</v>
          </cell>
          <cell r="AF1041">
            <v>0</v>
          </cell>
          <cell r="AG1041">
            <v>694.8060999999999</v>
          </cell>
          <cell r="AH1041">
            <v>1246.2943999999998</v>
          </cell>
          <cell r="AI1041">
            <v>1374.29</v>
          </cell>
          <cell r="AJ1041">
            <v>2335.5909142857145</v>
          </cell>
          <cell r="AK1041">
            <v>504.22299999999996</v>
          </cell>
          <cell r="AL1041">
            <v>0</v>
          </cell>
          <cell r="AM1041">
            <v>0</v>
          </cell>
          <cell r="AN1041">
            <v>22.07</v>
          </cell>
          <cell r="AO1041">
            <v>0</v>
          </cell>
          <cell r="AP1041">
            <v>694.26459999999997</v>
          </cell>
          <cell r="AQ1041">
            <v>1110.2443999999998</v>
          </cell>
          <cell r="AR1041">
            <v>995.8</v>
          </cell>
          <cell r="AS1041">
            <v>4256.4183428571423</v>
          </cell>
          <cell r="AT1041">
            <v>207.232</v>
          </cell>
          <cell r="AU1041">
            <v>0</v>
          </cell>
          <cell r="AV1041">
            <v>0</v>
          </cell>
          <cell r="AW1041">
            <v>224.62</v>
          </cell>
          <cell r="AX1041">
            <v>0</v>
          </cell>
          <cell r="AY1041">
            <v>1000.6600000000001</v>
          </cell>
          <cell r="AZ1041">
            <v>1068.7643999999998</v>
          </cell>
          <cell r="BA1041">
            <v>871.56999999999994</v>
          </cell>
          <cell r="BB1041">
            <v>4722.3263428571427</v>
          </cell>
          <cell r="BC1041">
            <v>439.72699999999998</v>
          </cell>
          <cell r="BD1041">
            <v>0</v>
          </cell>
          <cell r="BE1041">
            <v>0</v>
          </cell>
          <cell r="BF1041">
            <v>221.6</v>
          </cell>
          <cell r="BG1041">
            <v>0</v>
          </cell>
        </row>
        <row r="1042">
          <cell r="A1042" t="str">
            <v>DRUMS</v>
          </cell>
        </row>
        <row r="1043">
          <cell r="A1043">
            <v>121</v>
          </cell>
          <cell r="B1043" t="str">
            <v>FG</v>
          </cell>
          <cell r="C1043" t="str">
            <v>FM</v>
          </cell>
          <cell r="D1043" t="str">
            <v>REFINED GLYCERINE-CP</v>
          </cell>
          <cell r="F1043">
            <v>1.25</v>
          </cell>
          <cell r="H1043">
            <v>0.34</v>
          </cell>
          <cell r="J1043">
            <v>41</v>
          </cell>
          <cell r="O1043">
            <v>1.25</v>
          </cell>
          <cell r="Q1043">
            <v>0.34</v>
          </cell>
          <cell r="S1043">
            <v>66.5</v>
          </cell>
          <cell r="X1043">
            <v>1.25</v>
          </cell>
          <cell r="AB1043">
            <v>71</v>
          </cell>
          <cell r="AG1043">
            <v>1</v>
          </cell>
          <cell r="AI1043">
            <v>0.34</v>
          </cell>
          <cell r="AK1043">
            <v>45.5</v>
          </cell>
          <cell r="AP1043">
            <v>4</v>
          </cell>
          <cell r="AR1043">
            <v>0.34</v>
          </cell>
          <cell r="AT1043">
            <v>36</v>
          </cell>
          <cell r="AY1043">
            <v>13</v>
          </cell>
          <cell r="BA1043">
            <v>0.34</v>
          </cell>
          <cell r="BC1043">
            <v>38.25</v>
          </cell>
        </row>
        <row r="1044">
          <cell r="A1044">
            <v>122</v>
          </cell>
          <cell r="B1044" t="str">
            <v>FG</v>
          </cell>
          <cell r="C1044" t="str">
            <v>FM</v>
          </cell>
          <cell r="D1044" t="str">
            <v>REFINED GLYCERINE-IP</v>
          </cell>
          <cell r="F1044">
            <v>1</v>
          </cell>
          <cell r="J1044">
            <v>8.75</v>
          </cell>
          <cell r="S1044">
            <v>33.5</v>
          </cell>
          <cell r="X1044">
            <v>6</v>
          </cell>
          <cell r="AB1044">
            <v>50</v>
          </cell>
          <cell r="AG1044">
            <v>3</v>
          </cell>
          <cell r="AK1044">
            <v>55.25</v>
          </cell>
          <cell r="AP1044">
            <v>2</v>
          </cell>
          <cell r="AT1044">
            <v>120.75</v>
          </cell>
          <cell r="AY1044">
            <v>11</v>
          </cell>
          <cell r="BC1044">
            <v>115.75</v>
          </cell>
        </row>
        <row r="1045">
          <cell r="A1045">
            <v>123</v>
          </cell>
          <cell r="B1045" t="str">
            <v>FG</v>
          </cell>
          <cell r="C1045" t="str">
            <v>FM</v>
          </cell>
          <cell r="D1045" t="str">
            <v>REFINED GLYCERINE-USP</v>
          </cell>
          <cell r="X1045">
            <v>18</v>
          </cell>
          <cell r="AG1045">
            <v>14.25</v>
          </cell>
          <cell r="AP1045">
            <v>18</v>
          </cell>
          <cell r="AY1045">
            <v>36</v>
          </cell>
        </row>
        <row r="1046">
          <cell r="A1046">
            <v>124</v>
          </cell>
          <cell r="B1046" t="str">
            <v>FG</v>
          </cell>
          <cell r="C1046" t="str">
            <v>FM</v>
          </cell>
          <cell r="D1046" t="str">
            <v>REFINED GLYCERINE-JP</v>
          </cell>
          <cell r="F1046">
            <v>40</v>
          </cell>
        </row>
        <row r="1047">
          <cell r="A1047">
            <v>125</v>
          </cell>
          <cell r="B1047" t="str">
            <v>FG</v>
          </cell>
          <cell r="C1047" t="str">
            <v>FM</v>
          </cell>
          <cell r="D1047" t="str">
            <v>DPKO</v>
          </cell>
          <cell r="I1047">
            <v>20.16</v>
          </cell>
          <cell r="AJ1047">
            <v>5.58</v>
          </cell>
          <cell r="AS1047">
            <v>9.09</v>
          </cell>
          <cell r="BB1047">
            <v>9.5399999999999991</v>
          </cell>
        </row>
        <row r="1048">
          <cell r="A1048">
            <v>126</v>
          </cell>
          <cell r="B1048" t="str">
            <v>FG</v>
          </cell>
          <cell r="C1048" t="str">
            <v>FM</v>
          </cell>
          <cell r="D1048" t="str">
            <v>C6&gt;98%</v>
          </cell>
          <cell r="F1048">
            <v>0.18</v>
          </cell>
          <cell r="H1048">
            <v>0.9</v>
          </cell>
          <cell r="Q1048">
            <v>0.9</v>
          </cell>
          <cell r="Z1048">
            <v>0.9</v>
          </cell>
          <cell r="AG1048">
            <v>0.18</v>
          </cell>
          <cell r="AI1048">
            <v>0.9</v>
          </cell>
          <cell r="AP1048">
            <v>0.18</v>
          </cell>
          <cell r="AR1048">
            <v>0.9</v>
          </cell>
          <cell r="BA1048">
            <v>0.9</v>
          </cell>
        </row>
        <row r="1049">
          <cell r="A1049">
            <v>127</v>
          </cell>
          <cell r="B1049" t="str">
            <v>FG</v>
          </cell>
          <cell r="C1049" t="str">
            <v>FM</v>
          </cell>
          <cell r="D1049" t="str">
            <v>C8&gt;98%</v>
          </cell>
          <cell r="F1049">
            <v>12.24</v>
          </cell>
          <cell r="H1049">
            <v>7.02</v>
          </cell>
          <cell r="O1049">
            <v>9.9</v>
          </cell>
          <cell r="Q1049">
            <v>7.02</v>
          </cell>
          <cell r="X1049">
            <v>9.7199999999999989</v>
          </cell>
          <cell r="Z1049">
            <v>7.02</v>
          </cell>
          <cell r="AG1049">
            <v>9.5399999999999991</v>
          </cell>
          <cell r="AI1049">
            <v>7.02</v>
          </cell>
          <cell r="AP1049">
            <v>8.64</v>
          </cell>
          <cell r="AR1049">
            <v>7.02</v>
          </cell>
          <cell r="AY1049">
            <v>10.44</v>
          </cell>
          <cell r="BA1049">
            <v>7.02</v>
          </cell>
        </row>
        <row r="1050">
          <cell r="A1050">
            <v>128</v>
          </cell>
          <cell r="B1050" t="str">
            <v>FG</v>
          </cell>
          <cell r="C1050" t="str">
            <v>FM</v>
          </cell>
          <cell r="D1050" t="str">
            <v>C10&gt;98%</v>
          </cell>
          <cell r="F1050">
            <v>6.84</v>
          </cell>
          <cell r="H1050">
            <v>0.18</v>
          </cell>
          <cell r="O1050">
            <v>6.84</v>
          </cell>
          <cell r="Q1050">
            <v>0.18</v>
          </cell>
          <cell r="X1050">
            <v>6.66</v>
          </cell>
          <cell r="Z1050">
            <v>0.18</v>
          </cell>
          <cell r="AG1050">
            <v>6.66</v>
          </cell>
          <cell r="AI1050">
            <v>0.18</v>
          </cell>
          <cell r="AP1050">
            <v>6.66</v>
          </cell>
          <cell r="AR1050">
            <v>0.18</v>
          </cell>
          <cell r="AY1050">
            <v>6.66</v>
          </cell>
          <cell r="BA1050">
            <v>0.18</v>
          </cell>
        </row>
        <row r="1051">
          <cell r="A1051">
            <v>129</v>
          </cell>
          <cell r="B1051" t="str">
            <v>FG</v>
          </cell>
          <cell r="C1051" t="str">
            <v>FM</v>
          </cell>
          <cell r="D1051" t="str">
            <v>C8+C10&gt;98%</v>
          </cell>
          <cell r="F1051">
            <v>0.54</v>
          </cell>
          <cell r="H1051">
            <v>3.7749999999999999</v>
          </cell>
          <cell r="O1051">
            <v>0.54</v>
          </cell>
          <cell r="Q1051">
            <v>3.7749999999999999</v>
          </cell>
          <cell r="X1051">
            <v>0.54</v>
          </cell>
          <cell r="Z1051">
            <v>3.7749999999999999</v>
          </cell>
          <cell r="AG1051">
            <v>0.54</v>
          </cell>
          <cell r="AI1051">
            <v>3.7749999999999999</v>
          </cell>
          <cell r="AR1051">
            <v>3.7749999999999999</v>
          </cell>
          <cell r="BA1051">
            <v>3.7749999999999999</v>
          </cell>
        </row>
        <row r="1052">
          <cell r="A1052">
            <v>130</v>
          </cell>
          <cell r="B1052" t="str">
            <v>FG</v>
          </cell>
          <cell r="C1052" t="str">
            <v>FM</v>
          </cell>
          <cell r="D1052" t="str">
            <v>OLEIC-15</v>
          </cell>
          <cell r="H1052">
            <v>0.185</v>
          </cell>
          <cell r="I1052">
            <v>89.28</v>
          </cell>
          <cell r="Q1052">
            <v>0.185</v>
          </cell>
          <cell r="R1052">
            <v>89.73</v>
          </cell>
          <cell r="Z1052">
            <v>0.185</v>
          </cell>
          <cell r="AA1052">
            <v>111.78</v>
          </cell>
          <cell r="AI1052">
            <v>0.185</v>
          </cell>
          <cell r="AJ1052">
            <v>120.96</v>
          </cell>
          <cell r="AR1052">
            <v>0.185</v>
          </cell>
          <cell r="AS1052">
            <v>121.86</v>
          </cell>
          <cell r="BA1052">
            <v>0.185</v>
          </cell>
          <cell r="BB1052">
            <v>121.86</v>
          </cell>
        </row>
        <row r="1053">
          <cell r="A1053">
            <v>131</v>
          </cell>
          <cell r="B1053" t="str">
            <v>FG</v>
          </cell>
          <cell r="C1053" t="str">
            <v>NM</v>
          </cell>
          <cell r="D1053" t="str">
            <v>OLEIC-20</v>
          </cell>
          <cell r="H1053">
            <v>0.09</v>
          </cell>
          <cell r="Q1053">
            <v>0.09</v>
          </cell>
          <cell r="Z1053">
            <v>0.09</v>
          </cell>
          <cell r="AI1053">
            <v>0.09</v>
          </cell>
          <cell r="AR1053">
            <v>0.09</v>
          </cell>
          <cell r="BA1053">
            <v>0.09</v>
          </cell>
        </row>
        <row r="1054">
          <cell r="A1054">
            <v>132</v>
          </cell>
          <cell r="B1054" t="str">
            <v>FG</v>
          </cell>
          <cell r="C1054" t="str">
            <v>NM</v>
          </cell>
          <cell r="D1054" t="str">
            <v>OLEIC-26</v>
          </cell>
          <cell r="H1054">
            <v>0.63</v>
          </cell>
          <cell r="Q1054">
            <v>0.63</v>
          </cell>
          <cell r="Z1054">
            <v>0.63</v>
          </cell>
          <cell r="AI1054">
            <v>0.63</v>
          </cell>
          <cell r="AR1054">
            <v>0.63</v>
          </cell>
          <cell r="BA1054">
            <v>0.63</v>
          </cell>
        </row>
        <row r="1055">
          <cell r="A1055">
            <v>133</v>
          </cell>
          <cell r="B1055" t="str">
            <v>FG</v>
          </cell>
          <cell r="C1055" t="str">
            <v>NM</v>
          </cell>
          <cell r="D1055" t="str">
            <v>OLEIC-29</v>
          </cell>
          <cell r="H1055">
            <v>0.18</v>
          </cell>
          <cell r="Q1055">
            <v>0.18</v>
          </cell>
          <cell r="Z1055">
            <v>0.18</v>
          </cell>
          <cell r="AI1055">
            <v>0.18</v>
          </cell>
          <cell r="AR1055">
            <v>0.18</v>
          </cell>
          <cell r="BA1055">
            <v>0.18</v>
          </cell>
        </row>
        <row r="1056">
          <cell r="A1056">
            <v>134</v>
          </cell>
          <cell r="B1056" t="str">
            <v>FG</v>
          </cell>
          <cell r="C1056" t="str">
            <v>FM</v>
          </cell>
          <cell r="D1056" t="str">
            <v>OLEIC-K</v>
          </cell>
          <cell r="H1056">
            <v>4.0650000000000004</v>
          </cell>
          <cell r="I1056">
            <v>2.52</v>
          </cell>
          <cell r="Q1056">
            <v>4.0650000000000004</v>
          </cell>
          <cell r="R1056">
            <v>1.62</v>
          </cell>
          <cell r="X1056">
            <v>6.84</v>
          </cell>
          <cell r="Z1056">
            <v>4.0650000000000004</v>
          </cell>
          <cell r="AA1056">
            <v>1.62</v>
          </cell>
          <cell r="AG1056">
            <v>6.84</v>
          </cell>
          <cell r="AI1056">
            <v>4.0650000000000004</v>
          </cell>
          <cell r="AJ1056">
            <v>1.62</v>
          </cell>
          <cell r="AP1056">
            <v>4.68</v>
          </cell>
          <cell r="AR1056">
            <v>4.0650000000000004</v>
          </cell>
          <cell r="AS1056">
            <v>1.62</v>
          </cell>
          <cell r="AY1056">
            <v>4.68</v>
          </cell>
          <cell r="BA1056">
            <v>4.0650000000000004</v>
          </cell>
          <cell r="BB1056">
            <v>1.62</v>
          </cell>
        </row>
        <row r="1057">
          <cell r="A1057">
            <v>135</v>
          </cell>
          <cell r="B1057" t="str">
            <v>FG</v>
          </cell>
          <cell r="C1057" t="str">
            <v>NM</v>
          </cell>
          <cell r="D1057" t="str">
            <v>OLEIC-70</v>
          </cell>
          <cell r="H1057">
            <v>0.185</v>
          </cell>
          <cell r="Q1057">
            <v>0.185</v>
          </cell>
          <cell r="Z1057">
            <v>0.185</v>
          </cell>
          <cell r="AI1057">
            <v>0.185</v>
          </cell>
          <cell r="AR1057">
            <v>0.185</v>
          </cell>
          <cell r="BA1057">
            <v>0.185</v>
          </cell>
        </row>
        <row r="1058">
          <cell r="A1058">
            <v>136</v>
          </cell>
          <cell r="B1058" t="str">
            <v>FG</v>
          </cell>
          <cell r="C1058" t="str">
            <v>FM</v>
          </cell>
          <cell r="D1058" t="str">
            <v>C22:1&gt;90</v>
          </cell>
          <cell r="F1058">
            <v>0.18</v>
          </cell>
          <cell r="I1058">
            <v>1.44</v>
          </cell>
          <cell r="O1058">
            <v>0.18</v>
          </cell>
          <cell r="R1058">
            <v>1.44</v>
          </cell>
          <cell r="X1058">
            <v>0.18</v>
          </cell>
          <cell r="AA1058">
            <v>1.44</v>
          </cell>
          <cell r="AG1058">
            <v>0.18</v>
          </cell>
          <cell r="AJ1058">
            <v>1.44</v>
          </cell>
          <cell r="AP1058">
            <v>0.18</v>
          </cell>
          <cell r="AS1058">
            <v>1.44</v>
          </cell>
          <cell r="AY1058">
            <v>0.18</v>
          </cell>
          <cell r="BB1058">
            <v>1.44</v>
          </cell>
        </row>
        <row r="1059">
          <cell r="A1059">
            <v>137</v>
          </cell>
          <cell r="B1059" t="str">
            <v>FG</v>
          </cell>
          <cell r="C1059" t="str">
            <v>NM</v>
          </cell>
          <cell r="D1059" t="str">
            <v>DCPS</v>
          </cell>
        </row>
        <row r="1060">
          <cell r="A1060">
            <v>138</v>
          </cell>
          <cell r="B1060" t="str">
            <v>FG</v>
          </cell>
          <cell r="C1060" t="str">
            <v>NM</v>
          </cell>
          <cell r="D1060" t="str">
            <v>DFA C12/C14</v>
          </cell>
          <cell r="I1060">
            <v>0.68</v>
          </cell>
          <cell r="R1060">
            <v>0.68</v>
          </cell>
          <cell r="AA1060">
            <v>0.68</v>
          </cell>
          <cell r="AJ1060">
            <v>0.68</v>
          </cell>
          <cell r="AS1060">
            <v>0.68</v>
          </cell>
          <cell r="BB1060">
            <v>0.68</v>
          </cell>
        </row>
        <row r="1061">
          <cell r="A1061">
            <v>139</v>
          </cell>
          <cell r="B1061" t="str">
            <v>FG</v>
          </cell>
          <cell r="C1061" t="str">
            <v>NM</v>
          </cell>
          <cell r="D1061" t="str">
            <v>OLEIC-IG</v>
          </cell>
          <cell r="I1061">
            <v>8.3699999999999992</v>
          </cell>
          <cell r="R1061">
            <v>8.3699999999999992</v>
          </cell>
          <cell r="AA1061">
            <v>8.3699999999999992</v>
          </cell>
          <cell r="AJ1061">
            <v>8.3699999999999992</v>
          </cell>
          <cell r="AS1061">
            <v>8.3699999999999992</v>
          </cell>
          <cell r="BB1061">
            <v>8.3699999999999992</v>
          </cell>
        </row>
        <row r="1062">
          <cell r="A1062">
            <v>140</v>
          </cell>
          <cell r="B1062" t="str">
            <v>FG</v>
          </cell>
          <cell r="C1062" t="str">
            <v>NM</v>
          </cell>
          <cell r="D1062" t="str">
            <v>Vegarol 1214</v>
          </cell>
          <cell r="I1062">
            <v>9.18</v>
          </cell>
          <cell r="R1062">
            <v>9.18</v>
          </cell>
          <cell r="AA1062">
            <v>0.17</v>
          </cell>
          <cell r="AJ1062">
            <v>17.170000000000002</v>
          </cell>
          <cell r="AS1062">
            <v>7.48</v>
          </cell>
          <cell r="BB1062">
            <v>21.08</v>
          </cell>
        </row>
        <row r="1063">
          <cell r="A1063">
            <v>257</v>
          </cell>
          <cell r="B1063" t="str">
            <v>FG</v>
          </cell>
          <cell r="C1063" t="str">
            <v>NM</v>
          </cell>
          <cell r="D1063" t="str">
            <v>Vegarol 10</v>
          </cell>
          <cell r="I1063">
            <v>14.28</v>
          </cell>
          <cell r="R1063">
            <v>14.28</v>
          </cell>
          <cell r="AA1063">
            <v>14.28</v>
          </cell>
          <cell r="AJ1063">
            <v>14.28</v>
          </cell>
        </row>
        <row r="1064">
          <cell r="F1064">
            <v>62.230000000000004</v>
          </cell>
          <cell r="G1064">
            <v>0</v>
          </cell>
          <cell r="H1064">
            <v>17.55</v>
          </cell>
          <cell r="I1064">
            <v>145.91</v>
          </cell>
          <cell r="J1064">
            <v>49.75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18.71</v>
          </cell>
          <cell r="P1064">
            <v>0</v>
          </cell>
          <cell r="Q1064">
            <v>17.55</v>
          </cell>
          <cell r="R1064">
            <v>125.30000000000001</v>
          </cell>
          <cell r="S1064">
            <v>100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49.189999999999991</v>
          </cell>
          <cell r="Y1064">
            <v>0</v>
          </cell>
          <cell r="Z1064">
            <v>17.21</v>
          </cell>
          <cell r="AA1064">
            <v>138.34</v>
          </cell>
          <cell r="AB1064">
            <v>121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42.189999999999991</v>
          </cell>
          <cell r="AH1064">
            <v>0</v>
          </cell>
          <cell r="AI1064">
            <v>17.55</v>
          </cell>
          <cell r="AJ1064">
            <v>170.1</v>
          </cell>
          <cell r="AK1064">
            <v>100.75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44.34</v>
          </cell>
          <cell r="AQ1064">
            <v>0</v>
          </cell>
          <cell r="AR1064">
            <v>17.55</v>
          </cell>
          <cell r="AS1064">
            <v>150.54</v>
          </cell>
          <cell r="AT1064">
            <v>156.75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81.960000000000008</v>
          </cell>
          <cell r="AZ1064">
            <v>0</v>
          </cell>
          <cell r="BA1064">
            <v>17.55</v>
          </cell>
          <cell r="BB1064">
            <v>164.59000000000003</v>
          </cell>
          <cell r="BC1064">
            <v>154</v>
          </cell>
          <cell r="BD1064">
            <v>0</v>
          </cell>
          <cell r="BE1064">
            <v>0</v>
          </cell>
          <cell r="BF1064">
            <v>0</v>
          </cell>
          <cell r="BG1064">
            <v>0</v>
          </cell>
        </row>
        <row r="1065">
          <cell r="A1065" t="str">
            <v>FATTY ACID FLAKES</v>
          </cell>
        </row>
        <row r="1066">
          <cell r="A1066">
            <v>141</v>
          </cell>
          <cell r="B1066" t="str">
            <v>FG</v>
          </cell>
          <cell r="C1066" t="str">
            <v>FM</v>
          </cell>
          <cell r="D1066" t="str">
            <v>C14&gt;99%</v>
          </cell>
          <cell r="I1066">
            <v>32.875</v>
          </cell>
          <cell r="R1066">
            <v>32.875</v>
          </cell>
          <cell r="AA1066">
            <v>32.875</v>
          </cell>
          <cell r="AJ1066">
            <v>32.875</v>
          </cell>
          <cell r="AS1066">
            <v>32.875</v>
          </cell>
          <cell r="BB1066">
            <v>32.875</v>
          </cell>
        </row>
        <row r="1067">
          <cell r="A1067">
            <v>142</v>
          </cell>
          <cell r="B1067" t="str">
            <v>FG</v>
          </cell>
          <cell r="C1067" t="str">
            <v>FM</v>
          </cell>
          <cell r="D1067" t="str">
            <v>C16 85%</v>
          </cell>
          <cell r="AS1067">
            <v>140</v>
          </cell>
          <cell r="BB1067">
            <v>140</v>
          </cell>
        </row>
        <row r="1068">
          <cell r="A1068">
            <v>143</v>
          </cell>
          <cell r="B1068" t="str">
            <v>FG</v>
          </cell>
          <cell r="C1068" t="str">
            <v>FM</v>
          </cell>
          <cell r="D1068" t="str">
            <v>UTSR</v>
          </cell>
          <cell r="F1068">
            <v>199.5</v>
          </cell>
          <cell r="H1068">
            <v>41.35</v>
          </cell>
          <cell r="I1068">
            <v>114.06</v>
          </cell>
          <cell r="O1068">
            <v>122.5</v>
          </cell>
          <cell r="Q1068">
            <v>0.35</v>
          </cell>
          <cell r="R1068">
            <v>288.95999999999998</v>
          </cell>
          <cell r="X1068">
            <v>129.44999999999999</v>
          </cell>
          <cell r="Z1068">
            <v>0.35</v>
          </cell>
          <cell r="AA1068">
            <v>200.21</v>
          </cell>
          <cell r="AG1068">
            <v>38.15</v>
          </cell>
          <cell r="AI1068">
            <v>0.35</v>
          </cell>
          <cell r="AJ1068">
            <v>202.66</v>
          </cell>
          <cell r="AP1068">
            <v>137.30000000000001</v>
          </cell>
          <cell r="AR1068">
            <v>0.35</v>
          </cell>
          <cell r="AS1068">
            <v>132.11000000000001</v>
          </cell>
          <cell r="AY1068">
            <v>152.30000000000001</v>
          </cell>
          <cell r="BA1068">
            <v>0.35</v>
          </cell>
          <cell r="BB1068">
            <v>139.81</v>
          </cell>
        </row>
        <row r="1069">
          <cell r="A1069">
            <v>144</v>
          </cell>
          <cell r="B1069" t="str">
            <v>FG</v>
          </cell>
          <cell r="C1069" t="str">
            <v>FM</v>
          </cell>
          <cell r="D1069" t="str">
            <v>UTSR SPECIAL</v>
          </cell>
        </row>
        <row r="1070">
          <cell r="A1070">
            <v>145</v>
          </cell>
          <cell r="B1070" t="str">
            <v>FG</v>
          </cell>
          <cell r="C1070" t="str">
            <v>FM</v>
          </cell>
          <cell r="D1070" t="str">
            <v>DTP-7</v>
          </cell>
          <cell r="H1070">
            <v>0.9000000000000028</v>
          </cell>
          <cell r="I1070">
            <v>14.7</v>
          </cell>
          <cell r="Q1070">
            <v>0.9000000000000028</v>
          </cell>
          <cell r="R1070">
            <v>3.8</v>
          </cell>
          <cell r="Z1070">
            <v>0.9000000000000028</v>
          </cell>
          <cell r="AA1070">
            <v>91.25</v>
          </cell>
          <cell r="AI1070">
            <v>0.9</v>
          </cell>
          <cell r="AJ1070">
            <v>36.5</v>
          </cell>
          <cell r="AR1070">
            <v>0.9000000000000028</v>
          </cell>
          <cell r="AS1070">
            <v>82.4</v>
          </cell>
          <cell r="BA1070">
            <v>0.9000000000000028</v>
          </cell>
          <cell r="BB1070">
            <v>20.05</v>
          </cell>
        </row>
        <row r="1071">
          <cell r="A1071">
            <v>146</v>
          </cell>
          <cell r="B1071" t="str">
            <v>FG</v>
          </cell>
          <cell r="C1071" t="str">
            <v>FM</v>
          </cell>
          <cell r="D1071" t="str">
            <v>DTP-CT</v>
          </cell>
          <cell r="F1071">
            <v>0.15</v>
          </cell>
          <cell r="H1071">
            <v>0.35000000000000142</v>
          </cell>
          <cell r="Q1071">
            <v>0.35000000000000142</v>
          </cell>
          <cell r="Z1071">
            <v>0.25000000000000144</v>
          </cell>
          <cell r="AI1071">
            <v>0.25</v>
          </cell>
          <cell r="AJ1071">
            <v>146.44999999999999</v>
          </cell>
          <cell r="AR1071">
            <v>0.25000000000000144</v>
          </cell>
          <cell r="AS1071">
            <v>130.44999999999999</v>
          </cell>
          <cell r="BA1071">
            <v>0.25000000000000144</v>
          </cell>
          <cell r="BB1071">
            <v>130.6</v>
          </cell>
        </row>
        <row r="1072">
          <cell r="A1072">
            <v>147</v>
          </cell>
          <cell r="B1072" t="str">
            <v>FG</v>
          </cell>
          <cell r="C1072" t="str">
            <v>FM</v>
          </cell>
          <cell r="D1072" t="str">
            <v>P-12</v>
          </cell>
          <cell r="H1072">
            <v>1.2</v>
          </cell>
          <cell r="I1072">
            <v>85.2</v>
          </cell>
          <cell r="Q1072">
            <v>0.5</v>
          </cell>
          <cell r="R1072">
            <v>52.2</v>
          </cell>
          <cell r="Z1072">
            <v>0.5</v>
          </cell>
          <cell r="AA1072">
            <v>24.2</v>
          </cell>
          <cell r="AI1072">
            <v>0.5</v>
          </cell>
          <cell r="AR1072">
            <v>0.5</v>
          </cell>
          <cell r="AS1072">
            <v>103.25</v>
          </cell>
          <cell r="BA1072">
            <v>0.5</v>
          </cell>
          <cell r="BB1072">
            <v>67.25</v>
          </cell>
        </row>
        <row r="1073">
          <cell r="A1073">
            <v>148</v>
          </cell>
          <cell r="B1073" t="str">
            <v>FG</v>
          </cell>
          <cell r="C1073" t="str">
            <v>FM</v>
          </cell>
          <cell r="D1073" t="str">
            <v>P-12 SPECIAL</v>
          </cell>
        </row>
        <row r="1074">
          <cell r="A1074">
            <v>149</v>
          </cell>
          <cell r="B1074" t="str">
            <v>FG</v>
          </cell>
          <cell r="C1074" t="str">
            <v>NM</v>
          </cell>
          <cell r="D1074" t="str">
            <v>BEHENIC-75</v>
          </cell>
        </row>
        <row r="1075">
          <cell r="A1075">
            <v>150</v>
          </cell>
          <cell r="B1075" t="str">
            <v>FG</v>
          </cell>
          <cell r="C1075" t="str">
            <v>NM</v>
          </cell>
          <cell r="D1075" t="str">
            <v>BEHENIC-85</v>
          </cell>
        </row>
        <row r="1076">
          <cell r="A1076">
            <v>151</v>
          </cell>
          <cell r="B1076" t="str">
            <v>FG</v>
          </cell>
          <cell r="C1076" t="str">
            <v>FM</v>
          </cell>
          <cell r="D1076" t="str">
            <v>BEHENIC-90</v>
          </cell>
          <cell r="I1076">
            <v>147.5</v>
          </cell>
          <cell r="R1076">
            <v>127.5</v>
          </cell>
          <cell r="AA1076">
            <v>117</v>
          </cell>
          <cell r="AJ1076">
            <v>117</v>
          </cell>
          <cell r="AS1076">
            <v>97</v>
          </cell>
          <cell r="BB1076">
            <v>97</v>
          </cell>
        </row>
        <row r="1077">
          <cell r="A1077">
            <v>152</v>
          </cell>
          <cell r="B1077" t="str">
            <v>FG</v>
          </cell>
          <cell r="C1077" t="str">
            <v>FM</v>
          </cell>
          <cell r="D1077" t="str">
            <v>G3 STEARIC</v>
          </cell>
          <cell r="H1077">
            <v>3.9</v>
          </cell>
          <cell r="I1077">
            <v>40.450000000000003</v>
          </cell>
          <cell r="Q1077">
            <v>3.9</v>
          </cell>
          <cell r="R1077">
            <v>30.45</v>
          </cell>
          <cell r="Z1077">
            <v>3.9</v>
          </cell>
          <cell r="AA1077">
            <v>30.45</v>
          </cell>
          <cell r="AI1077">
            <v>3.9</v>
          </cell>
          <cell r="AJ1077">
            <v>20.45</v>
          </cell>
          <cell r="AR1077">
            <v>3.9</v>
          </cell>
          <cell r="AS1077">
            <v>20.45</v>
          </cell>
          <cell r="BA1077">
            <v>3.9</v>
          </cell>
          <cell r="BB1077">
            <v>10.45</v>
          </cell>
        </row>
        <row r="1078">
          <cell r="A1078">
            <v>153</v>
          </cell>
          <cell r="B1078" t="str">
            <v>FG</v>
          </cell>
          <cell r="C1078" t="str">
            <v>NM</v>
          </cell>
          <cell r="D1078" t="str">
            <v>HYD.CASTOR OIL</v>
          </cell>
        </row>
        <row r="1079">
          <cell r="A1079">
            <v>154</v>
          </cell>
          <cell r="B1079" t="str">
            <v>FG</v>
          </cell>
          <cell r="C1079" t="str">
            <v>FM</v>
          </cell>
          <cell r="D1079" t="str">
            <v>C16  W/E</v>
          </cell>
          <cell r="I1079">
            <v>40.53</v>
          </cell>
          <cell r="R1079">
            <v>40.53</v>
          </cell>
          <cell r="AA1079">
            <v>40.53</v>
          </cell>
          <cell r="AJ1079">
            <v>40.53</v>
          </cell>
          <cell r="AS1079">
            <v>40.53</v>
          </cell>
          <cell r="BB1079">
            <v>40.53</v>
          </cell>
        </row>
        <row r="1080">
          <cell r="A1080">
            <v>155</v>
          </cell>
          <cell r="B1080" t="str">
            <v>FG</v>
          </cell>
          <cell r="C1080" t="str">
            <v>FM</v>
          </cell>
          <cell r="D1080" t="str">
            <v>C18  W/E</v>
          </cell>
          <cell r="I1080">
            <v>15.64</v>
          </cell>
          <cell r="R1080">
            <v>15.64</v>
          </cell>
          <cell r="AA1080">
            <v>15.64</v>
          </cell>
          <cell r="AJ1080">
            <v>15.64</v>
          </cell>
          <cell r="AS1080">
            <v>15.64</v>
          </cell>
          <cell r="BB1080">
            <v>15.64</v>
          </cell>
        </row>
        <row r="1081">
          <cell r="A1081">
            <v>156</v>
          </cell>
          <cell r="B1081" t="str">
            <v>FG</v>
          </cell>
          <cell r="C1081" t="str">
            <v>FM</v>
          </cell>
          <cell r="D1081" t="str">
            <v>C1618  W/E</v>
          </cell>
          <cell r="I1081">
            <v>31.21</v>
          </cell>
          <cell r="R1081">
            <v>31.21</v>
          </cell>
          <cell r="AA1081">
            <v>31.21</v>
          </cell>
          <cell r="AJ1081">
            <v>31.21</v>
          </cell>
          <cell r="AS1081">
            <v>31.21</v>
          </cell>
          <cell r="BB1081">
            <v>31.21</v>
          </cell>
        </row>
        <row r="1082">
          <cell r="A1082">
            <v>157</v>
          </cell>
          <cell r="B1082" t="str">
            <v>FG</v>
          </cell>
          <cell r="C1082" t="str">
            <v>NM</v>
          </cell>
          <cell r="D1082" t="str">
            <v>CONTAMINATED FATTY ACID</v>
          </cell>
          <cell r="I1082">
            <v>25</v>
          </cell>
          <cell r="R1082">
            <v>25</v>
          </cell>
          <cell r="AA1082">
            <v>25</v>
          </cell>
          <cell r="AJ1082">
            <v>25</v>
          </cell>
          <cell r="AS1082">
            <v>25</v>
          </cell>
          <cell r="BB1082">
            <v>25</v>
          </cell>
        </row>
        <row r="1083">
          <cell r="A1083">
            <v>158</v>
          </cell>
          <cell r="B1083" t="str">
            <v>FG</v>
          </cell>
          <cell r="C1083" t="str">
            <v>NM</v>
          </cell>
          <cell r="D1083" t="str">
            <v>STEARIC ACID - SPECIAL</v>
          </cell>
          <cell r="F1083">
            <v>1.35</v>
          </cell>
          <cell r="H1083">
            <v>1.05</v>
          </cell>
          <cell r="O1083">
            <v>1.35</v>
          </cell>
          <cell r="Q1083">
            <v>1.05</v>
          </cell>
          <cell r="X1083">
            <v>1.35</v>
          </cell>
          <cell r="Z1083">
            <v>1.05</v>
          </cell>
          <cell r="AG1083">
            <v>1.35</v>
          </cell>
          <cell r="AI1083">
            <v>1.05</v>
          </cell>
          <cell r="AP1083">
            <v>1.35</v>
          </cell>
          <cell r="AR1083">
            <v>1.05</v>
          </cell>
          <cell r="AY1083">
            <v>1.35</v>
          </cell>
          <cell r="BA1083">
            <v>1.05</v>
          </cell>
        </row>
        <row r="1084">
          <cell r="A1084">
            <v>159</v>
          </cell>
          <cell r="B1084" t="str">
            <v>FG</v>
          </cell>
          <cell r="C1084" t="str">
            <v>NM</v>
          </cell>
          <cell r="D1084" t="str">
            <v>DFA-C18/22</v>
          </cell>
        </row>
        <row r="1085">
          <cell r="A1085">
            <v>160</v>
          </cell>
          <cell r="B1085" t="str">
            <v>FG</v>
          </cell>
          <cell r="C1085" t="str">
            <v>NM</v>
          </cell>
          <cell r="D1085" t="str">
            <v>C10 Alc (14 * 170 kgs)</v>
          </cell>
        </row>
        <row r="1086">
          <cell r="A1086">
            <v>241</v>
          </cell>
          <cell r="B1086" t="str">
            <v>FG</v>
          </cell>
          <cell r="C1086" t="str">
            <v>NM</v>
          </cell>
          <cell r="D1086" t="str">
            <v>C12</v>
          </cell>
        </row>
        <row r="1087">
          <cell r="A1087">
            <v>244</v>
          </cell>
          <cell r="B1087" t="str">
            <v>FG</v>
          </cell>
          <cell r="C1087" t="str">
            <v>NM</v>
          </cell>
          <cell r="D1087" t="str">
            <v>STEARIC-90</v>
          </cell>
          <cell r="E1087" t="str">
            <v>STEARIC-90</v>
          </cell>
          <cell r="F1087">
            <v>79.599999999999994</v>
          </cell>
          <cell r="O1087">
            <v>79.599999999999994</v>
          </cell>
          <cell r="X1087">
            <v>79.599999999999994</v>
          </cell>
          <cell r="AG1087">
            <v>79.599999999999994</v>
          </cell>
          <cell r="AP1087">
            <v>79.599999999999994</v>
          </cell>
          <cell r="AY1087">
            <v>79.599999999999994</v>
          </cell>
        </row>
        <row r="1088">
          <cell r="A1088">
            <v>246</v>
          </cell>
          <cell r="B1088" t="str">
            <v>FG</v>
          </cell>
          <cell r="C1088" t="str">
            <v>NM</v>
          </cell>
          <cell r="D1088" t="str">
            <v>HPS 25 KGS</v>
          </cell>
        </row>
        <row r="1089">
          <cell r="F1089">
            <v>280.60000000000002</v>
          </cell>
          <cell r="G1089">
            <v>0</v>
          </cell>
          <cell r="H1089">
            <v>48.750000000000007</v>
          </cell>
          <cell r="I1089">
            <v>547.16499999999996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203.45</v>
          </cell>
          <cell r="P1089">
            <v>0</v>
          </cell>
          <cell r="Q1089">
            <v>7.0500000000000034</v>
          </cell>
          <cell r="R1089">
            <v>648.16499999999996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210.39999999999998</v>
          </cell>
          <cell r="Y1089">
            <v>0</v>
          </cell>
          <cell r="Z1089">
            <v>6.9500000000000037</v>
          </cell>
          <cell r="AA1089">
            <v>608.36500000000001</v>
          </cell>
          <cell r="AB1089">
            <v>0</v>
          </cell>
          <cell r="AC1089">
            <v>0</v>
          </cell>
          <cell r="AD1089">
            <v>0</v>
          </cell>
          <cell r="AE1089">
            <v>0</v>
          </cell>
          <cell r="AF1089">
            <v>0</v>
          </cell>
          <cell r="AG1089">
            <v>119.1</v>
          </cell>
          <cell r="AH1089">
            <v>0</v>
          </cell>
          <cell r="AI1089">
            <v>6.95</v>
          </cell>
          <cell r="AJ1089">
            <v>668.31499999999994</v>
          </cell>
          <cell r="AK1089">
            <v>0</v>
          </cell>
          <cell r="AL1089">
            <v>0</v>
          </cell>
          <cell r="AM1089">
            <v>0</v>
          </cell>
          <cell r="AN1089">
            <v>0</v>
          </cell>
          <cell r="AO1089">
            <v>0</v>
          </cell>
          <cell r="AP1089">
            <v>218.25</v>
          </cell>
          <cell r="AQ1089">
            <v>0</v>
          </cell>
          <cell r="AR1089">
            <v>6.9500000000000037</v>
          </cell>
          <cell r="AS1089">
            <v>850.91500000000008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233.25</v>
          </cell>
          <cell r="AZ1089">
            <v>0</v>
          </cell>
          <cell r="BA1089">
            <v>6.9500000000000037</v>
          </cell>
          <cell r="BB1089">
            <v>750.41500000000008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</row>
        <row r="1090">
          <cell r="A1090" t="str">
            <v>FATTY ALCOHOLS</v>
          </cell>
        </row>
        <row r="1091">
          <cell r="A1091">
            <v>256</v>
          </cell>
          <cell r="B1091" t="str">
            <v>FG</v>
          </cell>
          <cell r="C1091" t="str">
            <v>FM</v>
          </cell>
          <cell r="D1091" t="str">
            <v>VEGROL10</v>
          </cell>
        </row>
        <row r="1092">
          <cell r="A1092">
            <v>161</v>
          </cell>
          <cell r="B1092" t="str">
            <v>FG</v>
          </cell>
          <cell r="C1092" t="str">
            <v>FM</v>
          </cell>
          <cell r="D1092" t="str">
            <v>VEGROL1214</v>
          </cell>
          <cell r="H1092">
            <v>650.04999999999995</v>
          </cell>
          <cell r="I1092">
            <v>1110.8599999999999</v>
          </cell>
          <cell r="Q1092">
            <v>806.23</v>
          </cell>
          <cell r="R1092">
            <v>968.38</v>
          </cell>
          <cell r="V1092">
            <v>69.489999999999995</v>
          </cell>
          <cell r="Z1092">
            <v>1001.87</v>
          </cell>
          <cell r="AA1092">
            <v>2262.61</v>
          </cell>
          <cell r="AI1092">
            <v>1001.87</v>
          </cell>
          <cell r="AJ1092">
            <v>1801.14</v>
          </cell>
          <cell r="AS1092">
            <v>1126.8900000000001</v>
          </cell>
          <cell r="BB1092">
            <v>862.51</v>
          </cell>
        </row>
        <row r="1093">
          <cell r="A1093">
            <v>162</v>
          </cell>
          <cell r="B1093" t="str">
            <v>FG</v>
          </cell>
          <cell r="C1093" t="str">
            <v>FM</v>
          </cell>
          <cell r="D1093" t="str">
            <v>VEGROL1216</v>
          </cell>
          <cell r="I1093">
            <v>832.16100000000006</v>
          </cell>
          <cell r="R1093">
            <v>1026.82</v>
          </cell>
          <cell r="V1093">
            <v>33.68</v>
          </cell>
          <cell r="Z1093">
            <v>506.39</v>
          </cell>
          <cell r="AA1093">
            <v>747.88</v>
          </cell>
          <cell r="AI1093">
            <v>506.39</v>
          </cell>
          <cell r="AJ1093">
            <v>1392</v>
          </cell>
          <cell r="AS1093">
            <v>1121.76</v>
          </cell>
          <cell r="BB1093">
            <v>776.04</v>
          </cell>
        </row>
        <row r="1094">
          <cell r="A1094">
            <v>163</v>
          </cell>
          <cell r="B1094" t="str">
            <v>FG</v>
          </cell>
          <cell r="C1094" t="str">
            <v>FM</v>
          </cell>
          <cell r="D1094" t="str">
            <v>VEGROL 1218</v>
          </cell>
          <cell r="I1094">
            <v>871.62</v>
          </cell>
          <cell r="R1094">
            <v>876.08</v>
          </cell>
          <cell r="AA1094">
            <v>856.49</v>
          </cell>
          <cell r="AJ1094">
            <v>693.79</v>
          </cell>
          <cell r="AS1094">
            <v>805.19</v>
          </cell>
          <cell r="BB1094">
            <v>789.34</v>
          </cell>
        </row>
        <row r="1095">
          <cell r="A1095">
            <v>164</v>
          </cell>
          <cell r="B1095" t="str">
            <v>FG</v>
          </cell>
          <cell r="C1095" t="str">
            <v>FM</v>
          </cell>
          <cell r="D1095" t="str">
            <v>VEGROL C1618TA</v>
          </cell>
          <cell r="I1095">
            <v>493.8</v>
          </cell>
          <cell r="R1095">
            <v>362.39</v>
          </cell>
          <cell r="Z1095">
            <v>299.77999999999997</v>
          </cell>
          <cell r="AI1095">
            <v>299.77999999999997</v>
          </cell>
          <cell r="AS1095">
            <v>572.87584000000004</v>
          </cell>
          <cell r="BB1095">
            <v>572.88</v>
          </cell>
        </row>
        <row r="1096">
          <cell r="A1096">
            <v>165</v>
          </cell>
          <cell r="B1096" t="str">
            <v>FG</v>
          </cell>
          <cell r="C1096" t="str">
            <v>FM</v>
          </cell>
          <cell r="D1096" t="str">
            <v>VEGROL C1618(50:50)</v>
          </cell>
          <cell r="I1096">
            <v>183.31745599999999</v>
          </cell>
          <cell r="R1096">
            <v>153.28275199999999</v>
          </cell>
          <cell r="AA1096">
            <v>90</v>
          </cell>
          <cell r="AJ1096">
            <v>77</v>
          </cell>
          <cell r="AS1096">
            <v>506.73</v>
          </cell>
          <cell r="BB1096">
            <v>490.29646400000007</v>
          </cell>
        </row>
        <row r="1097">
          <cell r="A1097">
            <v>166</v>
          </cell>
          <cell r="B1097" t="str">
            <v>FG</v>
          </cell>
          <cell r="C1097" t="str">
            <v>FM</v>
          </cell>
          <cell r="D1097" t="str">
            <v>VEGROL C1618PS</v>
          </cell>
        </row>
        <row r="1098">
          <cell r="A1098">
            <v>167</v>
          </cell>
          <cell r="B1098" t="str">
            <v>FG</v>
          </cell>
          <cell r="C1098" t="str">
            <v>FM</v>
          </cell>
          <cell r="D1098" t="str">
            <v>VEGROL C1698</v>
          </cell>
          <cell r="I1098">
            <v>290.23</v>
          </cell>
          <cell r="R1098">
            <v>561.98</v>
          </cell>
          <cell r="AA1098">
            <v>504.05</v>
          </cell>
          <cell r="AJ1098">
            <v>288.8</v>
          </cell>
          <cell r="AS1098">
            <v>195.93850000000003</v>
          </cell>
          <cell r="BB1098">
            <v>125.82745</v>
          </cell>
        </row>
        <row r="1099">
          <cell r="A1099">
            <v>168</v>
          </cell>
          <cell r="B1099" t="str">
            <v>FG</v>
          </cell>
          <cell r="C1099" t="str">
            <v>FM</v>
          </cell>
          <cell r="D1099" t="str">
            <v>VEGROL C1895</v>
          </cell>
        </row>
        <row r="1100">
          <cell r="A1100">
            <v>169</v>
          </cell>
          <cell r="B1100" t="str">
            <v>FG</v>
          </cell>
          <cell r="C1100" t="str">
            <v>FM</v>
          </cell>
          <cell r="D1100" t="str">
            <v>VEGROL C1898</v>
          </cell>
          <cell r="BB1100">
            <v>296.87170000000003</v>
          </cell>
        </row>
        <row r="1101">
          <cell r="A1101">
            <v>170</v>
          </cell>
          <cell r="B1101" t="str">
            <v>FG</v>
          </cell>
          <cell r="C1101" t="str">
            <v>FM</v>
          </cell>
          <cell r="D1101" t="str">
            <v>VEGROL C1822 (seed alc)</v>
          </cell>
        </row>
        <row r="1102">
          <cell r="A1102">
            <v>171</v>
          </cell>
          <cell r="B1102" t="str">
            <v>FG</v>
          </cell>
          <cell r="C1102" t="str">
            <v>SM</v>
          </cell>
          <cell r="D1102" t="str">
            <v>VEGROL C20:2250:50</v>
          </cell>
        </row>
        <row r="1103">
          <cell r="A1103">
            <v>172</v>
          </cell>
          <cell r="B1103" t="str">
            <v>FG</v>
          </cell>
          <cell r="C1103" t="str">
            <v>SM</v>
          </cell>
          <cell r="D1103" t="str">
            <v>VEGROL C2280</v>
          </cell>
          <cell r="I1103">
            <v>53.561999999999998</v>
          </cell>
          <cell r="R1103">
            <v>76.029600000000002</v>
          </cell>
        </row>
        <row r="1104">
          <cell r="A1104">
            <v>173</v>
          </cell>
          <cell r="B1104" t="str">
            <v>FG</v>
          </cell>
          <cell r="C1104" t="str">
            <v>SM</v>
          </cell>
          <cell r="D1104" t="str">
            <v>VEGROL1216 CONCENTRATED</v>
          </cell>
        </row>
        <row r="1105">
          <cell r="A1105">
            <v>250</v>
          </cell>
          <cell r="B1105" t="str">
            <v>FG</v>
          </cell>
          <cell r="C1105" t="str">
            <v>SM</v>
          </cell>
          <cell r="D1105" t="str">
            <v>VEGROL C2270</v>
          </cell>
          <cell r="I1105">
            <v>144.49900000000002</v>
          </cell>
          <cell r="R1105">
            <v>154.38190000000003</v>
          </cell>
          <cell r="AA1105">
            <v>47</v>
          </cell>
          <cell r="AJ1105">
            <v>2</v>
          </cell>
          <cell r="AS1105">
            <v>1.9355999999999938</v>
          </cell>
          <cell r="BB1105">
            <v>1.9355999999999938</v>
          </cell>
        </row>
        <row r="1106">
          <cell r="F1106">
            <v>0</v>
          </cell>
          <cell r="G1106">
            <v>0</v>
          </cell>
          <cell r="H1106">
            <v>650.04999999999995</v>
          </cell>
          <cell r="I1106">
            <v>3980.0494560000006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806.23</v>
          </cell>
          <cell r="R1106">
            <v>4179.3442519999999</v>
          </cell>
          <cell r="S1106">
            <v>0</v>
          </cell>
          <cell r="T1106">
            <v>0</v>
          </cell>
          <cell r="U1106">
            <v>0</v>
          </cell>
          <cell r="V1106">
            <v>103.16999999999999</v>
          </cell>
          <cell r="W1106">
            <v>0</v>
          </cell>
          <cell r="X1106">
            <v>0</v>
          </cell>
          <cell r="Y1106">
            <v>0</v>
          </cell>
          <cell r="Z1106">
            <v>1808.04</v>
          </cell>
          <cell r="AA1106">
            <v>4508.0300000000007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1808.04</v>
          </cell>
          <cell r="AJ1106">
            <v>4254.7300000000005</v>
          </cell>
          <cell r="AK1106">
            <v>0</v>
          </cell>
          <cell r="AL1106">
            <v>0</v>
          </cell>
          <cell r="AM1106">
            <v>0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4331.3199400000003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3915.7012140000002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</row>
        <row r="1107">
          <cell r="A1107" t="str">
            <v>PASTILLES</v>
          </cell>
        </row>
        <row r="1108">
          <cell r="A1108">
            <v>174</v>
          </cell>
          <cell r="B1108" t="str">
            <v>FG</v>
          </cell>
          <cell r="C1108" t="str">
            <v>FM</v>
          </cell>
          <cell r="D1108" t="str">
            <v>VEGROL C1618TA</v>
          </cell>
          <cell r="I1108">
            <v>104.038</v>
          </cell>
          <cell r="R1108">
            <v>230.63800000000001</v>
          </cell>
          <cell r="AA1108">
            <v>151.26300000000001</v>
          </cell>
          <cell r="AJ1108">
            <v>110.46299999999999</v>
          </cell>
          <cell r="AS1108">
            <v>116.663</v>
          </cell>
          <cell r="BB1108">
            <v>112.663</v>
          </cell>
        </row>
        <row r="1109">
          <cell r="A1109">
            <v>175</v>
          </cell>
          <cell r="B1109" t="str">
            <v>FG</v>
          </cell>
          <cell r="C1109" t="str">
            <v>FM</v>
          </cell>
          <cell r="D1109" t="str">
            <v>VEGROL C1618(50:50)</v>
          </cell>
          <cell r="I1109">
            <v>25.574999999999999</v>
          </cell>
          <cell r="R1109">
            <v>51.575000000000003</v>
          </cell>
          <cell r="AA1109">
            <v>59.975000000000001</v>
          </cell>
          <cell r="AJ1109">
            <v>42</v>
          </cell>
          <cell r="AS1109">
            <v>70.323999999999998</v>
          </cell>
          <cell r="BB1109">
            <v>88.119</v>
          </cell>
        </row>
        <row r="1110">
          <cell r="A1110">
            <v>176</v>
          </cell>
          <cell r="B1110" t="str">
            <v>FG</v>
          </cell>
          <cell r="C1110" t="str">
            <v>FM</v>
          </cell>
          <cell r="D1110" t="str">
            <v>VEGROL C1618PS</v>
          </cell>
        </row>
        <row r="1111">
          <cell r="A1111">
            <v>177</v>
          </cell>
          <cell r="B1111" t="str">
            <v>FG</v>
          </cell>
          <cell r="C1111" t="str">
            <v>FM</v>
          </cell>
          <cell r="D1111" t="str">
            <v>VEGROL C1698</v>
          </cell>
          <cell r="I1111">
            <v>60.84</v>
          </cell>
          <cell r="R1111">
            <v>110.32</v>
          </cell>
          <cell r="AA1111">
            <v>126.84</v>
          </cell>
          <cell r="AJ1111">
            <v>263.7</v>
          </cell>
          <cell r="AS1111">
            <v>166.97</v>
          </cell>
          <cell r="BB1111">
            <v>234.47</v>
          </cell>
        </row>
        <row r="1112">
          <cell r="A1112">
            <v>178</v>
          </cell>
          <cell r="B1112" t="str">
            <v>FG</v>
          </cell>
          <cell r="C1112" t="str">
            <v>FM</v>
          </cell>
          <cell r="D1112" t="str">
            <v>VEGROL C1895</v>
          </cell>
        </row>
        <row r="1113">
          <cell r="A1113">
            <v>179</v>
          </cell>
          <cell r="B1113" t="str">
            <v>FG</v>
          </cell>
          <cell r="C1113" t="str">
            <v>FM</v>
          </cell>
          <cell r="D1113" t="str">
            <v>VEGROL C1898</v>
          </cell>
          <cell r="I1113">
            <v>29.4</v>
          </cell>
          <cell r="R1113">
            <v>7.7</v>
          </cell>
          <cell r="AA1113">
            <v>4.7</v>
          </cell>
          <cell r="AJ1113">
            <v>4.7</v>
          </cell>
          <cell r="AS1113">
            <v>2.0499999999999998</v>
          </cell>
          <cell r="BB1113">
            <v>30.13</v>
          </cell>
        </row>
        <row r="1114">
          <cell r="A1114">
            <v>180</v>
          </cell>
          <cell r="B1114" t="str">
            <v>FG</v>
          </cell>
          <cell r="C1114" t="str">
            <v>FM</v>
          </cell>
          <cell r="D1114" t="str">
            <v>VEGROL C1822</v>
          </cell>
          <cell r="I1114">
            <v>7.8</v>
          </cell>
          <cell r="R1114">
            <v>7.8</v>
          </cell>
          <cell r="AA1114">
            <v>18.600000000000001</v>
          </cell>
          <cell r="AJ1114">
            <v>4.0999999999999996</v>
          </cell>
          <cell r="AS1114">
            <v>3.6</v>
          </cell>
          <cell r="BB1114">
            <v>3.6</v>
          </cell>
        </row>
        <row r="1115">
          <cell r="A1115">
            <v>181</v>
          </cell>
          <cell r="B1115" t="str">
            <v>FG</v>
          </cell>
          <cell r="C1115" t="str">
            <v>FM</v>
          </cell>
          <cell r="D1115" t="str">
            <v>VEGROL C22</v>
          </cell>
          <cell r="I1115">
            <v>74.384</v>
          </cell>
          <cell r="R1115">
            <v>62.283999999999999</v>
          </cell>
          <cell r="AA1115">
            <v>105.28400000000001</v>
          </cell>
          <cell r="AJ1115">
            <v>135.553</v>
          </cell>
          <cell r="AS1115">
            <v>116.053</v>
          </cell>
          <cell r="BB1115">
            <v>114.753</v>
          </cell>
        </row>
        <row r="1116">
          <cell r="A1116">
            <v>182</v>
          </cell>
          <cell r="B1116" t="str">
            <v>FG</v>
          </cell>
          <cell r="C1116" t="str">
            <v>FM</v>
          </cell>
          <cell r="D1116" t="str">
            <v>VEGROL C2280</v>
          </cell>
          <cell r="I1116">
            <v>17.25</v>
          </cell>
          <cell r="R1116">
            <v>17.25</v>
          </cell>
          <cell r="AA1116">
            <v>17.25</v>
          </cell>
          <cell r="AJ1116">
            <v>17.25</v>
          </cell>
          <cell r="AS1116">
            <v>17.25</v>
          </cell>
          <cell r="BB1116">
            <v>17.25</v>
          </cell>
        </row>
        <row r="1117">
          <cell r="A1117">
            <v>183</v>
          </cell>
          <cell r="B1117" t="str">
            <v>FG</v>
          </cell>
          <cell r="C1117" t="str">
            <v>FM</v>
          </cell>
          <cell r="D1117" t="str">
            <v>OFF GRADE PASTILLES</v>
          </cell>
          <cell r="I1117">
            <v>207</v>
          </cell>
          <cell r="R1117">
            <v>207</v>
          </cell>
          <cell r="AA1117">
            <v>207</v>
          </cell>
          <cell r="AJ1117">
            <v>207</v>
          </cell>
          <cell r="AS1117">
            <v>207</v>
          </cell>
          <cell r="BB1117">
            <v>207</v>
          </cell>
        </row>
        <row r="1118">
          <cell r="F1118">
            <v>0</v>
          </cell>
          <cell r="G1118">
            <v>0</v>
          </cell>
          <cell r="H1118">
            <v>0</v>
          </cell>
          <cell r="I1118">
            <v>526.28700000000003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694.56700000000001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690.91200000000003</v>
          </cell>
          <cell r="AB1118">
            <v>0</v>
          </cell>
          <cell r="AC1118">
            <v>0</v>
          </cell>
          <cell r="AD1118">
            <v>0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784.76600000000008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699.91000000000008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807.98500000000001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</row>
        <row r="1119">
          <cell r="A1119" t="str">
            <v xml:space="preserve">ALCOHOL-INTERMEDIATES </v>
          </cell>
        </row>
        <row r="1120">
          <cell r="A1120">
            <v>184</v>
          </cell>
          <cell r="B1120" t="str">
            <v>IPRM</v>
          </cell>
          <cell r="C1120" t="str">
            <v>NM</v>
          </cell>
          <cell r="D1120" t="str">
            <v>ALCOHOL-L/E-C-12 88%</v>
          </cell>
        </row>
        <row r="1121">
          <cell r="A1121">
            <v>185</v>
          </cell>
          <cell r="B1121" t="str">
            <v>IPRM</v>
          </cell>
          <cell r="C1121" t="str">
            <v>NM</v>
          </cell>
          <cell r="D1121" t="str">
            <v>ALCOHOL-L/E-1(1214)</v>
          </cell>
          <cell r="I1121">
            <v>245.7</v>
          </cell>
          <cell r="R1121">
            <v>235.4</v>
          </cell>
          <cell r="AA1121">
            <v>166.6</v>
          </cell>
          <cell r="AJ1121">
            <v>132.24</v>
          </cell>
          <cell r="AS1121">
            <v>148.32</v>
          </cell>
          <cell r="BB1121">
            <v>148.32</v>
          </cell>
        </row>
        <row r="1122">
          <cell r="A1122">
            <v>186</v>
          </cell>
          <cell r="B1122" t="str">
            <v>IPRM</v>
          </cell>
          <cell r="C1122" t="str">
            <v>NM</v>
          </cell>
          <cell r="D1122" t="str">
            <v>ALCOHOL-L/E-2(C12C16)</v>
          </cell>
          <cell r="I1122">
            <v>199.2</v>
          </cell>
          <cell r="R1122">
            <v>218.95599999999999</v>
          </cell>
          <cell r="AA1122">
            <v>218.95599999999999</v>
          </cell>
          <cell r="AJ1122">
            <v>218.95599999999999</v>
          </cell>
        </row>
        <row r="1123">
          <cell r="A1123">
            <v>187</v>
          </cell>
          <cell r="B1123" t="str">
            <v>IPRM</v>
          </cell>
          <cell r="C1123" t="str">
            <v>NM</v>
          </cell>
          <cell r="D1123" t="str">
            <v>ALCOHOL-L/E-C1618,22</v>
          </cell>
          <cell r="I1123">
            <v>334.22256000000004</v>
          </cell>
          <cell r="R1123">
            <v>373.98256000000003</v>
          </cell>
          <cell r="AA1123">
            <v>1198.3</v>
          </cell>
          <cell r="AJ1123">
            <v>1218</v>
          </cell>
          <cell r="AS1123">
            <v>601.1</v>
          </cell>
          <cell r="BB1123">
            <v>1320.8</v>
          </cell>
        </row>
        <row r="1124">
          <cell r="A1124">
            <v>188</v>
          </cell>
          <cell r="B1124" t="str">
            <v>IPRM</v>
          </cell>
          <cell r="C1124" t="str">
            <v>NM</v>
          </cell>
          <cell r="D1124" t="str">
            <v>ALCOHOL-L/E-2(C12C18)</v>
          </cell>
        </row>
        <row r="1125">
          <cell r="A1125">
            <v>189</v>
          </cell>
          <cell r="B1125" t="str">
            <v>IPRM</v>
          </cell>
          <cell r="C1125" t="str">
            <v>NM</v>
          </cell>
          <cell r="D1125" t="str">
            <v>ALCOHOL-C16RICH</v>
          </cell>
        </row>
        <row r="1126">
          <cell r="A1126">
            <v>190</v>
          </cell>
          <cell r="B1126" t="str">
            <v>IPRM</v>
          </cell>
          <cell r="C1126" t="str">
            <v>NM</v>
          </cell>
          <cell r="D1126" t="str">
            <v>ALCOHOL-CRUDE / L/E'S</v>
          </cell>
          <cell r="AJ1126">
            <v>35</v>
          </cell>
        </row>
        <row r="1127">
          <cell r="A1127">
            <v>191</v>
          </cell>
          <cell r="B1127" t="str">
            <v>IPRM</v>
          </cell>
          <cell r="C1127" t="str">
            <v>NM</v>
          </cell>
          <cell r="D1127" t="str">
            <v>L/E of ALC . 18</v>
          </cell>
        </row>
        <row r="1128">
          <cell r="A1128">
            <v>192</v>
          </cell>
          <cell r="B1128" t="str">
            <v>IPRM</v>
          </cell>
          <cell r="C1128" t="str">
            <v>NM</v>
          </cell>
          <cell r="D1128" t="str">
            <v>L.E.of C 1822</v>
          </cell>
          <cell r="R1128">
            <v>379.99</v>
          </cell>
          <cell r="AA1128">
            <v>379.99</v>
          </cell>
          <cell r="AJ1128">
            <v>379.99</v>
          </cell>
          <cell r="AS1128">
            <v>379.99</v>
          </cell>
          <cell r="BB1128">
            <v>379.99</v>
          </cell>
        </row>
        <row r="1129">
          <cell r="A1129">
            <v>251</v>
          </cell>
          <cell r="B1129" t="str">
            <v>IPRM</v>
          </cell>
          <cell r="C1129" t="str">
            <v>NM</v>
          </cell>
          <cell r="D1129" t="str">
            <v>ALCOHOL-C12/C14 (seed alc)</v>
          </cell>
          <cell r="I1129">
            <v>170</v>
          </cell>
          <cell r="R1129">
            <v>170</v>
          </cell>
          <cell r="AA1129">
            <v>170</v>
          </cell>
          <cell r="AJ1129">
            <v>170</v>
          </cell>
          <cell r="AS1129">
            <v>170</v>
          </cell>
        </row>
        <row r="1130">
          <cell r="A1130">
            <v>252</v>
          </cell>
          <cell r="B1130" t="str">
            <v>IPRM</v>
          </cell>
          <cell r="C1130" t="str">
            <v>NM</v>
          </cell>
          <cell r="D1130" t="str">
            <v>ALCOHOL-C16 98 (seed alc)</v>
          </cell>
          <cell r="I1130">
            <v>170</v>
          </cell>
          <cell r="R1130">
            <v>170</v>
          </cell>
          <cell r="AA1130">
            <v>170</v>
          </cell>
          <cell r="AJ1130">
            <v>170</v>
          </cell>
          <cell r="AS1130">
            <v>170</v>
          </cell>
        </row>
        <row r="1131">
          <cell r="A1131">
            <v>253</v>
          </cell>
          <cell r="B1131" t="str">
            <v>IPRM</v>
          </cell>
          <cell r="C1131" t="str">
            <v>NM</v>
          </cell>
          <cell r="D1131" t="str">
            <v>ALCOHOL-C18 98 (seed alc)</v>
          </cell>
          <cell r="I1131">
            <v>142</v>
          </cell>
          <cell r="R1131">
            <v>109.4238</v>
          </cell>
          <cell r="AA1131">
            <v>106.8639</v>
          </cell>
          <cell r="AJ1131">
            <v>107</v>
          </cell>
          <cell r="AS1131">
            <v>21</v>
          </cell>
        </row>
        <row r="1132">
          <cell r="A1132">
            <v>254</v>
          </cell>
          <cell r="B1132" t="str">
            <v>IPRM</v>
          </cell>
          <cell r="C1132" t="str">
            <v>NM</v>
          </cell>
          <cell r="D1132" t="str">
            <v>ALCOHOL-C16/C18 TA (seed alc)</v>
          </cell>
          <cell r="I1132">
            <v>170</v>
          </cell>
          <cell r="R1132">
            <v>170</v>
          </cell>
          <cell r="AA1132">
            <v>118.96987200000001</v>
          </cell>
          <cell r="AJ1132">
            <v>119</v>
          </cell>
          <cell r="AS1132">
            <v>170</v>
          </cell>
        </row>
        <row r="1133">
          <cell r="A1133">
            <v>193</v>
          </cell>
          <cell r="B1133" t="str">
            <v>IPRM</v>
          </cell>
          <cell r="C1133" t="str">
            <v>NM</v>
          </cell>
          <cell r="D1133" t="str">
            <v>ALCOHOL-C16/C18 (seed alc)</v>
          </cell>
          <cell r="AA1133">
            <v>346.85033600000003</v>
          </cell>
        </row>
        <row r="1134">
          <cell r="A1134">
            <v>194</v>
          </cell>
          <cell r="B1134" t="str">
            <v>IPRM</v>
          </cell>
          <cell r="C1134" t="str">
            <v>NM</v>
          </cell>
          <cell r="D1134" t="str">
            <v>ALCOHOL-C18/C22 (seed alc)</v>
          </cell>
          <cell r="AA1134">
            <v>241.345</v>
          </cell>
        </row>
        <row r="1135">
          <cell r="A1135">
            <v>255</v>
          </cell>
          <cell r="B1135" t="str">
            <v>IPRM</v>
          </cell>
          <cell r="C1135" t="str">
            <v>NM</v>
          </cell>
          <cell r="D1135" t="str">
            <v>ALCOHOL-C22 70 (seed alc)</v>
          </cell>
          <cell r="I1135">
            <v>170</v>
          </cell>
          <cell r="R1135">
            <v>170</v>
          </cell>
          <cell r="AA1135">
            <v>170</v>
          </cell>
          <cell r="AJ1135">
            <v>170</v>
          </cell>
          <cell r="AS1135">
            <v>170</v>
          </cell>
        </row>
        <row r="1136">
          <cell r="A1136">
            <v>195</v>
          </cell>
          <cell r="B1136" t="str">
            <v>IPRM</v>
          </cell>
          <cell r="C1136" t="str">
            <v>NM</v>
          </cell>
          <cell r="D1136" t="str">
            <v>Int. Alc.20-22</v>
          </cell>
        </row>
        <row r="1137">
          <cell r="A1137">
            <v>196</v>
          </cell>
          <cell r="B1137" t="str">
            <v>IPRM</v>
          </cell>
          <cell r="C1137" t="str">
            <v>NM</v>
          </cell>
          <cell r="D1137" t="str">
            <v>ALCOHOL-RESIDUE</v>
          </cell>
          <cell r="BB1137">
            <v>110.5368</v>
          </cell>
        </row>
        <row r="1138">
          <cell r="A1138">
            <v>197</v>
          </cell>
          <cell r="B1138" t="str">
            <v>IPRM</v>
          </cell>
          <cell r="C1138" t="str">
            <v>NM</v>
          </cell>
          <cell r="D1138" t="str">
            <v>ALCOHOL-HYDROCARBON</v>
          </cell>
        </row>
        <row r="1139">
          <cell r="A1139">
            <v>198</v>
          </cell>
          <cell r="B1139" t="str">
            <v>IPRM</v>
          </cell>
          <cell r="C1139" t="str">
            <v>NM</v>
          </cell>
          <cell r="D1139" t="str">
            <v>Int. Alc. V1218</v>
          </cell>
          <cell r="AS1139">
            <v>22.704429999999999</v>
          </cell>
          <cell r="BB1139">
            <v>22.704429999999999</v>
          </cell>
        </row>
        <row r="1140">
          <cell r="A1140">
            <v>199</v>
          </cell>
          <cell r="B1140" t="str">
            <v>IPRM</v>
          </cell>
          <cell r="C1140" t="str">
            <v>NM</v>
          </cell>
          <cell r="D1140" t="str">
            <v>Int. Alc. V1216</v>
          </cell>
          <cell r="I1140">
            <v>1611.2</v>
          </cell>
          <cell r="AS1140">
            <v>218.95599999999999</v>
          </cell>
          <cell r="BB1140">
            <v>218.95599999999999</v>
          </cell>
        </row>
        <row r="1141">
          <cell r="A1141">
            <v>200</v>
          </cell>
          <cell r="B1141" t="str">
            <v>IPRM</v>
          </cell>
          <cell r="C1141" t="str">
            <v>NM</v>
          </cell>
          <cell r="D1141" t="str">
            <v>Int. Alc. V1618</v>
          </cell>
          <cell r="R1141">
            <v>1561.9</v>
          </cell>
          <cell r="AA1141">
            <v>390.42</v>
          </cell>
          <cell r="AJ1141">
            <v>737.19</v>
          </cell>
          <cell r="AS1141">
            <v>905.56400000000008</v>
          </cell>
          <cell r="BB1141">
            <v>612.36400000000003</v>
          </cell>
        </row>
        <row r="1142">
          <cell r="A1142">
            <v>259</v>
          </cell>
          <cell r="B1142" t="str">
            <v>IPRM</v>
          </cell>
          <cell r="C1142" t="str">
            <v>NM</v>
          </cell>
          <cell r="D1142" t="str">
            <v>Int. Alc. V1822</v>
          </cell>
          <cell r="I1142">
            <v>621.29</v>
          </cell>
          <cell r="R1142">
            <v>241.345</v>
          </cell>
          <cell r="AJ1142">
            <v>241.345</v>
          </cell>
          <cell r="AS1142">
            <v>241.345</v>
          </cell>
          <cell r="BB1142">
            <v>241.345</v>
          </cell>
        </row>
        <row r="1143">
          <cell r="A1143">
            <v>201</v>
          </cell>
          <cell r="B1143" t="str">
            <v>IPRM</v>
          </cell>
          <cell r="C1143" t="str">
            <v>NM</v>
          </cell>
          <cell r="D1143" t="str">
            <v>Wax ester 1214/1618</v>
          </cell>
        </row>
        <row r="1144">
          <cell r="A1144">
            <v>202</v>
          </cell>
          <cell r="B1144" t="str">
            <v>IPRM</v>
          </cell>
          <cell r="C1144" t="str">
            <v>NM</v>
          </cell>
          <cell r="D1144" t="str">
            <v>Wax ester 1216/1218</v>
          </cell>
        </row>
        <row r="1145">
          <cell r="A1145">
            <v>203</v>
          </cell>
          <cell r="B1145" t="str">
            <v>IPRM</v>
          </cell>
          <cell r="C1145" t="str">
            <v>SM</v>
          </cell>
          <cell r="D1145" t="str">
            <v>ALCOHOL Residue 1618</v>
          </cell>
        </row>
        <row r="1146">
          <cell r="A1146">
            <v>204</v>
          </cell>
          <cell r="B1146" t="str">
            <v>IPRM</v>
          </cell>
          <cell r="C1146" t="str">
            <v>SM</v>
          </cell>
          <cell r="D1146" t="str">
            <v>ALCOHOL Residue 1822</v>
          </cell>
        </row>
        <row r="1147">
          <cell r="A1147">
            <v>205</v>
          </cell>
          <cell r="B1147" t="str">
            <v>IPRM</v>
          </cell>
          <cell r="C1147" t="str">
            <v>SM</v>
          </cell>
          <cell r="D1147" t="str">
            <v>ALCOHOL Residue 2022</v>
          </cell>
          <cell r="I1147">
            <v>99.563700000000011</v>
          </cell>
          <cell r="R1147">
            <v>98.947500000000005</v>
          </cell>
          <cell r="AA1147">
            <v>98.892200000000017</v>
          </cell>
          <cell r="AJ1147">
            <v>108.783</v>
          </cell>
          <cell r="AS1147">
            <v>110.536</v>
          </cell>
        </row>
        <row r="1148">
          <cell r="A1148">
            <v>206</v>
          </cell>
          <cell r="B1148" t="str">
            <v>IPRM</v>
          </cell>
          <cell r="C1148" t="str">
            <v>SM</v>
          </cell>
          <cell r="D1148" t="str">
            <v>ALCOHOL B/P&gt;C18</v>
          </cell>
          <cell r="I1148">
            <v>161.8566857142857</v>
          </cell>
          <cell r="R1148">
            <v>175.86351428571427</v>
          </cell>
          <cell r="AA1148">
            <v>175.86351428571427</v>
          </cell>
          <cell r="AJ1148">
            <v>176.64167142857141</v>
          </cell>
          <cell r="AS1148">
            <v>511.79199999999997</v>
          </cell>
          <cell r="BB1148">
            <v>97.269642857142841</v>
          </cell>
        </row>
        <row r="1149">
          <cell r="A1149">
            <v>207</v>
          </cell>
          <cell r="B1149" t="str">
            <v>IPRM</v>
          </cell>
          <cell r="C1149" t="str">
            <v>SM</v>
          </cell>
          <cell r="D1149" t="str">
            <v>Crude Alc. 1216</v>
          </cell>
        </row>
        <row r="1150">
          <cell r="F1150">
            <v>0</v>
          </cell>
          <cell r="G1150">
            <v>0</v>
          </cell>
          <cell r="H1150">
            <v>0</v>
          </cell>
          <cell r="I1150">
            <v>4095.0329457142857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4075.8083742857143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3953.0508222857143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  <cell r="AI1150">
            <v>0</v>
          </cell>
          <cell r="AJ1150">
            <v>3984.1456714285709</v>
          </cell>
          <cell r="AK1150">
            <v>0</v>
          </cell>
          <cell r="AL1150">
            <v>0</v>
          </cell>
          <cell r="AM1150">
            <v>0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3841.3074299999998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3152.2858728571427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</row>
        <row r="1151">
          <cell r="A1151" t="str">
            <v>SOAP NOODLES</v>
          </cell>
        </row>
        <row r="1152">
          <cell r="A1152">
            <v>208</v>
          </cell>
          <cell r="B1152" t="str">
            <v>FG</v>
          </cell>
          <cell r="C1152" t="str">
            <v>FM</v>
          </cell>
          <cell r="D1152" t="str">
            <v>DETTOL</v>
          </cell>
          <cell r="E1152" t="str">
            <v>AL</v>
          </cell>
          <cell r="I1152">
            <v>32.6</v>
          </cell>
          <cell r="N1152">
            <v>14.39</v>
          </cell>
          <cell r="R1152">
            <v>0.6</v>
          </cell>
          <cell r="W1152">
            <v>14.39</v>
          </cell>
          <cell r="AA1152">
            <v>21.8</v>
          </cell>
          <cell r="AB1152">
            <v>139.56</v>
          </cell>
          <cell r="AE1152">
            <v>188.4</v>
          </cell>
          <cell r="AF1152">
            <v>14.39</v>
          </cell>
          <cell r="AO1152">
            <v>180.29</v>
          </cell>
          <cell r="AS1152">
            <v>0</v>
          </cell>
          <cell r="AT1152">
            <v>135.66</v>
          </cell>
          <cell r="AX1152">
            <v>107.54</v>
          </cell>
          <cell r="BB1152">
            <v>45</v>
          </cell>
          <cell r="BG1152">
            <v>74.540000000000006</v>
          </cell>
        </row>
        <row r="1153">
          <cell r="A1153">
            <v>209</v>
          </cell>
          <cell r="B1153" t="str">
            <v>FG</v>
          </cell>
          <cell r="C1153" t="str">
            <v>FM</v>
          </cell>
          <cell r="D1153" t="str">
            <v>DETTOL SKINCARE</v>
          </cell>
          <cell r="I1153">
            <v>0</v>
          </cell>
          <cell r="N1153">
            <v>7.5</v>
          </cell>
          <cell r="R1153">
            <v>0</v>
          </cell>
          <cell r="W1153">
            <v>7.5</v>
          </cell>
          <cell r="AA1153">
            <v>0</v>
          </cell>
          <cell r="AF1153">
            <v>7.5</v>
          </cell>
          <cell r="AJ1153">
            <v>41</v>
          </cell>
          <cell r="AN1153">
            <v>201.2</v>
          </cell>
          <cell r="AO1153">
            <v>7.5</v>
          </cell>
          <cell r="AS1153">
            <v>3.5</v>
          </cell>
          <cell r="AX1153">
            <v>7.5</v>
          </cell>
          <cell r="BB1153">
            <v>3.5</v>
          </cell>
          <cell r="BG1153">
            <v>7.5</v>
          </cell>
        </row>
        <row r="1154">
          <cell r="A1154">
            <v>210</v>
          </cell>
          <cell r="B1154" t="str">
            <v>FG</v>
          </cell>
          <cell r="C1154" t="str">
            <v>FM</v>
          </cell>
          <cell r="D1154" t="str">
            <v>JBMS 40:60</v>
          </cell>
          <cell r="E1154" t="str">
            <v>W</v>
          </cell>
          <cell r="I1154">
            <v>0</v>
          </cell>
          <cell r="J1154">
            <v>24.8</v>
          </cell>
          <cell r="M1154">
            <v>32.4</v>
          </cell>
          <cell r="N1154">
            <v>398.6</v>
          </cell>
          <cell r="R1154">
            <v>0</v>
          </cell>
          <cell r="S1154">
            <v>49.2</v>
          </cell>
          <cell r="W1154">
            <v>201.8</v>
          </cell>
          <cell r="AA1154">
            <v>0</v>
          </cell>
          <cell r="AB1154">
            <v>49.2</v>
          </cell>
          <cell r="AF1154">
            <v>68</v>
          </cell>
          <cell r="AJ1154">
            <v>84.8</v>
          </cell>
          <cell r="AK1154">
            <v>49.2</v>
          </cell>
          <cell r="AS1154">
            <v>2</v>
          </cell>
          <cell r="AT1154">
            <v>49.2</v>
          </cell>
          <cell r="AX1154">
            <v>206.4</v>
          </cell>
          <cell r="BB1154">
            <v>2</v>
          </cell>
          <cell r="BC1154">
            <v>49.2</v>
          </cell>
          <cell r="BG1154">
            <v>138.80000000000001</v>
          </cell>
        </row>
        <row r="1155">
          <cell r="A1155">
            <v>211</v>
          </cell>
          <cell r="B1155" t="str">
            <v>FG</v>
          </cell>
          <cell r="C1155" t="str">
            <v>FM</v>
          </cell>
          <cell r="D1155" t="str">
            <v>JNC 99</v>
          </cell>
          <cell r="E1155">
            <v>99</v>
          </cell>
          <cell r="I1155">
            <v>0</v>
          </cell>
          <cell r="J1155">
            <v>85.3</v>
          </cell>
          <cell r="N1155">
            <v>231.21</v>
          </cell>
          <cell r="R1155">
            <v>0</v>
          </cell>
          <cell r="S1155">
            <v>156.9</v>
          </cell>
          <cell r="V1155">
            <v>32.799999999999997</v>
          </cell>
          <cell r="W1155">
            <v>142.81</v>
          </cell>
          <cell r="AA1155">
            <v>77</v>
          </cell>
          <cell r="AB1155">
            <v>156.9</v>
          </cell>
          <cell r="AF1155">
            <v>141.21</v>
          </cell>
          <cell r="AJ1155">
            <v>13</v>
          </cell>
          <cell r="AK1155">
            <v>211.7</v>
          </cell>
          <cell r="AO1155">
            <v>102.41</v>
          </cell>
          <cell r="AS1155">
            <v>0</v>
          </cell>
          <cell r="AT1155">
            <v>193.3</v>
          </cell>
          <cell r="AX1155">
            <v>83.21</v>
          </cell>
          <cell r="BB1155">
            <v>0</v>
          </cell>
          <cell r="BC1155">
            <v>193.3</v>
          </cell>
          <cell r="BG1155">
            <v>66.81</v>
          </cell>
        </row>
        <row r="1156">
          <cell r="A1156">
            <v>212</v>
          </cell>
          <cell r="B1156" t="str">
            <v>FG</v>
          </cell>
          <cell r="C1156" t="str">
            <v>FM</v>
          </cell>
          <cell r="D1156" t="str">
            <v>JO TF 70%</v>
          </cell>
          <cell r="E1156" t="str">
            <v>TF</v>
          </cell>
          <cell r="I1156">
            <v>149</v>
          </cell>
          <cell r="J1156">
            <v>219.61099999999999</v>
          </cell>
          <cell r="M1156">
            <v>234.3</v>
          </cell>
          <cell r="N1156">
            <v>0.11</v>
          </cell>
          <cell r="R1156">
            <v>3.2</v>
          </cell>
          <cell r="S1156">
            <v>186.161</v>
          </cell>
          <cell r="V1156">
            <v>178</v>
          </cell>
          <cell r="W1156">
            <v>380</v>
          </cell>
          <cell r="AA1156">
            <v>3.2</v>
          </cell>
          <cell r="AB1156">
            <v>188.33600000000001</v>
          </cell>
          <cell r="AF1156">
            <v>336.6</v>
          </cell>
          <cell r="AJ1156">
            <v>174</v>
          </cell>
          <cell r="AK1156">
            <v>137.18599999999998</v>
          </cell>
          <cell r="AN1156">
            <v>68.8</v>
          </cell>
          <cell r="AO1156">
            <v>225.2</v>
          </cell>
          <cell r="AS1156">
            <v>19.600000000000001</v>
          </cell>
          <cell r="AT1156">
            <v>131.136</v>
          </cell>
          <cell r="AW1156">
            <v>68</v>
          </cell>
          <cell r="AX1156">
            <v>34.450000000000003</v>
          </cell>
          <cell r="BB1156">
            <v>19.600000000000001</v>
          </cell>
          <cell r="BC1156">
            <v>131.136</v>
          </cell>
          <cell r="BF1156">
            <v>36</v>
          </cell>
        </row>
        <row r="1157">
          <cell r="A1157">
            <v>213</v>
          </cell>
          <cell r="B1157" t="str">
            <v>FG</v>
          </cell>
          <cell r="C1157" t="str">
            <v>FM</v>
          </cell>
          <cell r="D1157" t="str">
            <v>DR TF 70%</v>
          </cell>
          <cell r="E1157" t="str">
            <v>TF D</v>
          </cell>
          <cell r="I1157">
            <v>0</v>
          </cell>
          <cell r="J1157">
            <v>84.6</v>
          </cell>
          <cell r="M1157">
            <v>159</v>
          </cell>
          <cell r="R1157">
            <v>0</v>
          </cell>
          <cell r="S1157">
            <v>18</v>
          </cell>
          <cell r="V1157">
            <v>127.2</v>
          </cell>
          <cell r="W1157">
            <v>128.09</v>
          </cell>
          <cell r="AA1157">
            <v>0</v>
          </cell>
          <cell r="AE1157">
            <v>63.84</v>
          </cell>
          <cell r="AF1157">
            <v>71.989999999999995</v>
          </cell>
          <cell r="AK1157">
            <v>200.16</v>
          </cell>
          <cell r="AN1157">
            <v>127.2</v>
          </cell>
          <cell r="AO1157">
            <v>19.260000000000002</v>
          </cell>
          <cell r="AS1157">
            <v>0</v>
          </cell>
          <cell r="AW1157">
            <v>171</v>
          </cell>
          <cell r="AX1157">
            <v>200.57</v>
          </cell>
          <cell r="BB1157">
            <v>0</v>
          </cell>
          <cell r="BC1157">
            <v>72.06</v>
          </cell>
          <cell r="BF1157">
            <v>48.3</v>
          </cell>
          <cell r="BG1157">
            <v>200.58</v>
          </cell>
        </row>
        <row r="1158">
          <cell r="A1158">
            <v>214</v>
          </cell>
          <cell r="B1158" t="str">
            <v>FG</v>
          </cell>
          <cell r="C1158" t="str">
            <v>FM</v>
          </cell>
          <cell r="D1158" t="str">
            <v>JO ALMOND W TF 70%</v>
          </cell>
          <cell r="E1158" t="str">
            <v>VITAVON W TF</v>
          </cell>
          <cell r="I1158">
            <v>0</v>
          </cell>
          <cell r="J1158">
            <v>18</v>
          </cell>
          <cell r="N1158">
            <v>97.6</v>
          </cell>
          <cell r="R1158">
            <v>0</v>
          </cell>
          <cell r="W1158">
            <v>64</v>
          </cell>
          <cell r="AA1158">
            <v>181</v>
          </cell>
          <cell r="AF1158">
            <v>46.6</v>
          </cell>
          <cell r="AK1158">
            <v>124</v>
          </cell>
          <cell r="AN1158">
            <v>32</v>
          </cell>
          <cell r="AO1158">
            <v>101.8</v>
          </cell>
          <cell r="AS1158">
            <v>1.6</v>
          </cell>
          <cell r="AT1158">
            <v>185.6</v>
          </cell>
          <cell r="AX1158">
            <v>97.8</v>
          </cell>
          <cell r="BB1158">
            <v>1.6</v>
          </cell>
          <cell r="BC1158">
            <v>94.8</v>
          </cell>
          <cell r="BG1158">
            <v>40.200000000000003</v>
          </cell>
        </row>
        <row r="1159">
          <cell r="A1159">
            <v>215</v>
          </cell>
          <cell r="B1159" t="str">
            <v>FG</v>
          </cell>
          <cell r="C1159" t="str">
            <v>FM</v>
          </cell>
          <cell r="D1159" t="str">
            <v>AMWAY</v>
          </cell>
          <cell r="I1159">
            <v>0</v>
          </cell>
          <cell r="N1159">
            <v>33</v>
          </cell>
          <cell r="R1159">
            <v>0</v>
          </cell>
          <cell r="V1159">
            <v>218</v>
          </cell>
          <cell r="W1159">
            <v>33</v>
          </cell>
          <cell r="AA1159">
            <v>0</v>
          </cell>
          <cell r="AF1159">
            <v>236.6</v>
          </cell>
          <cell r="AO1159">
            <v>210.6</v>
          </cell>
          <cell r="AS1159">
            <v>0</v>
          </cell>
          <cell r="AX1159">
            <v>142.6</v>
          </cell>
          <cell r="BB1159">
            <v>0</v>
          </cell>
          <cell r="BG1159">
            <v>135</v>
          </cell>
        </row>
        <row r="1160">
          <cell r="A1160">
            <v>216</v>
          </cell>
          <cell r="B1160" t="str">
            <v>FG</v>
          </cell>
          <cell r="C1160" t="str">
            <v>FM</v>
          </cell>
          <cell r="D1160" t="str">
            <v>FA SAUDI</v>
          </cell>
          <cell r="I1160">
            <v>0</v>
          </cell>
          <cell r="J1160">
            <v>29.2</v>
          </cell>
          <cell r="R1160">
            <v>0</v>
          </cell>
          <cell r="S1160">
            <v>29.2</v>
          </cell>
          <cell r="AA1160">
            <v>0</v>
          </cell>
          <cell r="AB1160">
            <v>29.2</v>
          </cell>
          <cell r="AK1160">
            <v>29.2</v>
          </cell>
          <cell r="AS1160">
            <v>0</v>
          </cell>
          <cell r="AT1160">
            <v>29.2</v>
          </cell>
          <cell r="BB1160">
            <v>0</v>
          </cell>
          <cell r="BC1160">
            <v>29.2</v>
          </cell>
        </row>
        <row r="1161">
          <cell r="A1161">
            <v>217</v>
          </cell>
          <cell r="B1161" t="str">
            <v>FG</v>
          </cell>
          <cell r="C1161" t="str">
            <v>FM</v>
          </cell>
          <cell r="D1161" t="str">
            <v>LE CHAT</v>
          </cell>
          <cell r="I1161">
            <v>0</v>
          </cell>
          <cell r="R1161">
            <v>0</v>
          </cell>
          <cell r="AA1161">
            <v>0</v>
          </cell>
          <cell r="AS1161">
            <v>0</v>
          </cell>
          <cell r="BB1161">
            <v>0</v>
          </cell>
        </row>
        <row r="1162">
          <cell r="A1162">
            <v>218</v>
          </cell>
          <cell r="B1162" t="str">
            <v>FG</v>
          </cell>
          <cell r="C1162" t="str">
            <v>FM</v>
          </cell>
          <cell r="D1162" t="str">
            <v>SDM NOODLES</v>
          </cell>
          <cell r="I1162">
            <v>16</v>
          </cell>
          <cell r="R1162">
            <v>16</v>
          </cell>
          <cell r="AA1162">
            <v>16</v>
          </cell>
          <cell r="AJ1162">
            <v>16</v>
          </cell>
          <cell r="AS1162">
            <v>16</v>
          </cell>
          <cell r="BB1162">
            <v>16</v>
          </cell>
        </row>
        <row r="1163">
          <cell r="A1163">
            <v>219</v>
          </cell>
          <cell r="B1163" t="str">
            <v>FG</v>
          </cell>
          <cell r="C1163" t="str">
            <v>FM</v>
          </cell>
          <cell r="D1163" t="str">
            <v>ITC</v>
          </cell>
          <cell r="I1163">
            <v>0</v>
          </cell>
          <cell r="J1163">
            <v>275.10000000000002</v>
          </cell>
          <cell r="R1163">
            <v>0</v>
          </cell>
          <cell r="S1163">
            <v>189.9</v>
          </cell>
          <cell r="AA1163">
            <v>0</v>
          </cell>
          <cell r="AB1163">
            <v>156.69999999999999</v>
          </cell>
          <cell r="AK1163">
            <v>211.5</v>
          </cell>
          <cell r="AS1163">
            <v>0</v>
          </cell>
          <cell r="AT1163">
            <v>212.3</v>
          </cell>
          <cell r="BB1163">
            <v>0</v>
          </cell>
          <cell r="BC1163">
            <v>201.1</v>
          </cell>
        </row>
        <row r="1164">
          <cell r="A1164">
            <v>220</v>
          </cell>
          <cell r="B1164" t="str">
            <v>FG</v>
          </cell>
          <cell r="C1164" t="str">
            <v>FM</v>
          </cell>
          <cell r="D1164" t="str">
            <v>GENERAL NOODLES</v>
          </cell>
          <cell r="I1164">
            <v>54.4</v>
          </cell>
          <cell r="R1164">
            <v>17.399999999999999</v>
          </cell>
          <cell r="AA1164">
            <v>17.399999999999999</v>
          </cell>
          <cell r="AJ1164">
            <v>35.200000000000003</v>
          </cell>
          <cell r="AS1164">
            <v>37.6</v>
          </cell>
          <cell r="BB1164">
            <v>37.6</v>
          </cell>
        </row>
        <row r="1165">
          <cell r="A1165">
            <v>221</v>
          </cell>
          <cell r="B1165" t="str">
            <v>FG</v>
          </cell>
          <cell r="C1165" t="str">
            <v>FM</v>
          </cell>
          <cell r="D1165" t="str">
            <v>NEAT SCRAP SOAP</v>
          </cell>
          <cell r="I1165">
            <v>10</v>
          </cell>
          <cell r="R1165">
            <v>10</v>
          </cell>
          <cell r="AA1165">
            <v>10</v>
          </cell>
          <cell r="AJ1165">
            <v>10</v>
          </cell>
          <cell r="AS1165">
            <v>25</v>
          </cell>
          <cell r="BB1165">
            <v>25</v>
          </cell>
        </row>
        <row r="1166">
          <cell r="A1166">
            <v>222</v>
          </cell>
          <cell r="B1166" t="str">
            <v>FG</v>
          </cell>
          <cell r="C1166" t="str">
            <v>FM</v>
          </cell>
          <cell r="D1166" t="str">
            <v>DAVID OPEC</v>
          </cell>
        </row>
        <row r="1167">
          <cell r="A1167">
            <v>223</v>
          </cell>
          <cell r="B1167" t="str">
            <v>FG</v>
          </cell>
          <cell r="C1167" t="str">
            <v>FM</v>
          </cell>
          <cell r="D1167" t="str">
            <v>DABUR VATICA</v>
          </cell>
        </row>
        <row r="1168">
          <cell r="A1168">
            <v>224</v>
          </cell>
          <cell r="B1168" t="str">
            <v>FG</v>
          </cell>
          <cell r="C1168" t="str">
            <v>FM</v>
          </cell>
          <cell r="D1168" t="str">
            <v>MARGO</v>
          </cell>
          <cell r="J1168">
            <v>209.65</v>
          </cell>
          <cell r="S1168">
            <v>209.65</v>
          </cell>
          <cell r="AB1168">
            <v>196.85</v>
          </cell>
          <cell r="AK1168">
            <v>144.85</v>
          </cell>
          <cell r="AT1168">
            <v>106.75</v>
          </cell>
          <cell r="BC1168">
            <v>236.55</v>
          </cell>
        </row>
        <row r="1169">
          <cell r="A1169">
            <v>225</v>
          </cell>
          <cell r="B1169" t="str">
            <v>FG</v>
          </cell>
          <cell r="C1169" t="str">
            <v>FM</v>
          </cell>
          <cell r="D1169" t="str">
            <v>OIL BASED NOODLES</v>
          </cell>
        </row>
        <row r="1170">
          <cell r="A1170">
            <v>226</v>
          </cell>
          <cell r="B1170" t="str">
            <v>FG</v>
          </cell>
          <cell r="C1170" t="str">
            <v>SM</v>
          </cell>
          <cell r="D1170" t="str">
            <v>TRANSLUCENT</v>
          </cell>
          <cell r="J1170">
            <v>95.11</v>
          </cell>
          <cell r="N1170">
            <v>66.03</v>
          </cell>
          <cell r="R1170">
            <v>23.4</v>
          </cell>
          <cell r="S1170">
            <v>86.31</v>
          </cell>
          <cell r="V1170">
            <v>235.6</v>
          </cell>
          <cell r="AA1170">
            <v>34.6</v>
          </cell>
          <cell r="AB1170">
            <v>80.11</v>
          </cell>
          <cell r="AE1170">
            <v>48.800000000000118</v>
          </cell>
          <cell r="AF1170">
            <v>319.3</v>
          </cell>
          <cell r="AJ1170">
            <v>34.6</v>
          </cell>
          <cell r="AK1170">
            <v>80.11</v>
          </cell>
          <cell r="AO1170">
            <v>293.39999999999998</v>
          </cell>
          <cell r="AT1170">
            <v>80.11</v>
          </cell>
          <cell r="AW1170">
            <v>44.4</v>
          </cell>
          <cell r="AX1170">
            <v>232.6</v>
          </cell>
          <cell r="BC1170">
            <v>80.11</v>
          </cell>
          <cell r="BF1170">
            <v>12</v>
          </cell>
          <cell r="BG1170">
            <v>239.4</v>
          </cell>
        </row>
        <row r="1171">
          <cell r="A1171">
            <v>227</v>
          </cell>
          <cell r="B1171" t="str">
            <v>FG</v>
          </cell>
          <cell r="C1171" t="str">
            <v>SM</v>
          </cell>
          <cell r="D1171" t="str">
            <v>TETMOSOL</v>
          </cell>
        </row>
        <row r="1172">
          <cell r="A1172">
            <v>228</v>
          </cell>
          <cell r="B1172" t="str">
            <v>FG</v>
          </cell>
          <cell r="C1172" t="str">
            <v>FM</v>
          </cell>
          <cell r="D1172" t="str">
            <v xml:space="preserve">J &amp; J </v>
          </cell>
        </row>
        <row r="1173">
          <cell r="A1173">
            <v>229</v>
          </cell>
          <cell r="B1173" t="str">
            <v>FG</v>
          </cell>
          <cell r="C1173" t="str">
            <v>FM</v>
          </cell>
          <cell r="D1173" t="str">
            <v>JBS 80:20</v>
          </cell>
        </row>
        <row r="1174">
          <cell r="A1174">
            <v>230</v>
          </cell>
          <cell r="B1174" t="str">
            <v>FG</v>
          </cell>
          <cell r="C1174" t="str">
            <v>FM</v>
          </cell>
          <cell r="D1174" t="str">
            <v>IMPORTED NOODLES</v>
          </cell>
          <cell r="N1174">
            <v>52</v>
          </cell>
          <cell r="W1174">
            <v>52</v>
          </cell>
          <cell r="AF1174">
            <v>52</v>
          </cell>
          <cell r="AO1174">
            <v>52</v>
          </cell>
          <cell r="AX1174">
            <v>52</v>
          </cell>
          <cell r="BG1174">
            <v>52</v>
          </cell>
        </row>
        <row r="1175">
          <cell r="A1175">
            <v>231</v>
          </cell>
          <cell r="B1175" t="str">
            <v>FG</v>
          </cell>
          <cell r="C1175" t="str">
            <v>FM</v>
          </cell>
          <cell r="D1175" t="str">
            <v>HAWAI SYNDAATE BASE REGULER</v>
          </cell>
        </row>
        <row r="1176">
          <cell r="F1176">
            <v>0</v>
          </cell>
          <cell r="G1176">
            <v>0</v>
          </cell>
          <cell r="H1176">
            <v>0</v>
          </cell>
          <cell r="I1176">
            <v>262</v>
          </cell>
          <cell r="J1176">
            <v>1041.3710000000001</v>
          </cell>
          <cell r="K1176">
            <v>0</v>
          </cell>
          <cell r="L1176">
            <v>0</v>
          </cell>
          <cell r="M1176">
            <v>425.7</v>
          </cell>
          <cell r="N1176">
            <v>900.44</v>
          </cell>
          <cell r="O1176">
            <v>0</v>
          </cell>
          <cell r="P1176">
            <v>0</v>
          </cell>
          <cell r="Q1176">
            <v>0</v>
          </cell>
          <cell r="R1176">
            <v>70.599999999999994</v>
          </cell>
          <cell r="S1176">
            <v>925.32099999999991</v>
          </cell>
          <cell r="T1176">
            <v>0</v>
          </cell>
          <cell r="U1176">
            <v>0</v>
          </cell>
          <cell r="V1176">
            <v>791.6</v>
          </cell>
          <cell r="W1176">
            <v>1023.59</v>
          </cell>
          <cell r="X1176">
            <v>0</v>
          </cell>
          <cell r="Y1176">
            <v>0</v>
          </cell>
          <cell r="Z1176">
            <v>0</v>
          </cell>
          <cell r="AA1176">
            <v>361</v>
          </cell>
          <cell r="AB1176">
            <v>996.85599999999999</v>
          </cell>
          <cell r="AC1176">
            <v>0</v>
          </cell>
          <cell r="AD1176">
            <v>0</v>
          </cell>
          <cell r="AE1176">
            <v>301.04000000000013</v>
          </cell>
          <cell r="AF1176">
            <v>1294.19</v>
          </cell>
          <cell r="AG1176">
            <v>0</v>
          </cell>
          <cell r="AH1176">
            <v>0</v>
          </cell>
          <cell r="AI1176">
            <v>0</v>
          </cell>
          <cell r="AJ1176">
            <v>408.6</v>
          </cell>
          <cell r="AK1176">
            <v>1187.9059999999999</v>
          </cell>
          <cell r="AL1176">
            <v>0</v>
          </cell>
          <cell r="AM1176">
            <v>0</v>
          </cell>
          <cell r="AN1176">
            <v>429.2</v>
          </cell>
          <cell r="AO1176">
            <v>1192.46</v>
          </cell>
          <cell r="AP1176">
            <v>0</v>
          </cell>
          <cell r="AQ1176">
            <v>0</v>
          </cell>
          <cell r="AR1176">
            <v>0</v>
          </cell>
          <cell r="AS1176">
            <v>105.30000000000001</v>
          </cell>
          <cell r="AT1176">
            <v>1123.2560000000001</v>
          </cell>
          <cell r="AU1176">
            <v>0</v>
          </cell>
          <cell r="AV1176">
            <v>0</v>
          </cell>
          <cell r="AW1176">
            <v>283.39999999999998</v>
          </cell>
          <cell r="AX1176">
            <v>1164.6699999999998</v>
          </cell>
          <cell r="AY1176">
            <v>0</v>
          </cell>
          <cell r="AZ1176">
            <v>0</v>
          </cell>
          <cell r="BA1176">
            <v>0</v>
          </cell>
          <cell r="BB1176">
            <v>150.29999999999998</v>
          </cell>
          <cell r="BC1176">
            <v>1087.4559999999999</v>
          </cell>
          <cell r="BD1176">
            <v>0</v>
          </cell>
          <cell r="BE1176">
            <v>0</v>
          </cell>
          <cell r="BF1176">
            <v>96.3</v>
          </cell>
          <cell r="BG1176">
            <v>954.83</v>
          </cell>
        </row>
        <row r="1177">
          <cell r="F1177">
            <v>2508.8226499999996</v>
          </cell>
          <cell r="G1177">
            <v>8946.7241049000004</v>
          </cell>
          <cell r="H1177">
            <v>5382.5619999999999</v>
          </cell>
          <cell r="I1177">
            <v>15746.206880285714</v>
          </cell>
          <cell r="J1177">
            <v>3069.2730000000001</v>
          </cell>
          <cell r="K1177">
            <v>7209.7510000000002</v>
          </cell>
          <cell r="L1177">
            <v>1648.7660000000001</v>
          </cell>
          <cell r="M1177">
            <v>2120.04</v>
          </cell>
          <cell r="N1177">
            <v>900.44</v>
          </cell>
          <cell r="O1177">
            <v>2413.6124679999998</v>
          </cell>
          <cell r="P1177">
            <v>8654.7067600000009</v>
          </cell>
          <cell r="Q1177">
            <v>5474.2300000000005</v>
          </cell>
          <cell r="R1177">
            <v>16389.520054857141</v>
          </cell>
          <cell r="S1177">
            <v>2692.2510000000002</v>
          </cell>
          <cell r="T1177">
            <v>5380.4610000000002</v>
          </cell>
          <cell r="U1177">
            <v>49.539000000000001</v>
          </cell>
          <cell r="V1177">
            <v>2988.3900000000003</v>
          </cell>
          <cell r="W1177">
            <v>1023.59</v>
          </cell>
          <cell r="X1177">
            <v>2604.9052000000001</v>
          </cell>
          <cell r="Y1177">
            <v>8770.0426800000005</v>
          </cell>
          <cell r="Z1177">
            <v>6445.8399999999992</v>
          </cell>
          <cell r="AA1177">
            <v>16756.906808</v>
          </cell>
          <cell r="AB1177">
            <v>2920.9569999999994</v>
          </cell>
          <cell r="AC1177">
            <v>5281.2990000000009</v>
          </cell>
          <cell r="AD1177">
            <v>2061.2539999999999</v>
          </cell>
          <cell r="AE1177">
            <v>1991.39</v>
          </cell>
          <cell r="AF1177">
            <v>1294.19</v>
          </cell>
          <cell r="AG1177">
            <v>2699.7643799999996</v>
          </cell>
          <cell r="AH1177">
            <v>9556.3076600000004</v>
          </cell>
          <cell r="AI1177">
            <v>6230.55</v>
          </cell>
          <cell r="AJ1177">
            <v>16199.347871428574</v>
          </cell>
          <cell r="AK1177">
            <v>3080.3429999999998</v>
          </cell>
          <cell r="AL1177">
            <v>5288.32</v>
          </cell>
          <cell r="AM1177">
            <v>8847.8459999999995</v>
          </cell>
          <cell r="AN1177">
            <v>1297.74</v>
          </cell>
          <cell r="AO1177">
            <v>1192.46</v>
          </cell>
          <cell r="AP1177">
            <v>3055.2922799999997</v>
          </cell>
          <cell r="AQ1177">
            <v>9564.8961600000002</v>
          </cell>
          <cell r="AR1177">
            <v>4700.0599999999995</v>
          </cell>
          <cell r="AS1177">
            <v>17699.171355714287</v>
          </cell>
          <cell r="AT1177">
            <v>2586.9290000000001</v>
          </cell>
          <cell r="AU1177">
            <v>6557.2330000000002</v>
          </cell>
          <cell r="AV1177">
            <v>3863.3450000000003</v>
          </cell>
          <cell r="AW1177">
            <v>2307.9900000000002</v>
          </cell>
          <cell r="AX1177">
            <v>1164.6699999999998</v>
          </cell>
          <cell r="AY1177">
            <v>3559.43568</v>
          </cell>
          <cell r="AZ1177">
            <v>9770.3371599999991</v>
          </cell>
          <cell r="BA1177">
            <v>5955</v>
          </cell>
          <cell r="BB1177">
            <v>17975.845144000003</v>
          </cell>
          <cell r="BC1177">
            <v>2864.0140000000001</v>
          </cell>
          <cell r="BD1177">
            <v>6746.5209999999997</v>
          </cell>
          <cell r="BE1177">
            <v>2795.0239999999999</v>
          </cell>
          <cell r="BF1177">
            <v>1405.6299999999999</v>
          </cell>
          <cell r="BG1177">
            <v>954.83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 combination"/>
      <sheetName val="Recipe combination"/>
      <sheetName val="List"/>
    </sheetNames>
    <sheetDataSet>
      <sheetData sheetId="0" refreshError="1"/>
      <sheetData sheetId="1" refreshError="1"/>
      <sheetData sheetId="2" refreshError="1">
        <row r="3">
          <cell r="C3">
            <v>0.05</v>
          </cell>
          <cell r="D3" t="str">
            <v>CPO</v>
          </cell>
        </row>
        <row r="4">
          <cell r="C4">
            <v>0.1</v>
          </cell>
          <cell r="D4" t="str">
            <v>CPS</v>
          </cell>
        </row>
        <row r="5">
          <cell r="C5">
            <v>0.15</v>
          </cell>
          <cell r="D5" t="str">
            <v>RBDPS</v>
          </cell>
        </row>
        <row r="6">
          <cell r="C6">
            <v>0.2</v>
          </cell>
          <cell r="D6" t="str">
            <v>PFAD</v>
          </cell>
        </row>
        <row r="7">
          <cell r="C7">
            <v>0.25</v>
          </cell>
          <cell r="D7" t="str">
            <v>PKFAD</v>
          </cell>
        </row>
        <row r="8">
          <cell r="C8">
            <v>0.3</v>
          </cell>
          <cell r="D8" t="str">
            <v>B/P PKO</v>
          </cell>
        </row>
        <row r="9">
          <cell r="C9">
            <v>0.35</v>
          </cell>
          <cell r="D9" t="str">
            <v>CNO</v>
          </cell>
        </row>
        <row r="10">
          <cell r="C10">
            <v>0.4</v>
          </cell>
          <cell r="D10" t="str">
            <v>B/P CNO</v>
          </cell>
        </row>
        <row r="11">
          <cell r="C11">
            <v>0.45</v>
          </cell>
          <cell r="D11" t="str">
            <v>PKO</v>
          </cell>
        </row>
        <row r="12">
          <cell r="C12">
            <v>0.5</v>
          </cell>
          <cell r="D12" t="str">
            <v>PKO residue</v>
          </cell>
        </row>
        <row r="13">
          <cell r="C13">
            <v>0.55000000000000004</v>
          </cell>
        </row>
        <row r="14">
          <cell r="C14">
            <v>0.6</v>
          </cell>
        </row>
        <row r="15">
          <cell r="C15">
            <v>0.65</v>
          </cell>
        </row>
        <row r="16">
          <cell r="C16">
            <v>0.7</v>
          </cell>
        </row>
        <row r="17">
          <cell r="C17">
            <v>0.75</v>
          </cell>
        </row>
        <row r="18">
          <cell r="C18">
            <v>0.8</v>
          </cell>
        </row>
        <row r="19">
          <cell r="C19">
            <v>0.85</v>
          </cell>
        </row>
        <row r="20">
          <cell r="C20">
            <v>0.9</v>
          </cell>
        </row>
        <row r="21">
          <cell r="C21">
            <v>0.95</v>
          </cell>
        </row>
        <row r="22">
          <cell r="C2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showGridLines="0" workbookViewId="0">
      <selection activeCell="K29" sqref="K29"/>
    </sheetView>
  </sheetViews>
  <sheetFormatPr defaultRowHeight="12.75"/>
  <cols>
    <col min="1" max="1" width="11.28515625" style="11" bestFit="1" customWidth="1"/>
    <col min="2" max="4" width="13.5703125" style="11" bestFit="1" customWidth="1"/>
    <col min="5" max="5" width="5.7109375" style="11" bestFit="1" customWidth="1"/>
    <col min="6" max="6" width="11" style="11" bestFit="1" customWidth="1"/>
    <col min="7" max="7" width="13.5703125" style="11" bestFit="1" customWidth="1"/>
    <col min="8" max="16384" width="9.140625" style="11"/>
  </cols>
  <sheetData>
    <row r="1" spans="1:9">
      <c r="E1" s="402" t="s">
        <v>7</v>
      </c>
      <c r="F1" s="402"/>
    </row>
    <row r="2" spans="1:9">
      <c r="A2" s="25" t="s">
        <v>5</v>
      </c>
      <c r="B2" s="16" t="s">
        <v>1</v>
      </c>
      <c r="C2" s="16" t="s">
        <v>0</v>
      </c>
      <c r="D2" s="16" t="s">
        <v>3</v>
      </c>
      <c r="E2" s="16" t="s">
        <v>2</v>
      </c>
      <c r="F2" s="16" t="s">
        <v>9</v>
      </c>
      <c r="G2" s="18" t="s">
        <v>4</v>
      </c>
    </row>
    <row r="3" spans="1:9">
      <c r="A3" s="21">
        <v>41730</v>
      </c>
      <c r="B3" s="13">
        <v>3965.5099999999993</v>
      </c>
      <c r="C3" s="13">
        <v>1367.5199999999998</v>
      </c>
      <c r="D3" s="13">
        <v>979.05000000000018</v>
      </c>
      <c r="E3" s="12"/>
      <c r="F3" s="14">
        <v>88.252730000000014</v>
      </c>
      <c r="G3" s="19">
        <f>SUM(B3:F3)</f>
        <v>6400.3327299999992</v>
      </c>
      <c r="I3" s="15"/>
    </row>
    <row r="4" spans="1:9">
      <c r="A4" s="21">
        <v>41760</v>
      </c>
      <c r="B4" s="13">
        <v>3847.6800000000003</v>
      </c>
      <c r="C4" s="13">
        <v>1783.3500000000001</v>
      </c>
      <c r="D4" s="13">
        <v>1548.85</v>
      </c>
      <c r="E4" s="12"/>
      <c r="F4" s="14">
        <v>29.992600000000003</v>
      </c>
      <c r="G4" s="19">
        <f t="shared" ref="G4:G15" si="0">SUM(B4:F4)</f>
        <v>7209.8726000000006</v>
      </c>
      <c r="I4" s="15"/>
    </row>
    <row r="5" spans="1:9">
      <c r="A5" s="21">
        <v>41791</v>
      </c>
      <c r="B5" s="13">
        <v>2438.41</v>
      </c>
      <c r="C5" s="13">
        <v>2554.8900000000003</v>
      </c>
      <c r="D5" s="13">
        <v>1375.15</v>
      </c>
      <c r="E5" s="12"/>
      <c r="F5" s="14">
        <v>10.580499999999999</v>
      </c>
      <c r="G5" s="19">
        <f t="shared" si="0"/>
        <v>6379.0305000000008</v>
      </c>
      <c r="I5" s="15"/>
    </row>
    <row r="6" spans="1:9">
      <c r="A6" s="21">
        <v>41821</v>
      </c>
      <c r="B6" s="13">
        <v>1799.8600000000001</v>
      </c>
      <c r="C6" s="13">
        <v>3922.5349999999999</v>
      </c>
      <c r="D6" s="13">
        <v>773.21</v>
      </c>
      <c r="E6" s="12"/>
      <c r="F6" s="14">
        <v>6.1695000000000002</v>
      </c>
      <c r="G6" s="19">
        <f t="shared" si="0"/>
        <v>6501.7745000000004</v>
      </c>
      <c r="I6" s="15"/>
    </row>
    <row r="7" spans="1:9">
      <c r="A7" s="21">
        <v>41852</v>
      </c>
      <c r="B7" s="13">
        <v>1434.98</v>
      </c>
      <c r="C7" s="13">
        <v>1818.0400000000002</v>
      </c>
      <c r="D7" s="13">
        <v>1000.19</v>
      </c>
      <c r="E7" s="12"/>
      <c r="F7" s="14">
        <v>11.761999999999999</v>
      </c>
      <c r="G7" s="19">
        <f t="shared" si="0"/>
        <v>4264.9720000000007</v>
      </c>
      <c r="I7" s="15"/>
    </row>
    <row r="8" spans="1:9">
      <c r="A8" s="21">
        <v>41883</v>
      </c>
      <c r="B8" s="13">
        <v>1981.0949999999998</v>
      </c>
      <c r="C8" s="13">
        <v>4851.610024999999</v>
      </c>
      <c r="D8" s="13">
        <v>613.98</v>
      </c>
      <c r="E8" s="12"/>
      <c r="F8" s="14">
        <v>6.2600000000000007</v>
      </c>
      <c r="G8" s="19">
        <f t="shared" si="0"/>
        <v>7452.9450249999991</v>
      </c>
      <c r="I8" s="15"/>
    </row>
    <row r="9" spans="1:9">
      <c r="A9" s="21">
        <v>41913</v>
      </c>
      <c r="B9" s="13">
        <v>1661.06</v>
      </c>
      <c r="C9" s="13">
        <v>3956.92</v>
      </c>
      <c r="D9" s="13">
        <v>739.42000000000007</v>
      </c>
      <c r="E9" s="12"/>
      <c r="F9" s="14">
        <v>5.6274999999999995</v>
      </c>
      <c r="G9" s="19">
        <f t="shared" si="0"/>
        <v>6363.0274999999992</v>
      </c>
      <c r="I9" s="15"/>
    </row>
    <row r="10" spans="1:9">
      <c r="A10" s="21">
        <v>41944</v>
      </c>
      <c r="B10" s="13">
        <v>2012.7799999999997</v>
      </c>
      <c r="C10" s="13">
        <v>1948.9499999999998</v>
      </c>
      <c r="D10" s="13">
        <v>578.99</v>
      </c>
      <c r="E10" s="12"/>
      <c r="F10" s="14">
        <v>3.3599999999999994</v>
      </c>
      <c r="G10" s="19">
        <f t="shared" si="0"/>
        <v>4544.079999999999</v>
      </c>
      <c r="I10" s="15"/>
    </row>
    <row r="11" spans="1:9">
      <c r="A11" s="21">
        <v>41974</v>
      </c>
      <c r="B11" s="13">
        <v>3138.4200000000005</v>
      </c>
      <c r="C11" s="13">
        <v>1983.57</v>
      </c>
      <c r="D11" s="13">
        <v>612.78</v>
      </c>
      <c r="E11" s="12"/>
      <c r="F11" s="14">
        <v>12.673999999999998</v>
      </c>
      <c r="G11" s="19">
        <f t="shared" si="0"/>
        <v>5747.4440000000004</v>
      </c>
      <c r="I11" s="15"/>
    </row>
    <row r="12" spans="1:9">
      <c r="A12" s="21">
        <v>42005</v>
      </c>
      <c r="B12" s="13">
        <v>3930.9700000000003</v>
      </c>
      <c r="C12" s="13">
        <v>530.80999999999995</v>
      </c>
      <c r="D12" s="13">
        <v>316.58</v>
      </c>
      <c r="E12" s="12"/>
      <c r="F12" s="14">
        <v>27.630000000000003</v>
      </c>
      <c r="G12" s="19">
        <f t="shared" si="0"/>
        <v>4805.9900000000007</v>
      </c>
      <c r="I12" s="15"/>
    </row>
    <row r="13" spans="1:9">
      <c r="A13" s="21">
        <v>42036</v>
      </c>
      <c r="B13" s="13">
        <v>3006.4999999999995</v>
      </c>
      <c r="C13" s="13">
        <v>637.32999999999993</v>
      </c>
      <c r="D13" s="13">
        <v>1131.53</v>
      </c>
      <c r="E13" s="12"/>
      <c r="F13" s="14">
        <v>3.5409999999999986</v>
      </c>
      <c r="G13" s="19">
        <f t="shared" si="0"/>
        <v>4778.9009999999998</v>
      </c>
      <c r="I13" s="15"/>
    </row>
    <row r="14" spans="1:9">
      <c r="A14" s="21">
        <v>42064</v>
      </c>
      <c r="B14" s="13">
        <v>3128.5199999999991</v>
      </c>
      <c r="C14" s="13">
        <v>794.5</v>
      </c>
      <c r="D14" s="13">
        <v>750.72</v>
      </c>
      <c r="E14" s="12"/>
      <c r="F14" s="14">
        <v>12.379999999999999</v>
      </c>
      <c r="G14" s="19">
        <f t="shared" si="0"/>
        <v>4686.119999999999</v>
      </c>
      <c r="I14" s="15"/>
    </row>
    <row r="15" spans="1:9">
      <c r="A15" s="22" t="s">
        <v>4</v>
      </c>
      <c r="B15" s="17">
        <f>SUM(B3:B14)</f>
        <v>32345.785</v>
      </c>
      <c r="C15" s="17">
        <f>SUM(C3:C14)</f>
        <v>26150.025025000003</v>
      </c>
      <c r="D15" s="17">
        <f>SUM(D3:D14)</f>
        <v>10420.450000000001</v>
      </c>
      <c r="E15" s="17">
        <f>SUM(E3:E14)</f>
        <v>0</v>
      </c>
      <c r="F15" s="17">
        <f>SUM(F3:F14)</f>
        <v>218.22983000000002</v>
      </c>
      <c r="G15" s="20">
        <f t="shared" si="0"/>
        <v>69134.489854999993</v>
      </c>
    </row>
    <row r="17" spans="1:7">
      <c r="A17" s="23"/>
      <c r="B17" s="23"/>
      <c r="C17" s="23"/>
      <c r="D17" s="23"/>
      <c r="E17" s="403" t="s">
        <v>7</v>
      </c>
      <c r="F17" s="403"/>
      <c r="G17" s="23"/>
    </row>
    <row r="18" spans="1:7">
      <c r="A18" s="25" t="s">
        <v>6</v>
      </c>
      <c r="B18" s="16" t="s">
        <v>1</v>
      </c>
      <c r="C18" s="16" t="s">
        <v>0</v>
      </c>
      <c r="D18" s="16" t="s">
        <v>3</v>
      </c>
      <c r="E18" s="16" t="s">
        <v>2</v>
      </c>
      <c r="F18" s="16" t="s">
        <v>9</v>
      </c>
      <c r="G18" s="18" t="s">
        <v>4</v>
      </c>
    </row>
    <row r="19" spans="1:7">
      <c r="A19" s="21">
        <v>41730</v>
      </c>
      <c r="B19" s="13">
        <v>452291796.97000003</v>
      </c>
      <c r="C19" s="13">
        <v>150150265.74000001</v>
      </c>
      <c r="D19" s="13">
        <v>120338969.36</v>
      </c>
      <c r="E19" s="12"/>
      <c r="F19" s="14">
        <v>13938959.859999996</v>
      </c>
      <c r="G19" s="19">
        <f>SUM(B19:F19)</f>
        <v>736719991.93000007</v>
      </c>
    </row>
    <row r="20" spans="1:7">
      <c r="A20" s="21">
        <v>41760</v>
      </c>
      <c r="B20" s="13">
        <v>446404989.42000002</v>
      </c>
      <c r="C20" s="13">
        <v>188719617.38999996</v>
      </c>
      <c r="D20" s="13">
        <v>182184410.06</v>
      </c>
      <c r="E20" s="12"/>
      <c r="F20" s="14">
        <v>6504584.2099999981</v>
      </c>
      <c r="G20" s="19">
        <f t="shared" ref="G20:G31" si="1">SUM(B20:F20)</f>
        <v>823813601.07999992</v>
      </c>
    </row>
    <row r="21" spans="1:7">
      <c r="A21" s="21">
        <v>41791</v>
      </c>
      <c r="B21" s="13">
        <v>278598581.56999999</v>
      </c>
      <c r="C21" s="13">
        <v>283787509.38</v>
      </c>
      <c r="D21" s="13">
        <v>152396316.16</v>
      </c>
      <c r="E21" s="12"/>
      <c r="F21" s="14">
        <v>5098878.2800000012</v>
      </c>
      <c r="G21" s="19">
        <f t="shared" si="1"/>
        <v>719881285.38999999</v>
      </c>
    </row>
    <row r="22" spans="1:7">
      <c r="A22" s="21">
        <v>41821</v>
      </c>
      <c r="B22" s="13">
        <v>212880405.14000005</v>
      </c>
      <c r="C22" s="13">
        <v>435927854.05000007</v>
      </c>
      <c r="D22" s="13">
        <v>81335627.720000014</v>
      </c>
      <c r="E22" s="12"/>
      <c r="F22" s="14">
        <v>1894793.86</v>
      </c>
      <c r="G22" s="19">
        <f t="shared" si="1"/>
        <v>732038680.7700001</v>
      </c>
    </row>
    <row r="23" spans="1:7">
      <c r="A23" s="21">
        <v>41852</v>
      </c>
      <c r="B23" s="13">
        <v>168795727.60000002</v>
      </c>
      <c r="C23" s="13">
        <v>204229714.78999999</v>
      </c>
      <c r="D23" s="13">
        <v>101810606.37</v>
      </c>
      <c r="E23" s="12"/>
      <c r="F23" s="14">
        <v>3993937.64</v>
      </c>
      <c r="G23" s="19">
        <f t="shared" si="1"/>
        <v>478829986.39999998</v>
      </c>
    </row>
    <row r="24" spans="1:7">
      <c r="A24" s="21">
        <v>41883</v>
      </c>
      <c r="B24" s="13">
        <v>217138597.39999998</v>
      </c>
      <c r="C24" s="13">
        <v>478366715.45000017</v>
      </c>
      <c r="D24" s="13">
        <v>59136089.649999999</v>
      </c>
      <c r="E24" s="12"/>
      <c r="F24" s="14">
        <v>2994254.7</v>
      </c>
      <c r="G24" s="19">
        <f t="shared" si="1"/>
        <v>757635657.20000017</v>
      </c>
    </row>
    <row r="25" spans="1:7">
      <c r="A25" s="21">
        <v>41913</v>
      </c>
      <c r="B25" s="13">
        <v>155826996.58000004</v>
      </c>
      <c r="C25" s="13">
        <v>355430963.40999991</v>
      </c>
      <c r="D25" s="13">
        <v>62582545.739999995</v>
      </c>
      <c r="E25" s="12"/>
      <c r="F25" s="14">
        <v>2043260.07</v>
      </c>
      <c r="G25" s="19">
        <f t="shared" si="1"/>
        <v>575883765.79999995</v>
      </c>
    </row>
    <row r="26" spans="1:7">
      <c r="A26" s="21">
        <v>41944</v>
      </c>
      <c r="B26" s="13">
        <v>178362914.44999996</v>
      </c>
      <c r="C26" s="13">
        <v>156071599.13</v>
      </c>
      <c r="D26" s="13">
        <v>46843523.540000007</v>
      </c>
      <c r="E26" s="12"/>
      <c r="F26" s="14">
        <v>3419272.42</v>
      </c>
      <c r="G26" s="19">
        <f t="shared" si="1"/>
        <v>384697309.53999996</v>
      </c>
    </row>
    <row r="27" spans="1:7">
      <c r="A27" s="21">
        <v>41974</v>
      </c>
      <c r="B27" s="13">
        <v>262601863.24999991</v>
      </c>
      <c r="C27" s="13">
        <v>162373491.54999998</v>
      </c>
      <c r="D27" s="13">
        <v>50568370.329999998</v>
      </c>
      <c r="E27" s="12"/>
      <c r="F27" s="14">
        <v>4811942.4700000007</v>
      </c>
      <c r="G27" s="19">
        <f t="shared" si="1"/>
        <v>480355667.5999999</v>
      </c>
    </row>
    <row r="28" spans="1:7">
      <c r="A28" s="21">
        <v>42005</v>
      </c>
      <c r="B28" s="13">
        <v>346633440.76999998</v>
      </c>
      <c r="C28" s="13">
        <v>43973911.469999999</v>
      </c>
      <c r="D28" s="13">
        <v>26291519.250000004</v>
      </c>
      <c r="E28" s="12"/>
      <c r="F28" s="14">
        <v>7794061.8099999996</v>
      </c>
      <c r="G28" s="19">
        <f t="shared" si="1"/>
        <v>424692933.30000001</v>
      </c>
    </row>
    <row r="29" spans="1:7">
      <c r="A29" s="21">
        <v>42036</v>
      </c>
      <c r="B29" s="13">
        <v>266924991.33999997</v>
      </c>
      <c r="C29" s="13">
        <v>53745811.559999995</v>
      </c>
      <c r="D29" s="13">
        <v>94977110.900000006</v>
      </c>
      <c r="E29" s="12"/>
      <c r="F29" s="14">
        <v>1658044.4400000002</v>
      </c>
      <c r="G29" s="19">
        <f t="shared" si="1"/>
        <v>417305958.23999995</v>
      </c>
    </row>
    <row r="30" spans="1:7">
      <c r="A30" s="21">
        <v>42064</v>
      </c>
      <c r="B30" s="13">
        <v>284548887.67000002</v>
      </c>
      <c r="C30" s="13">
        <v>69781599.039999977</v>
      </c>
      <c r="D30" s="13">
        <v>65705067.179999992</v>
      </c>
      <c r="E30" s="12"/>
      <c r="F30" s="14">
        <v>5861683.6000000006</v>
      </c>
      <c r="G30" s="19">
        <f t="shared" si="1"/>
        <v>425897237.49000001</v>
      </c>
    </row>
    <row r="31" spans="1:7">
      <c r="A31" s="22" t="s">
        <v>4</v>
      </c>
      <c r="B31" s="17">
        <f>SUM(B19:B30)</f>
        <v>3271009192.1600003</v>
      </c>
      <c r="C31" s="17">
        <f>SUM(C19:C30)</f>
        <v>2582559052.96</v>
      </c>
      <c r="D31" s="17">
        <f>SUM(D19:D30)</f>
        <v>1044170156.26</v>
      </c>
      <c r="E31" s="17">
        <f>SUM(E19:E30)</f>
        <v>0</v>
      </c>
      <c r="F31" s="17">
        <f>SUM(F19:F30)</f>
        <v>60013673.359999999</v>
      </c>
      <c r="G31" s="20">
        <f t="shared" si="1"/>
        <v>6957752074.7400007</v>
      </c>
    </row>
    <row r="33" spans="1:7">
      <c r="A33" s="23"/>
      <c r="B33" s="23"/>
      <c r="C33" s="23"/>
      <c r="D33" s="23"/>
      <c r="E33" s="403" t="s">
        <v>7</v>
      </c>
      <c r="F33" s="403"/>
      <c r="G33" s="23"/>
    </row>
    <row r="34" spans="1:7">
      <c r="A34" s="25" t="s">
        <v>6</v>
      </c>
      <c r="B34" s="16" t="s">
        <v>1</v>
      </c>
      <c r="C34" s="16" t="s">
        <v>0</v>
      </c>
      <c r="D34" s="16" t="s">
        <v>3</v>
      </c>
      <c r="E34" s="16" t="s">
        <v>2</v>
      </c>
      <c r="F34" s="16" t="s">
        <v>9</v>
      </c>
      <c r="G34" s="18" t="s">
        <v>4</v>
      </c>
    </row>
    <row r="35" spans="1:7">
      <c r="A35" s="21">
        <v>41730</v>
      </c>
      <c r="B35" s="13">
        <f>IF(B3&lt;=0,0,B19/B3)</f>
        <v>114056.40055629669</v>
      </c>
      <c r="C35" s="13">
        <f t="shared" ref="C35:F35" si="2">IF(C3&lt;=0,0,C19/C3)</f>
        <v>109797.49161986665</v>
      </c>
      <c r="D35" s="13">
        <f t="shared" si="2"/>
        <v>122914.01803789385</v>
      </c>
      <c r="E35" s="13">
        <f t="shared" si="2"/>
        <v>0</v>
      </c>
      <c r="F35" s="13">
        <f t="shared" si="2"/>
        <v>157943.6676916396</v>
      </c>
      <c r="G35" s="19">
        <f t="shared" ref="G35" si="3">IF(G3&lt;=0,0,G19/G3)</f>
        <v>115106.51445928814</v>
      </c>
    </row>
    <row r="36" spans="1:7">
      <c r="A36" s="21">
        <v>41760</v>
      </c>
      <c r="B36" s="13">
        <f t="shared" ref="B36:F47" si="4">IF(B4&lt;=0,0,B20/B4)</f>
        <v>116019.26080651197</v>
      </c>
      <c r="C36" s="13">
        <f t="shared" si="4"/>
        <v>105823.0955168643</v>
      </c>
      <c r="D36" s="13">
        <f t="shared" si="4"/>
        <v>117625.59967717985</v>
      </c>
      <c r="E36" s="13">
        <f t="shared" si="4"/>
        <v>0</v>
      </c>
      <c r="F36" s="13">
        <f t="shared" si="4"/>
        <v>216872.96899901968</v>
      </c>
      <c r="G36" s="19">
        <f t="shared" ref="G36" si="5">IF(G4&lt;=0,0,G20/G4)</f>
        <v>114261.88044987089</v>
      </c>
    </row>
    <row r="37" spans="1:7">
      <c r="A37" s="21">
        <v>41791</v>
      </c>
      <c r="B37" s="13">
        <f t="shared" si="4"/>
        <v>114254.19907644736</v>
      </c>
      <c r="C37" s="13">
        <f t="shared" si="4"/>
        <v>111076.21438887778</v>
      </c>
      <c r="D37" s="13">
        <f t="shared" si="4"/>
        <v>110821.59485147074</v>
      </c>
      <c r="E37" s="13">
        <f t="shared" si="4"/>
        <v>0</v>
      </c>
      <c r="F37" s="13">
        <f t="shared" si="4"/>
        <v>481912.7905108456</v>
      </c>
      <c r="G37" s="19">
        <f t="shared" ref="G37" si="6">IF(G5&lt;=0,0,G21/G5)</f>
        <v>112851.20605552832</v>
      </c>
    </row>
    <row r="38" spans="1:7">
      <c r="A38" s="21">
        <v>41821</v>
      </c>
      <c r="B38" s="13">
        <f t="shared" si="4"/>
        <v>118276.09099596637</v>
      </c>
      <c r="C38" s="13">
        <f t="shared" si="4"/>
        <v>111134.21653344078</v>
      </c>
      <c r="D38" s="13">
        <f t="shared" si="4"/>
        <v>105192.15700779867</v>
      </c>
      <c r="E38" s="13">
        <f t="shared" si="4"/>
        <v>0</v>
      </c>
      <c r="F38" s="13">
        <f t="shared" si="4"/>
        <v>307122.75873247429</v>
      </c>
      <c r="G38" s="19">
        <f t="shared" ref="G38" si="7">IF(G6&lt;=0,0,G22/G6)</f>
        <v>112590.59826974929</v>
      </c>
    </row>
    <row r="39" spans="1:7">
      <c r="A39" s="21">
        <v>41852</v>
      </c>
      <c r="B39" s="13">
        <f t="shared" si="4"/>
        <v>117629.32417176547</v>
      </c>
      <c r="C39" s="13">
        <f t="shared" si="4"/>
        <v>112335.10527271125</v>
      </c>
      <c r="D39" s="13">
        <f t="shared" si="4"/>
        <v>101791.2660294544</v>
      </c>
      <c r="E39" s="13">
        <f t="shared" si="4"/>
        <v>0</v>
      </c>
      <c r="F39" s="13">
        <f t="shared" si="4"/>
        <v>339562.79884373408</v>
      </c>
      <c r="G39" s="19">
        <f t="shared" ref="G39" si="8">IF(G7&lt;=0,0,G23/G7)</f>
        <v>112270.37045026319</v>
      </c>
    </row>
    <row r="40" spans="1:7">
      <c r="A40" s="21">
        <v>41883</v>
      </c>
      <c r="B40" s="13">
        <f t="shared" si="4"/>
        <v>109605.34320666097</v>
      </c>
      <c r="C40" s="13">
        <f t="shared" si="4"/>
        <v>98599.580960755455</v>
      </c>
      <c r="D40" s="13">
        <f t="shared" si="4"/>
        <v>96315.986921398086</v>
      </c>
      <c r="E40" s="13">
        <f t="shared" si="4"/>
        <v>0</v>
      </c>
      <c r="F40" s="13">
        <f t="shared" si="4"/>
        <v>478315.44728434505</v>
      </c>
      <c r="G40" s="19">
        <f t="shared" ref="G40" si="9">IF(G8&lt;=0,0,G24/G8)</f>
        <v>101655.87625544041</v>
      </c>
    </row>
    <row r="41" spans="1:7">
      <c r="A41" s="21">
        <v>41913</v>
      </c>
      <c r="B41" s="13">
        <f t="shared" si="4"/>
        <v>93811.780778539032</v>
      </c>
      <c r="C41" s="13">
        <f t="shared" si="4"/>
        <v>89825.15780202781</v>
      </c>
      <c r="D41" s="13">
        <f t="shared" si="4"/>
        <v>84637.345135376367</v>
      </c>
      <c r="E41" s="13">
        <f t="shared" si="4"/>
        <v>0</v>
      </c>
      <c r="F41" s="13">
        <f t="shared" si="4"/>
        <v>363084.86361617065</v>
      </c>
      <c r="G41" s="19">
        <f t="shared" ref="G41" si="10">IF(G9&lt;=0,0,G25/G9)</f>
        <v>90504.679698461157</v>
      </c>
    </row>
    <row r="42" spans="1:7">
      <c r="A42" s="21">
        <v>41944</v>
      </c>
      <c r="B42" s="13">
        <f t="shared" si="4"/>
        <v>88615.206058287527</v>
      </c>
      <c r="C42" s="13">
        <f t="shared" si="4"/>
        <v>80079.837415018352</v>
      </c>
      <c r="D42" s="13">
        <f t="shared" si="4"/>
        <v>80905.583067065076</v>
      </c>
      <c r="E42" s="13">
        <f t="shared" si="4"/>
        <v>0</v>
      </c>
      <c r="F42" s="13">
        <f t="shared" si="4"/>
        <v>1017640.6011904763</v>
      </c>
      <c r="G42" s="19">
        <f t="shared" ref="G42" si="11">IF(G10&lt;=0,0,G26/G10)</f>
        <v>84659.00898311651</v>
      </c>
    </row>
    <row r="43" spans="1:7">
      <c r="A43" s="21">
        <v>41974</v>
      </c>
      <c r="B43" s="13">
        <f t="shared" si="4"/>
        <v>83673.269750383915</v>
      </c>
      <c r="C43" s="13">
        <f t="shared" si="4"/>
        <v>81859.219261231003</v>
      </c>
      <c r="D43" s="13">
        <f t="shared" si="4"/>
        <v>82522.879875322309</v>
      </c>
      <c r="E43" s="13">
        <f t="shared" si="4"/>
        <v>0</v>
      </c>
      <c r="F43" s="13">
        <f t="shared" si="4"/>
        <v>379670.38582925685</v>
      </c>
      <c r="G43" s="19">
        <f t="shared" ref="G43" si="12">IF(G11&lt;=0,0,G27/G11)</f>
        <v>83577.268016878443</v>
      </c>
    </row>
    <row r="44" spans="1:7">
      <c r="A44" s="21">
        <v>42005</v>
      </c>
      <c r="B44" s="13">
        <f t="shared" si="4"/>
        <v>88180.128764656038</v>
      </c>
      <c r="C44" s="13">
        <f t="shared" si="4"/>
        <v>82843.035116143263</v>
      </c>
      <c r="D44" s="13">
        <f t="shared" si="4"/>
        <v>83048.579348032115</v>
      </c>
      <c r="E44" s="13">
        <f t="shared" si="4"/>
        <v>0</v>
      </c>
      <c r="F44" s="13">
        <f t="shared" si="4"/>
        <v>282086.92761491128</v>
      </c>
      <c r="G44" s="19">
        <f t="shared" ref="G44" si="13">IF(G12&lt;=0,0,G28/G12)</f>
        <v>88367.419262212352</v>
      </c>
    </row>
    <row r="45" spans="1:7">
      <c r="A45" s="21">
        <v>42036</v>
      </c>
      <c r="B45" s="13">
        <f t="shared" si="4"/>
        <v>88782.634738067529</v>
      </c>
      <c r="C45" s="13">
        <f t="shared" si="4"/>
        <v>84329.643293113462</v>
      </c>
      <c r="D45" s="13">
        <f t="shared" si="4"/>
        <v>83936.891553913738</v>
      </c>
      <c r="E45" s="13">
        <f t="shared" si="4"/>
        <v>0</v>
      </c>
      <c r="F45" s="13">
        <f t="shared" si="4"/>
        <v>468241.86388026003</v>
      </c>
      <c r="G45" s="19">
        <f t="shared" ref="G45" si="14">IF(G13&lt;=0,0,G29/G13)</f>
        <v>87322.578609600823</v>
      </c>
    </row>
    <row r="46" spans="1:7">
      <c r="A46" s="21">
        <v>42064</v>
      </c>
      <c r="B46" s="13">
        <f t="shared" si="4"/>
        <v>90953.194376254614</v>
      </c>
      <c r="C46" s="13">
        <f t="shared" si="4"/>
        <v>87830.835796098152</v>
      </c>
      <c r="D46" s="13">
        <f t="shared" si="4"/>
        <v>87522.734414961626</v>
      </c>
      <c r="E46" s="13">
        <f t="shared" si="4"/>
        <v>0</v>
      </c>
      <c r="F46" s="13">
        <f t="shared" si="4"/>
        <v>473480.09693053318</v>
      </c>
      <c r="G46" s="19">
        <f t="shared" ref="G46:G47" si="15">IF(G14&lt;=0,0,G30/G14)</f>
        <v>90884.833826278482</v>
      </c>
    </row>
    <row r="47" spans="1:7">
      <c r="A47" s="22" t="s">
        <v>4</v>
      </c>
      <c r="B47" s="17">
        <f t="shared" si="4"/>
        <v>101126.28870067616</v>
      </c>
      <c r="C47" s="17">
        <f t="shared" si="4"/>
        <v>98759.333900866885</v>
      </c>
      <c r="D47" s="17">
        <f t="shared" si="4"/>
        <v>100203.94092961436</v>
      </c>
      <c r="E47" s="17">
        <f t="shared" si="4"/>
        <v>0</v>
      </c>
      <c r="F47" s="17">
        <f t="shared" si="4"/>
        <v>275002.15419679333</v>
      </c>
      <c r="G47" s="20">
        <f t="shared" si="15"/>
        <v>100640.82470750737</v>
      </c>
    </row>
  </sheetData>
  <mergeCells count="3">
    <mergeCell ref="E1:F1"/>
    <mergeCell ref="E17:F17"/>
    <mergeCell ref="E33:F3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63"/>
  <sheetViews>
    <sheetView showGridLines="0" topLeftCell="AG85" zoomScaleNormal="100" workbookViewId="0">
      <selection activeCell="AR100" sqref="AR100:AR111"/>
    </sheetView>
  </sheetViews>
  <sheetFormatPr defaultRowHeight="12.75"/>
  <cols>
    <col min="1" max="1" width="17" style="1" bestFit="1" customWidth="1"/>
    <col min="2" max="2" width="11" style="40" bestFit="1" customWidth="1"/>
    <col min="3" max="3" width="14.140625" style="40" bestFit="1" customWidth="1"/>
    <col min="4" max="4" width="12" style="1" bestFit="1" customWidth="1"/>
    <col min="5" max="5" width="14.140625" style="1" bestFit="1" customWidth="1"/>
    <col min="6" max="6" width="12" style="1" bestFit="1" customWidth="1"/>
    <col min="7" max="9" width="14.140625" style="1" bestFit="1" customWidth="1"/>
    <col min="10" max="11" width="12" style="1" bestFit="1" customWidth="1"/>
    <col min="12" max="12" width="14.140625" style="1" bestFit="1" customWidth="1"/>
    <col min="13" max="14" width="12" style="1" bestFit="1" customWidth="1"/>
    <col min="15" max="15" width="9.140625" style="1"/>
    <col min="16" max="16" width="17" style="1" bestFit="1" customWidth="1"/>
    <col min="17" max="18" width="17" style="40" customWidth="1"/>
    <col min="19" max="19" width="12.5703125" style="1" bestFit="1" customWidth="1"/>
    <col min="20" max="20" width="11.7109375" style="1" bestFit="1" customWidth="1"/>
    <col min="21" max="23" width="13.85546875" style="1" bestFit="1" customWidth="1"/>
    <col min="24" max="25" width="11.7109375" style="1" bestFit="1" customWidth="1"/>
    <col min="26" max="26" width="13.85546875" style="1" bestFit="1" customWidth="1"/>
    <col min="27" max="27" width="11.7109375" style="1" bestFit="1" customWidth="1"/>
    <col min="28" max="28" width="13.85546875" style="1" bestFit="1" customWidth="1"/>
    <col min="29" max="29" width="13.5703125" style="1" bestFit="1" customWidth="1"/>
    <col min="30" max="30" width="9.140625" style="1"/>
    <col min="31" max="31" width="17" style="40" bestFit="1" customWidth="1"/>
    <col min="32" max="33" width="17" style="40" customWidth="1"/>
    <col min="34" max="34" width="12.5703125" style="40" bestFit="1" customWidth="1"/>
    <col min="35" max="35" width="11.7109375" style="40" bestFit="1" customWidth="1"/>
    <col min="36" max="38" width="13.85546875" style="40" bestFit="1" customWidth="1"/>
    <col min="39" max="40" width="11.7109375" style="40" bestFit="1" customWidth="1"/>
    <col min="41" max="41" width="13.85546875" style="40" bestFit="1" customWidth="1"/>
    <col min="42" max="42" width="11.7109375" style="40" bestFit="1" customWidth="1"/>
    <col min="43" max="43" width="13.85546875" style="40" bestFit="1" customWidth="1"/>
    <col min="44" max="44" width="13.5703125" style="40" bestFit="1" customWidth="1"/>
    <col min="45" max="16384" width="9.140625" style="1"/>
  </cols>
  <sheetData>
    <row r="1" spans="1:49">
      <c r="D1" s="424" t="s">
        <v>21</v>
      </c>
      <c r="E1" s="424"/>
      <c r="F1" s="424"/>
      <c r="G1" s="424"/>
      <c r="H1" s="424"/>
      <c r="I1" s="424"/>
      <c r="J1" s="424"/>
      <c r="K1" s="424"/>
      <c r="L1" s="424"/>
      <c r="M1" s="424"/>
      <c r="S1" s="424" t="s">
        <v>23</v>
      </c>
      <c r="T1" s="424"/>
      <c r="U1" s="424"/>
      <c r="V1" s="424"/>
      <c r="W1" s="424"/>
      <c r="X1" s="424"/>
      <c r="Y1" s="424"/>
      <c r="Z1" s="424"/>
      <c r="AA1" s="424"/>
      <c r="AB1" s="424"/>
      <c r="AH1" s="424" t="s">
        <v>82</v>
      </c>
      <c r="AI1" s="424"/>
      <c r="AJ1" s="424"/>
      <c r="AK1" s="424"/>
      <c r="AL1" s="424"/>
      <c r="AM1" s="424"/>
      <c r="AN1" s="424"/>
      <c r="AO1" s="424"/>
      <c r="AP1" s="424"/>
      <c r="AQ1" s="424"/>
    </row>
    <row r="2" spans="1:49">
      <c r="AU2" s="421" t="s">
        <v>86</v>
      </c>
      <c r="AV2" s="421"/>
      <c r="AW2" s="421"/>
    </row>
    <row r="3" spans="1:49">
      <c r="A3" s="25" t="s">
        <v>22</v>
      </c>
      <c r="B3" s="158" t="s">
        <v>133</v>
      </c>
      <c r="C3" s="158" t="s">
        <v>19</v>
      </c>
      <c r="D3" s="158" t="s">
        <v>17</v>
      </c>
      <c r="E3" s="158" t="s">
        <v>134</v>
      </c>
      <c r="F3" s="158" t="s">
        <v>10</v>
      </c>
      <c r="G3" s="158" t="s">
        <v>11</v>
      </c>
      <c r="H3" s="158" t="s">
        <v>12</v>
      </c>
      <c r="I3" s="158" t="s">
        <v>13</v>
      </c>
      <c r="J3" s="158" t="s">
        <v>14</v>
      </c>
      <c r="K3" s="158" t="s">
        <v>18</v>
      </c>
      <c r="L3" s="158" t="s">
        <v>15</v>
      </c>
      <c r="M3" s="158" t="s">
        <v>16</v>
      </c>
      <c r="N3" s="27" t="s">
        <v>20</v>
      </c>
      <c r="O3" s="40"/>
      <c r="P3" s="25" t="s">
        <v>22</v>
      </c>
      <c r="Q3" s="158" t="s">
        <v>133</v>
      </c>
      <c r="R3" s="158" t="s">
        <v>19</v>
      </c>
      <c r="S3" s="158" t="s">
        <v>17</v>
      </c>
      <c r="T3" s="158" t="s">
        <v>134</v>
      </c>
      <c r="U3" s="158" t="s">
        <v>10</v>
      </c>
      <c r="V3" s="158" t="s">
        <v>11</v>
      </c>
      <c r="W3" s="158" t="s">
        <v>12</v>
      </c>
      <c r="X3" s="158" t="s">
        <v>13</v>
      </c>
      <c r="Y3" s="158" t="s">
        <v>14</v>
      </c>
      <c r="Z3" s="158" t="s">
        <v>18</v>
      </c>
      <c r="AA3" s="158" t="s">
        <v>15</v>
      </c>
      <c r="AB3" s="158" t="s">
        <v>16</v>
      </c>
      <c r="AC3" s="27" t="s">
        <v>20</v>
      </c>
      <c r="AD3" s="40"/>
      <c r="AE3" s="25" t="s">
        <v>22</v>
      </c>
      <c r="AF3" s="158" t="s">
        <v>133</v>
      </c>
      <c r="AG3" s="158" t="s">
        <v>19</v>
      </c>
      <c r="AH3" s="158" t="s">
        <v>17</v>
      </c>
      <c r="AI3" s="158" t="s">
        <v>134</v>
      </c>
      <c r="AJ3" s="158" t="s">
        <v>10</v>
      </c>
      <c r="AK3" s="158" t="s">
        <v>11</v>
      </c>
      <c r="AL3" s="158" t="s">
        <v>12</v>
      </c>
      <c r="AM3" s="158" t="s">
        <v>13</v>
      </c>
      <c r="AN3" s="158" t="s">
        <v>14</v>
      </c>
      <c r="AO3" s="158" t="s">
        <v>18</v>
      </c>
      <c r="AP3" s="158" t="s">
        <v>15</v>
      </c>
      <c r="AQ3" s="158" t="s">
        <v>16</v>
      </c>
      <c r="AR3" s="27" t="s">
        <v>20</v>
      </c>
      <c r="AU3" s="90" t="s">
        <v>11</v>
      </c>
      <c r="AV3" s="90" t="s">
        <v>12</v>
      </c>
      <c r="AW3" s="90" t="s">
        <v>13</v>
      </c>
    </row>
    <row r="4" spans="1:49">
      <c r="A4" s="9">
        <v>41730</v>
      </c>
      <c r="B4" s="41">
        <f>B20+B36+B52+B68+B84+B100</f>
        <v>0</v>
      </c>
      <c r="C4" s="41">
        <f t="shared" ref="C4:N4" si="0">C20+C36+C52+C68+C84+C100</f>
        <v>0</v>
      </c>
      <c r="D4" s="41">
        <f t="shared" si="0"/>
        <v>18.91</v>
      </c>
      <c r="E4" s="41">
        <f t="shared" si="0"/>
        <v>38.4</v>
      </c>
      <c r="F4" s="41">
        <f t="shared" si="0"/>
        <v>52.160000000000004</v>
      </c>
      <c r="G4" s="41">
        <f t="shared" si="0"/>
        <v>5022.21</v>
      </c>
      <c r="H4" s="41">
        <f t="shared" si="0"/>
        <v>1061.5900000000001</v>
      </c>
      <c r="I4" s="41">
        <f t="shared" si="0"/>
        <v>132.12</v>
      </c>
      <c r="J4" s="41">
        <f t="shared" si="0"/>
        <v>0</v>
      </c>
      <c r="K4" s="41">
        <f t="shared" si="0"/>
        <v>12</v>
      </c>
      <c r="L4" s="41">
        <f t="shared" si="0"/>
        <v>0</v>
      </c>
      <c r="M4" s="41">
        <f t="shared" si="0"/>
        <v>51.129000000000005</v>
      </c>
      <c r="N4" s="6">
        <f t="shared" si="0"/>
        <v>6388.5190000000002</v>
      </c>
      <c r="O4" s="41"/>
      <c r="P4" s="9">
        <v>41730</v>
      </c>
      <c r="Q4" s="41">
        <f>Q20+Q36+Q52+Q68+Q84+Q100</f>
        <v>0</v>
      </c>
      <c r="R4" s="41">
        <f t="shared" ref="R4:AC4" si="1">R20+R36+R52+R68+R84+R100</f>
        <v>0</v>
      </c>
      <c r="S4" s="41">
        <f t="shared" si="1"/>
        <v>2552516.0700000003</v>
      </c>
      <c r="T4" s="41">
        <f t="shared" si="1"/>
        <v>6570145.3399999999</v>
      </c>
      <c r="U4" s="41">
        <f t="shared" si="1"/>
        <v>6280275.9499999993</v>
      </c>
      <c r="V4" s="41">
        <f t="shared" si="1"/>
        <v>561901606.31000006</v>
      </c>
      <c r="W4" s="41">
        <f t="shared" si="1"/>
        <v>134103839.67</v>
      </c>
      <c r="X4" s="41">
        <f t="shared" si="1"/>
        <v>15860925.140000001</v>
      </c>
      <c r="Y4" s="41">
        <f t="shared" si="1"/>
        <v>0</v>
      </c>
      <c r="Z4" s="41">
        <f t="shared" si="1"/>
        <v>1392042.6</v>
      </c>
      <c r="AA4" s="41">
        <f t="shared" si="1"/>
        <v>0</v>
      </c>
      <c r="AB4" s="41">
        <f t="shared" si="1"/>
        <v>4599598.05</v>
      </c>
      <c r="AC4" s="6">
        <f t="shared" si="1"/>
        <v>733260949.13</v>
      </c>
      <c r="AD4" s="40"/>
      <c r="AE4" s="9">
        <v>41730</v>
      </c>
      <c r="AF4" s="41">
        <f>AF20+AF36+AF52+AF68+AF84+AF100</f>
        <v>0</v>
      </c>
      <c r="AG4" s="41">
        <f t="shared" ref="AG4:AR4" si="2">AG20+AG36+AG52+AG68+AG84+AG100</f>
        <v>0</v>
      </c>
      <c r="AH4" s="41">
        <f t="shared" si="2"/>
        <v>42225.245161290317</v>
      </c>
      <c r="AI4" s="41">
        <f t="shared" si="2"/>
        <v>108687.26782464846</v>
      </c>
      <c r="AJ4" s="41">
        <f t="shared" si="2"/>
        <v>103242.19999999998</v>
      </c>
      <c r="AK4" s="41">
        <f t="shared" si="2"/>
        <v>9253429.016839603</v>
      </c>
      <c r="AL4" s="41">
        <f t="shared" si="2"/>
        <v>2212220.9125155089</v>
      </c>
      <c r="AM4" s="41">
        <f t="shared" si="2"/>
        <v>260870.4792763158</v>
      </c>
      <c r="AN4" s="41">
        <f t="shared" si="2"/>
        <v>0</v>
      </c>
      <c r="AO4" s="41">
        <f t="shared" si="2"/>
        <v>23028</v>
      </c>
      <c r="AP4" s="41">
        <f t="shared" si="2"/>
        <v>0</v>
      </c>
      <c r="AQ4" s="41">
        <f t="shared" si="2"/>
        <v>75780.533498759294</v>
      </c>
      <c r="AR4" s="6">
        <f t="shared" si="2"/>
        <v>12079483.655116126</v>
      </c>
      <c r="AU4" s="92">
        <f t="shared" ref="AU4:AU15" si="3">+AK4/G4</f>
        <v>1842.5014120953929</v>
      </c>
      <c r="AV4" s="92">
        <f t="shared" ref="AV4:AV15" si="4">+AL4/H4</f>
        <v>2083.8750482912506</v>
      </c>
      <c r="AW4" s="92">
        <f t="shared" ref="AW4:AW15" si="5">+AM4/I4</f>
        <v>1974.4965128392053</v>
      </c>
    </row>
    <row r="5" spans="1:49">
      <c r="A5" s="9">
        <v>41760</v>
      </c>
      <c r="B5" s="41">
        <f t="shared" ref="B5:N16" si="6">B21+B37+B53+B69+B85+B101</f>
        <v>0</v>
      </c>
      <c r="C5" s="41">
        <f t="shared" si="6"/>
        <v>0</v>
      </c>
      <c r="D5" s="41">
        <f t="shared" si="6"/>
        <v>0</v>
      </c>
      <c r="E5" s="41">
        <f t="shared" si="6"/>
        <v>19.3</v>
      </c>
      <c r="F5" s="41">
        <f t="shared" si="6"/>
        <v>77.400000000000006</v>
      </c>
      <c r="G5" s="41">
        <f t="shared" si="6"/>
        <v>5745.41</v>
      </c>
      <c r="H5" s="41">
        <f t="shared" si="6"/>
        <v>1136.73</v>
      </c>
      <c r="I5" s="41">
        <f t="shared" si="6"/>
        <v>132.34</v>
      </c>
      <c r="J5" s="41">
        <f t="shared" si="6"/>
        <v>0</v>
      </c>
      <c r="K5" s="41">
        <f t="shared" si="6"/>
        <v>30</v>
      </c>
      <c r="L5" s="41">
        <f t="shared" si="6"/>
        <v>58</v>
      </c>
      <c r="M5" s="41">
        <f t="shared" si="6"/>
        <v>0</v>
      </c>
      <c r="N5" s="6">
        <f t="shared" si="6"/>
        <v>7199.18</v>
      </c>
      <c r="O5" s="41"/>
      <c r="P5" s="9">
        <v>41760</v>
      </c>
      <c r="Q5" s="41">
        <f t="shared" ref="Q5:AC16" si="7">Q21+Q37+Q53+Q69+Q85+Q101</f>
        <v>0</v>
      </c>
      <c r="R5" s="41">
        <f t="shared" si="7"/>
        <v>0</v>
      </c>
      <c r="S5" s="41">
        <f t="shared" si="7"/>
        <v>0</v>
      </c>
      <c r="T5" s="41">
        <f t="shared" si="7"/>
        <v>3339774.68</v>
      </c>
      <c r="U5" s="41">
        <f t="shared" si="7"/>
        <v>8734537.5199999996</v>
      </c>
      <c r="V5" s="41">
        <f t="shared" si="7"/>
        <v>642021573.54000008</v>
      </c>
      <c r="W5" s="41">
        <f t="shared" si="7"/>
        <v>141215944.88999999</v>
      </c>
      <c r="X5" s="41">
        <f t="shared" si="7"/>
        <v>15865715.949999999</v>
      </c>
      <c r="Y5" s="41">
        <f t="shared" si="7"/>
        <v>0</v>
      </c>
      <c r="Z5" s="41">
        <f t="shared" si="7"/>
        <v>3573945.6</v>
      </c>
      <c r="AA5" s="41">
        <f t="shared" si="7"/>
        <v>5897299.370000001</v>
      </c>
      <c r="AB5" s="41">
        <f t="shared" si="7"/>
        <v>0</v>
      </c>
      <c r="AC5" s="6">
        <f t="shared" si="7"/>
        <v>820648791.55000007</v>
      </c>
      <c r="AD5" s="40"/>
      <c r="AE5" s="9">
        <v>41760</v>
      </c>
      <c r="AF5" s="41">
        <f t="shared" ref="AF5:AR16" si="8">AF21+AF37+AF53+AF69+AF85+AF101</f>
        <v>0</v>
      </c>
      <c r="AG5" s="41">
        <f t="shared" si="8"/>
        <v>0</v>
      </c>
      <c r="AH5" s="41">
        <f t="shared" si="8"/>
        <v>0</v>
      </c>
      <c r="AI5" s="41">
        <f t="shared" si="8"/>
        <v>55570.294176372714</v>
      </c>
      <c r="AJ5" s="41">
        <f t="shared" si="8"/>
        <v>143542.11207888252</v>
      </c>
      <c r="AK5" s="41">
        <f t="shared" si="8"/>
        <v>10624625.447650656</v>
      </c>
      <c r="AL5" s="41">
        <f t="shared" si="8"/>
        <v>2333838.969657938</v>
      </c>
      <c r="AM5" s="41">
        <f t="shared" si="8"/>
        <v>261659.79534588341</v>
      </c>
      <c r="AN5" s="41">
        <f t="shared" si="8"/>
        <v>0</v>
      </c>
      <c r="AO5" s="41">
        <f t="shared" si="8"/>
        <v>58733.699260476584</v>
      </c>
      <c r="AP5" s="41">
        <f t="shared" si="8"/>
        <v>97792.036106489177</v>
      </c>
      <c r="AQ5" s="41">
        <f t="shared" si="8"/>
        <v>0</v>
      </c>
      <c r="AR5" s="6">
        <f t="shared" si="8"/>
        <v>13575762.3542767</v>
      </c>
      <c r="AU5" s="92">
        <f t="shared" si="3"/>
        <v>1849.237121049787</v>
      </c>
      <c r="AV5" s="92">
        <f t="shared" si="4"/>
        <v>2053.1163685817546</v>
      </c>
      <c r="AW5" s="92">
        <f t="shared" si="5"/>
        <v>1977.1784445056928</v>
      </c>
    </row>
    <row r="6" spans="1:49">
      <c r="A6" s="9">
        <v>41791</v>
      </c>
      <c r="B6" s="41">
        <f t="shared" si="6"/>
        <v>0</v>
      </c>
      <c r="C6" s="41">
        <f t="shared" si="6"/>
        <v>0</v>
      </c>
      <c r="D6" s="41">
        <f t="shared" si="6"/>
        <v>0</v>
      </c>
      <c r="E6" s="41">
        <f t="shared" si="6"/>
        <v>0</v>
      </c>
      <c r="F6" s="41">
        <f t="shared" si="6"/>
        <v>79.759999999999991</v>
      </c>
      <c r="G6" s="41">
        <f t="shared" si="6"/>
        <v>5179.33</v>
      </c>
      <c r="H6" s="41">
        <f t="shared" si="6"/>
        <v>877.72</v>
      </c>
      <c r="I6" s="41">
        <f t="shared" si="6"/>
        <v>134.64000000000001</v>
      </c>
      <c r="J6" s="41">
        <f t="shared" si="6"/>
        <v>0</v>
      </c>
      <c r="K6" s="41">
        <f t="shared" si="6"/>
        <v>5.5</v>
      </c>
      <c r="L6" s="41">
        <f t="shared" si="6"/>
        <v>76.5</v>
      </c>
      <c r="M6" s="41">
        <f t="shared" si="6"/>
        <v>15</v>
      </c>
      <c r="N6" s="6">
        <f t="shared" si="6"/>
        <v>6368.4500000000007</v>
      </c>
      <c r="O6" s="42">
        <f>N4+N5+N6</f>
        <v>19956.149000000001</v>
      </c>
      <c r="P6" s="9">
        <v>41791</v>
      </c>
      <c r="Q6" s="41">
        <f t="shared" si="7"/>
        <v>0</v>
      </c>
      <c r="R6" s="41">
        <f t="shared" si="7"/>
        <v>0</v>
      </c>
      <c r="S6" s="41">
        <f t="shared" si="7"/>
        <v>0</v>
      </c>
      <c r="T6" s="41">
        <f t="shared" si="7"/>
        <v>0</v>
      </c>
      <c r="U6" s="41">
        <f t="shared" si="7"/>
        <v>9515916.6099999994</v>
      </c>
      <c r="V6" s="41">
        <f t="shared" si="7"/>
        <v>578867412.62</v>
      </c>
      <c r="W6" s="41">
        <f t="shared" si="7"/>
        <v>101348361.53</v>
      </c>
      <c r="X6" s="41">
        <f t="shared" si="7"/>
        <v>15170375.390000001</v>
      </c>
      <c r="Y6" s="41">
        <f t="shared" si="7"/>
        <v>0</v>
      </c>
      <c r="Z6" s="41">
        <f t="shared" si="7"/>
        <v>595932.06000000006</v>
      </c>
      <c r="AA6" s="41">
        <f t="shared" si="7"/>
        <v>7788308.5199999996</v>
      </c>
      <c r="AB6" s="41">
        <f t="shared" si="7"/>
        <v>1496100.38</v>
      </c>
      <c r="AC6" s="6">
        <f t="shared" si="7"/>
        <v>714782407.11000001</v>
      </c>
      <c r="AD6" s="40"/>
      <c r="AE6" s="9">
        <v>41791</v>
      </c>
      <c r="AF6" s="41">
        <f t="shared" si="8"/>
        <v>0</v>
      </c>
      <c r="AG6" s="41">
        <f t="shared" si="8"/>
        <v>0</v>
      </c>
      <c r="AH6" s="41">
        <f t="shared" si="8"/>
        <v>0</v>
      </c>
      <c r="AI6" s="41">
        <f t="shared" si="8"/>
        <v>0</v>
      </c>
      <c r="AJ6" s="41">
        <f t="shared" si="8"/>
        <v>158416.92782369629</v>
      </c>
      <c r="AK6" s="41">
        <f t="shared" si="8"/>
        <v>9650005.2870862652</v>
      </c>
      <c r="AL6" s="41">
        <f t="shared" si="8"/>
        <v>1684429.7201583143</v>
      </c>
      <c r="AM6" s="41">
        <f t="shared" si="8"/>
        <v>253019.8969293728</v>
      </c>
      <c r="AN6" s="41">
        <f t="shared" si="8"/>
        <v>0</v>
      </c>
      <c r="AO6" s="41">
        <f t="shared" si="8"/>
        <v>9915.6748752079875</v>
      </c>
      <c r="AP6" s="41">
        <f t="shared" si="8"/>
        <v>129795.60507439352</v>
      </c>
      <c r="AQ6" s="41">
        <f t="shared" si="8"/>
        <v>24997.500083542185</v>
      </c>
      <c r="AR6" s="6">
        <f t="shared" si="8"/>
        <v>11910580.612030793</v>
      </c>
      <c r="AU6" s="92">
        <f t="shared" si="3"/>
        <v>1863.176373601656</v>
      </c>
      <c r="AV6" s="92">
        <f t="shared" si="4"/>
        <v>1919.0968875704259</v>
      </c>
      <c r="AW6" s="92">
        <f t="shared" si="5"/>
        <v>1879.2327460589183</v>
      </c>
    </row>
    <row r="7" spans="1:49">
      <c r="A7" s="9">
        <v>41821</v>
      </c>
      <c r="B7" s="41">
        <f t="shared" si="6"/>
        <v>0</v>
      </c>
      <c r="C7" s="41">
        <f t="shared" si="6"/>
        <v>0</v>
      </c>
      <c r="D7" s="41">
        <f t="shared" si="6"/>
        <v>0</v>
      </c>
      <c r="E7" s="41">
        <f t="shared" si="6"/>
        <v>0</v>
      </c>
      <c r="F7" s="41">
        <f t="shared" si="6"/>
        <v>48.36</v>
      </c>
      <c r="G7" s="41">
        <f t="shared" si="6"/>
        <v>5389.68</v>
      </c>
      <c r="H7" s="41">
        <f t="shared" si="6"/>
        <v>497.67</v>
      </c>
      <c r="I7" s="41">
        <f t="shared" si="6"/>
        <v>458.59999999999997</v>
      </c>
      <c r="J7" s="41">
        <f t="shared" si="6"/>
        <v>3.4</v>
      </c>
      <c r="K7" s="41">
        <f t="shared" si="6"/>
        <v>41</v>
      </c>
      <c r="L7" s="41">
        <f t="shared" si="6"/>
        <v>28</v>
      </c>
      <c r="M7" s="41">
        <f t="shared" si="6"/>
        <v>17</v>
      </c>
      <c r="N7" s="6">
        <f t="shared" si="6"/>
        <v>6483.71</v>
      </c>
      <c r="O7" s="40"/>
      <c r="P7" s="9">
        <v>41821</v>
      </c>
      <c r="Q7" s="41">
        <f t="shared" si="7"/>
        <v>0</v>
      </c>
      <c r="R7" s="41">
        <f t="shared" si="7"/>
        <v>0</v>
      </c>
      <c r="S7" s="41">
        <f t="shared" si="7"/>
        <v>0</v>
      </c>
      <c r="T7" s="41">
        <f t="shared" si="7"/>
        <v>0</v>
      </c>
      <c r="U7" s="41">
        <f t="shared" si="7"/>
        <v>5656352.4900000002</v>
      </c>
      <c r="V7" s="41">
        <f t="shared" si="7"/>
        <v>603089628.07000005</v>
      </c>
      <c r="W7" s="41">
        <f t="shared" si="7"/>
        <v>58407543.75</v>
      </c>
      <c r="X7" s="41">
        <f t="shared" si="7"/>
        <v>52931949.860000007</v>
      </c>
      <c r="Y7" s="41">
        <f t="shared" si="7"/>
        <v>448154.17</v>
      </c>
      <c r="Z7" s="41">
        <f t="shared" si="7"/>
        <v>4781973.2700000005</v>
      </c>
      <c r="AA7" s="41">
        <f t="shared" si="7"/>
        <v>2751818.35</v>
      </c>
      <c r="AB7" s="41">
        <f t="shared" si="7"/>
        <v>1750483.52</v>
      </c>
      <c r="AC7" s="6">
        <f t="shared" si="7"/>
        <v>729817903.48000002</v>
      </c>
      <c r="AD7" s="40"/>
      <c r="AE7" s="9">
        <v>41821</v>
      </c>
      <c r="AF7" s="41">
        <f t="shared" si="8"/>
        <v>0</v>
      </c>
      <c r="AG7" s="41">
        <f t="shared" si="8"/>
        <v>0</v>
      </c>
      <c r="AH7" s="41">
        <f t="shared" si="8"/>
        <v>0</v>
      </c>
      <c r="AI7" s="41">
        <f t="shared" si="8"/>
        <v>0</v>
      </c>
      <c r="AJ7" s="41">
        <f t="shared" si="8"/>
        <v>93185.378747940689</v>
      </c>
      <c r="AK7" s="41">
        <f t="shared" si="8"/>
        <v>9972123.8268400542</v>
      </c>
      <c r="AL7" s="41">
        <f t="shared" si="8"/>
        <v>966189.63101996388</v>
      </c>
      <c r="AM7" s="41">
        <f t="shared" si="8"/>
        <v>876408.968037894</v>
      </c>
      <c r="AN7" s="41">
        <f t="shared" si="8"/>
        <v>7383.0999999999995</v>
      </c>
      <c r="AO7" s="41">
        <f t="shared" si="8"/>
        <v>79446.600000000006</v>
      </c>
      <c r="AP7" s="41">
        <f t="shared" si="8"/>
        <v>45557.666062602962</v>
      </c>
      <c r="AQ7" s="41">
        <f t="shared" si="8"/>
        <v>28845.599999999999</v>
      </c>
      <c r="AR7" s="6">
        <f t="shared" si="8"/>
        <v>12069140.770708455</v>
      </c>
      <c r="AU7" s="92">
        <f t="shared" si="3"/>
        <v>1850.2255842350667</v>
      </c>
      <c r="AV7" s="92">
        <f t="shared" si="4"/>
        <v>1941.4263086381816</v>
      </c>
      <c r="AW7" s="92">
        <f t="shared" si="5"/>
        <v>1911.0531357128086</v>
      </c>
    </row>
    <row r="8" spans="1:49">
      <c r="A8" s="9">
        <v>41852</v>
      </c>
      <c r="B8" s="41">
        <f t="shared" si="6"/>
        <v>0</v>
      </c>
      <c r="C8" s="41">
        <f t="shared" si="6"/>
        <v>0</v>
      </c>
      <c r="D8" s="41">
        <f t="shared" si="6"/>
        <v>20.07</v>
      </c>
      <c r="E8" s="41">
        <f t="shared" si="6"/>
        <v>0</v>
      </c>
      <c r="F8" s="41">
        <f t="shared" si="6"/>
        <v>10.199999999999999</v>
      </c>
      <c r="G8" s="41">
        <f t="shared" si="6"/>
        <v>3295.46</v>
      </c>
      <c r="H8" s="41">
        <f t="shared" si="6"/>
        <v>837.48</v>
      </c>
      <c r="I8" s="41">
        <f t="shared" si="6"/>
        <v>0</v>
      </c>
      <c r="J8" s="41">
        <f t="shared" si="6"/>
        <v>0</v>
      </c>
      <c r="K8" s="41">
        <f t="shared" si="6"/>
        <v>30</v>
      </c>
      <c r="L8" s="41">
        <f t="shared" si="6"/>
        <v>0</v>
      </c>
      <c r="M8" s="41">
        <f t="shared" si="6"/>
        <v>60</v>
      </c>
      <c r="N8" s="6">
        <f t="shared" si="6"/>
        <v>4253.2100000000009</v>
      </c>
      <c r="O8" s="40"/>
      <c r="P8" s="9">
        <v>41852</v>
      </c>
      <c r="Q8" s="41">
        <f t="shared" si="7"/>
        <v>0</v>
      </c>
      <c r="R8" s="41">
        <f t="shared" si="7"/>
        <v>0</v>
      </c>
      <c r="S8" s="41">
        <f t="shared" si="7"/>
        <v>3972201.98</v>
      </c>
      <c r="T8" s="41">
        <f t="shared" si="7"/>
        <v>0</v>
      </c>
      <c r="U8" s="41">
        <f t="shared" si="7"/>
        <v>1188129.6599999999</v>
      </c>
      <c r="V8" s="41">
        <f t="shared" si="7"/>
        <v>368885144.16999996</v>
      </c>
      <c r="W8" s="41">
        <f t="shared" si="7"/>
        <v>91041078.300000012</v>
      </c>
      <c r="X8" s="41">
        <f t="shared" si="7"/>
        <v>0</v>
      </c>
      <c r="Y8" s="41">
        <f t="shared" si="7"/>
        <v>0</v>
      </c>
      <c r="Z8" s="41">
        <f t="shared" si="7"/>
        <v>3568067.4</v>
      </c>
      <c r="AA8" s="41">
        <f t="shared" si="7"/>
        <v>0</v>
      </c>
      <c r="AB8" s="41">
        <f t="shared" si="7"/>
        <v>6181427.25</v>
      </c>
      <c r="AC8" s="6">
        <f t="shared" si="7"/>
        <v>474836048.75999999</v>
      </c>
      <c r="AD8" s="40"/>
      <c r="AE8" s="9">
        <v>41852</v>
      </c>
      <c r="AF8" s="41">
        <f t="shared" si="8"/>
        <v>0</v>
      </c>
      <c r="AG8" s="41">
        <f t="shared" si="8"/>
        <v>0</v>
      </c>
      <c r="AH8" s="41">
        <f t="shared" si="8"/>
        <v>65439.900823723226</v>
      </c>
      <c r="AI8" s="41">
        <f t="shared" si="8"/>
        <v>0</v>
      </c>
      <c r="AJ8" s="41">
        <f t="shared" si="8"/>
        <v>19209.857073565076</v>
      </c>
      <c r="AK8" s="41">
        <f t="shared" si="8"/>
        <v>6019773.2955714054</v>
      </c>
      <c r="AL8" s="41">
        <f t="shared" si="8"/>
        <v>1483463.8025661346</v>
      </c>
      <c r="AM8" s="41">
        <f t="shared" si="8"/>
        <v>0</v>
      </c>
      <c r="AN8" s="41">
        <f t="shared" si="8"/>
        <v>0</v>
      </c>
      <c r="AO8" s="41">
        <f t="shared" si="8"/>
        <v>58781.999999999993</v>
      </c>
      <c r="AP8" s="41">
        <f t="shared" si="8"/>
        <v>0</v>
      </c>
      <c r="AQ8" s="41">
        <f t="shared" si="8"/>
        <v>101602.82571428572</v>
      </c>
      <c r="AR8" s="6">
        <f t="shared" si="8"/>
        <v>7748271.6817491138</v>
      </c>
      <c r="AU8" s="92">
        <f t="shared" si="3"/>
        <v>1826.686804140061</v>
      </c>
      <c r="AV8" s="92">
        <f t="shared" si="4"/>
        <v>1771.3423634786916</v>
      </c>
      <c r="AW8" s="92" t="e">
        <f t="shared" si="5"/>
        <v>#DIV/0!</v>
      </c>
    </row>
    <row r="9" spans="1:49">
      <c r="A9" s="9">
        <v>41883</v>
      </c>
      <c r="B9" s="41">
        <f t="shared" si="6"/>
        <v>0</v>
      </c>
      <c r="C9" s="41">
        <f t="shared" si="6"/>
        <v>0</v>
      </c>
      <c r="D9" s="41">
        <f t="shared" si="6"/>
        <v>0</v>
      </c>
      <c r="E9" s="41">
        <f t="shared" si="6"/>
        <v>37.57</v>
      </c>
      <c r="F9" s="41">
        <f t="shared" si="6"/>
        <v>336.755</v>
      </c>
      <c r="G9" s="41">
        <f t="shared" si="6"/>
        <v>5755.3599999999988</v>
      </c>
      <c r="H9" s="41">
        <f t="shared" si="6"/>
        <v>996.3</v>
      </c>
      <c r="I9" s="41">
        <f t="shared" si="6"/>
        <v>98.699999999999989</v>
      </c>
      <c r="J9" s="41">
        <f t="shared" si="6"/>
        <v>0</v>
      </c>
      <c r="K9" s="41">
        <f t="shared" si="6"/>
        <v>102</v>
      </c>
      <c r="L9" s="41">
        <f t="shared" si="6"/>
        <v>90</v>
      </c>
      <c r="M9" s="41">
        <f t="shared" si="6"/>
        <v>30</v>
      </c>
      <c r="N9" s="6">
        <f t="shared" si="6"/>
        <v>7446.6849999999977</v>
      </c>
      <c r="O9" s="42">
        <f>N7+N8+N9</f>
        <v>18183.605</v>
      </c>
      <c r="P9" s="9">
        <v>41883</v>
      </c>
      <c r="Q9" s="41">
        <f t="shared" si="7"/>
        <v>0</v>
      </c>
      <c r="R9" s="41">
        <f t="shared" si="7"/>
        <v>0</v>
      </c>
      <c r="S9" s="41">
        <f t="shared" si="7"/>
        <v>0</v>
      </c>
      <c r="T9" s="41">
        <f t="shared" si="7"/>
        <v>5717245.1399999997</v>
      </c>
      <c r="U9" s="41">
        <f t="shared" si="7"/>
        <v>38482371.939999998</v>
      </c>
      <c r="V9" s="41">
        <f t="shared" si="7"/>
        <v>577042522.9200002</v>
      </c>
      <c r="W9" s="41">
        <f t="shared" si="7"/>
        <v>100307300.16999999</v>
      </c>
      <c r="X9" s="41">
        <f t="shared" si="7"/>
        <v>9797177.129999999</v>
      </c>
      <c r="Y9" s="41">
        <f t="shared" si="7"/>
        <v>0</v>
      </c>
      <c r="Z9" s="41">
        <f t="shared" si="7"/>
        <v>11663568.379999999</v>
      </c>
      <c r="AA9" s="41">
        <f t="shared" si="7"/>
        <v>8575104.5300000012</v>
      </c>
      <c r="AB9" s="41">
        <f t="shared" si="7"/>
        <v>3055944.38</v>
      </c>
      <c r="AC9" s="6">
        <f t="shared" si="7"/>
        <v>754641234.59000015</v>
      </c>
      <c r="AD9" s="40"/>
      <c r="AE9" s="9">
        <v>41883</v>
      </c>
      <c r="AF9" s="41">
        <f t="shared" si="8"/>
        <v>0</v>
      </c>
      <c r="AG9" s="41">
        <f t="shared" si="8"/>
        <v>0</v>
      </c>
      <c r="AH9" s="41">
        <f t="shared" si="8"/>
        <v>0</v>
      </c>
      <c r="AI9" s="41">
        <f t="shared" si="8"/>
        <v>93725.330163934414</v>
      </c>
      <c r="AJ9" s="41">
        <f t="shared" si="8"/>
        <v>628610.97527266643</v>
      </c>
      <c r="AK9" s="41">
        <f t="shared" si="8"/>
        <v>9404725.0042404607</v>
      </c>
      <c r="AL9" s="41">
        <f t="shared" si="8"/>
        <v>1637647.7481548865</v>
      </c>
      <c r="AM9" s="41">
        <f t="shared" si="8"/>
        <v>160609.46114754098</v>
      </c>
      <c r="AN9" s="41">
        <f t="shared" si="8"/>
        <v>0</v>
      </c>
      <c r="AO9" s="41">
        <f t="shared" si="8"/>
        <v>190768.80008163262</v>
      </c>
      <c r="AP9" s="41">
        <f t="shared" si="8"/>
        <v>140575.48409836067</v>
      </c>
      <c r="AQ9" s="41">
        <f t="shared" si="8"/>
        <v>50097.448852459012</v>
      </c>
      <c r="AR9" s="6">
        <f t="shared" si="8"/>
        <v>12306760.25201194</v>
      </c>
      <c r="AU9" s="92">
        <f t="shared" si="3"/>
        <v>1634.0811007896052</v>
      </c>
      <c r="AV9" s="92">
        <f t="shared" si="4"/>
        <v>1643.7295474805646</v>
      </c>
      <c r="AW9" s="92">
        <f t="shared" si="5"/>
        <v>1627.2488464796454</v>
      </c>
    </row>
    <row r="10" spans="1:49">
      <c r="A10" s="9">
        <v>41913</v>
      </c>
      <c r="B10" s="41">
        <f t="shared" si="6"/>
        <v>0</v>
      </c>
      <c r="C10" s="41">
        <f t="shared" si="6"/>
        <v>0</v>
      </c>
      <c r="D10" s="41">
        <f t="shared" si="6"/>
        <v>0</v>
      </c>
      <c r="E10" s="41">
        <f t="shared" si="6"/>
        <v>0</v>
      </c>
      <c r="F10" s="41">
        <f t="shared" si="6"/>
        <v>42.98</v>
      </c>
      <c r="G10" s="41">
        <f t="shared" si="6"/>
        <v>5021.3900000000003</v>
      </c>
      <c r="H10" s="41">
        <f t="shared" si="6"/>
        <v>1055.99</v>
      </c>
      <c r="I10" s="41">
        <f t="shared" si="6"/>
        <v>215.04</v>
      </c>
      <c r="J10" s="41">
        <f t="shared" si="6"/>
        <v>0</v>
      </c>
      <c r="K10" s="41">
        <f t="shared" si="6"/>
        <v>0</v>
      </c>
      <c r="L10" s="41">
        <f t="shared" si="6"/>
        <v>20</v>
      </c>
      <c r="M10" s="41">
        <f t="shared" si="6"/>
        <v>2</v>
      </c>
      <c r="N10" s="6">
        <f t="shared" si="6"/>
        <v>6357.4</v>
      </c>
      <c r="O10" s="40"/>
      <c r="P10" s="9">
        <v>41913</v>
      </c>
      <c r="Q10" s="41">
        <f t="shared" si="7"/>
        <v>0</v>
      </c>
      <c r="R10" s="41">
        <f t="shared" si="7"/>
        <v>0</v>
      </c>
      <c r="S10" s="41">
        <f t="shared" si="7"/>
        <v>0</v>
      </c>
      <c r="T10" s="41">
        <f t="shared" si="7"/>
        <v>0</v>
      </c>
      <c r="U10" s="41">
        <f t="shared" si="7"/>
        <v>5088155.1100000003</v>
      </c>
      <c r="V10" s="41">
        <f t="shared" si="7"/>
        <v>449287331.95999992</v>
      </c>
      <c r="W10" s="41">
        <f t="shared" si="7"/>
        <v>96280470.050000012</v>
      </c>
      <c r="X10" s="41">
        <f t="shared" si="7"/>
        <v>20932866.18</v>
      </c>
      <c r="Y10" s="41">
        <f t="shared" si="7"/>
        <v>0</v>
      </c>
      <c r="Z10" s="41">
        <f t="shared" si="7"/>
        <v>0</v>
      </c>
      <c r="AA10" s="41">
        <f t="shared" si="7"/>
        <v>2053518.31</v>
      </c>
      <c r="AB10" s="41">
        <f t="shared" si="7"/>
        <v>198164.12</v>
      </c>
      <c r="AC10" s="6">
        <f t="shared" si="7"/>
        <v>573840505.7299999</v>
      </c>
      <c r="AD10" s="40"/>
      <c r="AE10" s="9">
        <v>41913</v>
      </c>
      <c r="AF10" s="41">
        <f t="shared" si="8"/>
        <v>0</v>
      </c>
      <c r="AG10" s="41">
        <f t="shared" si="8"/>
        <v>0</v>
      </c>
      <c r="AH10" s="41">
        <f t="shared" si="8"/>
        <v>0</v>
      </c>
      <c r="AI10" s="41">
        <f t="shared" si="8"/>
        <v>0</v>
      </c>
      <c r="AJ10" s="41">
        <f t="shared" si="8"/>
        <v>82000.888154713946</v>
      </c>
      <c r="AK10" s="41">
        <f t="shared" si="8"/>
        <v>7228891.2391869277</v>
      </c>
      <c r="AL10" s="41">
        <f t="shared" si="8"/>
        <v>1550257.2642467176</v>
      </c>
      <c r="AM10" s="41">
        <f t="shared" si="8"/>
        <v>336666.47566853743</v>
      </c>
      <c r="AN10" s="41">
        <f t="shared" si="8"/>
        <v>0</v>
      </c>
      <c r="AO10" s="41">
        <f t="shared" si="8"/>
        <v>0</v>
      </c>
      <c r="AP10" s="41">
        <f t="shared" si="8"/>
        <v>33001.712489927479</v>
      </c>
      <c r="AQ10" s="41">
        <f t="shared" si="8"/>
        <v>3193.6199838839648</v>
      </c>
      <c r="AR10" s="6">
        <f t="shared" si="8"/>
        <v>9234011.1997307073</v>
      </c>
      <c r="AU10" s="92">
        <f t="shared" si="3"/>
        <v>1439.6195553794721</v>
      </c>
      <c r="AV10" s="92">
        <f t="shared" si="4"/>
        <v>1468.0605538373636</v>
      </c>
      <c r="AW10" s="92">
        <f t="shared" si="5"/>
        <v>1565.5993102145528</v>
      </c>
    </row>
    <row r="11" spans="1:49">
      <c r="A11" s="9">
        <v>41944</v>
      </c>
      <c r="B11" s="41">
        <f t="shared" si="6"/>
        <v>0</v>
      </c>
      <c r="C11" s="41">
        <f t="shared" si="6"/>
        <v>0</v>
      </c>
      <c r="D11" s="41">
        <f t="shared" si="6"/>
        <v>0</v>
      </c>
      <c r="E11" s="41">
        <f t="shared" si="6"/>
        <v>0</v>
      </c>
      <c r="F11" s="41">
        <f t="shared" si="6"/>
        <v>19.579999999999998</v>
      </c>
      <c r="G11" s="41">
        <f t="shared" si="6"/>
        <v>3464.3899999999994</v>
      </c>
      <c r="H11" s="41">
        <f t="shared" si="6"/>
        <v>739.48</v>
      </c>
      <c r="I11" s="41">
        <f t="shared" si="6"/>
        <v>272.27</v>
      </c>
      <c r="J11" s="41">
        <f t="shared" si="6"/>
        <v>0</v>
      </c>
      <c r="K11" s="41">
        <f t="shared" si="6"/>
        <v>45</v>
      </c>
      <c r="L11" s="41">
        <f t="shared" si="6"/>
        <v>0</v>
      </c>
      <c r="M11" s="41">
        <f t="shared" si="6"/>
        <v>0</v>
      </c>
      <c r="N11" s="6">
        <f t="shared" si="6"/>
        <v>4540.7199999999993</v>
      </c>
      <c r="O11" s="40"/>
      <c r="P11" s="9">
        <v>41944</v>
      </c>
      <c r="Q11" s="41">
        <f t="shared" si="7"/>
        <v>0</v>
      </c>
      <c r="R11" s="41">
        <f t="shared" si="7"/>
        <v>0</v>
      </c>
      <c r="S11" s="41">
        <f t="shared" si="7"/>
        <v>0</v>
      </c>
      <c r="T11" s="41">
        <f t="shared" si="7"/>
        <v>0</v>
      </c>
      <c r="U11" s="41">
        <f t="shared" si="7"/>
        <v>1782669.72</v>
      </c>
      <c r="V11" s="41">
        <f t="shared" si="7"/>
        <v>288090923.43000001</v>
      </c>
      <c r="W11" s="41">
        <f t="shared" si="7"/>
        <v>62126803.629999995</v>
      </c>
      <c r="X11" s="41">
        <f t="shared" si="7"/>
        <v>24060321.210000001</v>
      </c>
      <c r="Y11" s="41">
        <f t="shared" si="7"/>
        <v>0</v>
      </c>
      <c r="Z11" s="41">
        <f t="shared" si="7"/>
        <v>5217319.13</v>
      </c>
      <c r="AA11" s="41">
        <f t="shared" si="7"/>
        <v>0</v>
      </c>
      <c r="AB11" s="41">
        <f t="shared" si="7"/>
        <v>0</v>
      </c>
      <c r="AC11" s="6">
        <f t="shared" si="7"/>
        <v>381278037.12000006</v>
      </c>
      <c r="AD11" s="40"/>
      <c r="AE11" s="9">
        <v>41944</v>
      </c>
      <c r="AF11" s="41">
        <f t="shared" si="8"/>
        <v>0</v>
      </c>
      <c r="AG11" s="41">
        <f t="shared" si="8"/>
        <v>0</v>
      </c>
      <c r="AH11" s="41">
        <f t="shared" si="8"/>
        <v>0</v>
      </c>
      <c r="AI11" s="41">
        <f t="shared" si="8"/>
        <v>0</v>
      </c>
      <c r="AJ11" s="41">
        <f t="shared" si="8"/>
        <v>28477.152076677314</v>
      </c>
      <c r="AK11" s="41">
        <f t="shared" si="8"/>
        <v>4640188.5227106996</v>
      </c>
      <c r="AL11" s="41">
        <f t="shared" si="8"/>
        <v>998851.84427263762</v>
      </c>
      <c r="AM11" s="41">
        <f t="shared" si="8"/>
        <v>385266.17143904162</v>
      </c>
      <c r="AN11" s="41">
        <f t="shared" si="8"/>
        <v>0</v>
      </c>
      <c r="AO11" s="41">
        <f t="shared" si="8"/>
        <v>84286.254119547651</v>
      </c>
      <c r="AP11" s="41">
        <f t="shared" si="8"/>
        <v>0</v>
      </c>
      <c r="AQ11" s="41">
        <f t="shared" si="8"/>
        <v>0</v>
      </c>
      <c r="AR11" s="6">
        <f t="shared" si="8"/>
        <v>6137069.9446186041</v>
      </c>
      <c r="AU11" s="92">
        <f t="shared" si="3"/>
        <v>1339.3955422774861</v>
      </c>
      <c r="AV11" s="92">
        <f t="shared" si="4"/>
        <v>1350.7489645056494</v>
      </c>
      <c r="AW11" s="92">
        <f t="shared" si="5"/>
        <v>1415.0151373233982</v>
      </c>
    </row>
    <row r="12" spans="1:49">
      <c r="A12" s="9">
        <v>41974</v>
      </c>
      <c r="B12" s="41">
        <f t="shared" si="6"/>
        <v>0</v>
      </c>
      <c r="C12" s="41">
        <f t="shared" si="6"/>
        <v>0</v>
      </c>
      <c r="D12" s="41">
        <f t="shared" si="6"/>
        <v>0</v>
      </c>
      <c r="E12" s="41">
        <f t="shared" si="6"/>
        <v>0</v>
      </c>
      <c r="F12" s="41">
        <f t="shared" si="6"/>
        <v>406.29</v>
      </c>
      <c r="G12" s="41">
        <f t="shared" si="6"/>
        <v>4440.7660000000005</v>
      </c>
      <c r="H12" s="41">
        <f t="shared" si="6"/>
        <v>757.91000000000008</v>
      </c>
      <c r="I12" s="41">
        <f t="shared" si="6"/>
        <v>98.69</v>
      </c>
      <c r="J12" s="41">
        <f t="shared" si="6"/>
        <v>2.72</v>
      </c>
      <c r="K12" s="41">
        <f t="shared" si="6"/>
        <v>13</v>
      </c>
      <c r="L12" s="41">
        <f t="shared" si="6"/>
        <v>16</v>
      </c>
      <c r="M12" s="41">
        <f t="shared" si="6"/>
        <v>0</v>
      </c>
      <c r="N12" s="6">
        <f t="shared" si="6"/>
        <v>5735.3760000000002</v>
      </c>
      <c r="O12" s="42">
        <f>N10+N11+N12</f>
        <v>16633.495999999999</v>
      </c>
      <c r="P12" s="9">
        <v>41974</v>
      </c>
      <c r="Q12" s="41">
        <f t="shared" si="7"/>
        <v>0</v>
      </c>
      <c r="R12" s="41">
        <f t="shared" si="7"/>
        <v>0</v>
      </c>
      <c r="S12" s="41">
        <f t="shared" si="7"/>
        <v>0</v>
      </c>
      <c r="T12" s="41">
        <f t="shared" si="7"/>
        <v>0</v>
      </c>
      <c r="U12" s="41">
        <f t="shared" si="7"/>
        <v>33996267.280000001</v>
      </c>
      <c r="V12" s="41">
        <f t="shared" si="7"/>
        <v>361486802.79999995</v>
      </c>
      <c r="W12" s="41">
        <f t="shared" si="7"/>
        <v>68613728.430000007</v>
      </c>
      <c r="X12" s="41">
        <f t="shared" si="7"/>
        <v>8401421.1500000004</v>
      </c>
      <c r="Y12" s="41">
        <f t="shared" si="7"/>
        <v>283758.28999999998</v>
      </c>
      <c r="Z12" s="41">
        <f t="shared" si="7"/>
        <v>1424633.5199999998</v>
      </c>
      <c r="AA12" s="41">
        <f t="shared" si="7"/>
        <v>1375797.76</v>
      </c>
      <c r="AB12" s="41">
        <f t="shared" si="7"/>
        <v>0</v>
      </c>
      <c r="AC12" s="6">
        <f t="shared" si="7"/>
        <v>475582409.22999996</v>
      </c>
      <c r="AD12" s="40"/>
      <c r="AE12" s="9">
        <v>41974</v>
      </c>
      <c r="AF12" s="41">
        <f t="shared" si="8"/>
        <v>0</v>
      </c>
      <c r="AG12" s="41">
        <f t="shared" si="8"/>
        <v>0</v>
      </c>
      <c r="AH12" s="41">
        <f t="shared" si="8"/>
        <v>0</v>
      </c>
      <c r="AI12" s="41">
        <f t="shared" si="8"/>
        <v>0</v>
      </c>
      <c r="AJ12" s="41">
        <f t="shared" si="8"/>
        <v>540526.4120813132</v>
      </c>
      <c r="AK12" s="41">
        <f t="shared" si="8"/>
        <v>5764640.717864613</v>
      </c>
      <c r="AL12" s="41">
        <f t="shared" si="8"/>
        <v>1097819.65488</v>
      </c>
      <c r="AM12" s="41">
        <f t="shared" si="8"/>
        <v>134422.7384</v>
      </c>
      <c r="AN12" s="41">
        <f t="shared" si="8"/>
        <v>4540.1326399999998</v>
      </c>
      <c r="AO12" s="41">
        <f t="shared" si="8"/>
        <v>22794.136319999998</v>
      </c>
      <c r="AP12" s="41">
        <f t="shared" si="8"/>
        <v>22012.764159999999</v>
      </c>
      <c r="AQ12" s="41">
        <f t="shared" si="8"/>
        <v>0</v>
      </c>
      <c r="AR12" s="6">
        <f t="shared" si="8"/>
        <v>7586756.5563459257</v>
      </c>
      <c r="AU12" s="92">
        <f t="shared" si="3"/>
        <v>1298.1185493368964</v>
      </c>
      <c r="AV12" s="92">
        <f t="shared" si="4"/>
        <v>1448.4828737976804</v>
      </c>
      <c r="AW12" s="92">
        <f t="shared" si="5"/>
        <v>1362.0705076502179</v>
      </c>
    </row>
    <row r="13" spans="1:49">
      <c r="A13" s="9">
        <v>42005</v>
      </c>
      <c r="B13" s="41">
        <f t="shared" si="6"/>
        <v>0</v>
      </c>
      <c r="C13" s="41">
        <f t="shared" si="6"/>
        <v>0</v>
      </c>
      <c r="D13" s="41">
        <f t="shared" si="6"/>
        <v>0</v>
      </c>
      <c r="E13" s="41">
        <f t="shared" si="6"/>
        <v>0</v>
      </c>
      <c r="F13" s="41">
        <f t="shared" si="6"/>
        <v>26.45</v>
      </c>
      <c r="G13" s="41">
        <f t="shared" si="6"/>
        <v>3727.2200000000007</v>
      </c>
      <c r="H13" s="41">
        <f t="shared" si="6"/>
        <v>916.73</v>
      </c>
      <c r="I13" s="41">
        <f t="shared" si="6"/>
        <v>77.959999999999994</v>
      </c>
      <c r="J13" s="41">
        <f t="shared" si="6"/>
        <v>0</v>
      </c>
      <c r="K13" s="41">
        <f t="shared" si="6"/>
        <v>13.4</v>
      </c>
      <c r="L13" s="41">
        <f t="shared" si="6"/>
        <v>16</v>
      </c>
      <c r="M13" s="41">
        <f t="shared" si="6"/>
        <v>0.6</v>
      </c>
      <c r="N13" s="6">
        <f t="shared" si="6"/>
        <v>4778.3600000000006</v>
      </c>
      <c r="O13" s="40"/>
      <c r="P13" s="9">
        <v>42005</v>
      </c>
      <c r="Q13" s="41">
        <f t="shared" si="7"/>
        <v>0</v>
      </c>
      <c r="R13" s="41">
        <f t="shared" si="7"/>
        <v>0</v>
      </c>
      <c r="S13" s="41">
        <f t="shared" si="7"/>
        <v>0</v>
      </c>
      <c r="T13" s="41">
        <f t="shared" si="7"/>
        <v>0</v>
      </c>
      <c r="U13" s="41">
        <f t="shared" si="7"/>
        <v>2525852.04</v>
      </c>
      <c r="V13" s="41">
        <f t="shared" si="7"/>
        <v>319744805.74999994</v>
      </c>
      <c r="W13" s="41">
        <f t="shared" si="7"/>
        <v>84119604.709999993</v>
      </c>
      <c r="X13" s="41">
        <f t="shared" si="7"/>
        <v>7605709.9299999997</v>
      </c>
      <c r="Y13" s="41">
        <f t="shared" si="7"/>
        <v>0</v>
      </c>
      <c r="Z13" s="41">
        <f t="shared" si="7"/>
        <v>1399106.0299999998</v>
      </c>
      <c r="AA13" s="41">
        <f t="shared" si="7"/>
        <v>1442053.76</v>
      </c>
      <c r="AB13" s="41">
        <f t="shared" si="7"/>
        <v>61739.27</v>
      </c>
      <c r="AC13" s="6">
        <f t="shared" si="7"/>
        <v>416898871.48999983</v>
      </c>
      <c r="AD13" s="40"/>
      <c r="AE13" s="9">
        <v>42005</v>
      </c>
      <c r="AF13" s="41">
        <f t="shared" si="8"/>
        <v>0</v>
      </c>
      <c r="AG13" s="41">
        <f t="shared" si="8"/>
        <v>0</v>
      </c>
      <c r="AH13" s="41">
        <f t="shared" si="8"/>
        <v>0</v>
      </c>
      <c r="AI13" s="41">
        <f t="shared" si="8"/>
        <v>0</v>
      </c>
      <c r="AJ13" s="41">
        <f t="shared" si="8"/>
        <v>39832.337911764007</v>
      </c>
      <c r="AK13" s="41">
        <f t="shared" si="8"/>
        <v>5048886.6980486978</v>
      </c>
      <c r="AL13" s="41">
        <f t="shared" si="8"/>
        <v>1329396.4279018466</v>
      </c>
      <c r="AM13" s="41">
        <f t="shared" si="8"/>
        <v>119118.40140955364</v>
      </c>
      <c r="AN13" s="41">
        <f t="shared" si="8"/>
        <v>0</v>
      </c>
      <c r="AO13" s="41">
        <f t="shared" si="8"/>
        <v>22457.560674157306</v>
      </c>
      <c r="AP13" s="41">
        <f t="shared" si="8"/>
        <v>22585.023649177761</v>
      </c>
      <c r="AQ13" s="41">
        <f t="shared" si="8"/>
        <v>990.99951845906901</v>
      </c>
      <c r="AR13" s="6">
        <f t="shared" si="8"/>
        <v>6583267.4491136549</v>
      </c>
      <c r="AU13" s="92">
        <f t="shared" si="3"/>
        <v>1354.5985206262835</v>
      </c>
      <c r="AV13" s="92">
        <f t="shared" si="4"/>
        <v>1450.1504564068446</v>
      </c>
      <c r="AW13" s="92">
        <f t="shared" si="5"/>
        <v>1527.9425527136179</v>
      </c>
    </row>
    <row r="14" spans="1:49">
      <c r="A14" s="9">
        <v>42036</v>
      </c>
      <c r="B14" s="41">
        <f t="shared" si="6"/>
        <v>0</v>
      </c>
      <c r="C14" s="41">
        <f t="shared" si="6"/>
        <v>0</v>
      </c>
      <c r="D14" s="41">
        <f t="shared" si="6"/>
        <v>0</v>
      </c>
      <c r="E14" s="41">
        <f t="shared" si="6"/>
        <v>0</v>
      </c>
      <c r="F14" s="41">
        <f t="shared" si="6"/>
        <v>131</v>
      </c>
      <c r="G14" s="41">
        <f t="shared" si="6"/>
        <v>3452.59</v>
      </c>
      <c r="H14" s="41">
        <f t="shared" si="6"/>
        <v>1017.8300000000002</v>
      </c>
      <c r="I14" s="41">
        <f t="shared" si="6"/>
        <v>173.94</v>
      </c>
      <c r="J14" s="41">
        <f t="shared" si="6"/>
        <v>0</v>
      </c>
      <c r="K14" s="41">
        <f t="shared" si="6"/>
        <v>0</v>
      </c>
      <c r="L14" s="41">
        <f t="shared" si="6"/>
        <v>0</v>
      </c>
      <c r="M14" s="41">
        <f t="shared" si="6"/>
        <v>0</v>
      </c>
      <c r="N14" s="6">
        <f t="shared" si="6"/>
        <v>4775.3600000000006</v>
      </c>
      <c r="O14" s="40"/>
      <c r="P14" s="9">
        <v>42036</v>
      </c>
      <c r="Q14" s="41">
        <f t="shared" si="7"/>
        <v>0</v>
      </c>
      <c r="R14" s="41">
        <f t="shared" si="7"/>
        <v>0</v>
      </c>
      <c r="S14" s="41">
        <f t="shared" si="7"/>
        <v>0</v>
      </c>
      <c r="T14" s="41">
        <f t="shared" si="7"/>
        <v>0</v>
      </c>
      <c r="U14" s="41">
        <f t="shared" si="7"/>
        <v>12165380.500000002</v>
      </c>
      <c r="V14" s="41">
        <f t="shared" si="7"/>
        <v>297554558.17999995</v>
      </c>
      <c r="W14" s="41">
        <f t="shared" si="7"/>
        <v>90527639.379999995</v>
      </c>
      <c r="X14" s="41">
        <f t="shared" si="7"/>
        <v>15400335.74</v>
      </c>
      <c r="Y14" s="41">
        <f t="shared" si="7"/>
        <v>0</v>
      </c>
      <c r="Z14" s="41">
        <f t="shared" si="7"/>
        <v>0</v>
      </c>
      <c r="AA14" s="41">
        <f t="shared" si="7"/>
        <v>0</v>
      </c>
      <c r="AB14" s="41">
        <f t="shared" si="7"/>
        <v>0</v>
      </c>
      <c r="AC14" s="6">
        <f t="shared" si="7"/>
        <v>415647913.79999995</v>
      </c>
      <c r="AD14" s="40"/>
      <c r="AE14" s="9">
        <v>42036</v>
      </c>
      <c r="AF14" s="41">
        <f t="shared" si="8"/>
        <v>0</v>
      </c>
      <c r="AG14" s="41">
        <f t="shared" si="8"/>
        <v>0</v>
      </c>
      <c r="AH14" s="41">
        <f t="shared" si="8"/>
        <v>0</v>
      </c>
      <c r="AI14" s="41">
        <f t="shared" si="8"/>
        <v>0</v>
      </c>
      <c r="AJ14" s="41">
        <f t="shared" si="8"/>
        <v>194576.80290920573</v>
      </c>
      <c r="AK14" s="41">
        <f t="shared" si="8"/>
        <v>4755259.0940472838</v>
      </c>
      <c r="AL14" s="41">
        <f t="shared" si="8"/>
        <v>1448360.4916411252</v>
      </c>
      <c r="AM14" s="41">
        <f t="shared" si="8"/>
        <v>247007.07830816822</v>
      </c>
      <c r="AN14" s="41">
        <f t="shared" si="8"/>
        <v>0</v>
      </c>
      <c r="AO14" s="41">
        <f t="shared" si="8"/>
        <v>0</v>
      </c>
      <c r="AP14" s="41">
        <f t="shared" si="8"/>
        <v>0</v>
      </c>
      <c r="AQ14" s="41">
        <f t="shared" si="8"/>
        <v>0</v>
      </c>
      <c r="AR14" s="6">
        <f t="shared" si="8"/>
        <v>6645203.4669057829</v>
      </c>
      <c r="AU14" s="92">
        <f t="shared" si="3"/>
        <v>1377.301994748083</v>
      </c>
      <c r="AV14" s="92">
        <f t="shared" si="4"/>
        <v>1422.9886048172336</v>
      </c>
      <c r="AW14" s="92">
        <f t="shared" si="5"/>
        <v>1420.070589330621</v>
      </c>
    </row>
    <row r="15" spans="1:49">
      <c r="A15" s="9">
        <v>42064</v>
      </c>
      <c r="B15" s="41">
        <f t="shared" si="6"/>
        <v>0</v>
      </c>
      <c r="C15" s="41">
        <f t="shared" si="6"/>
        <v>0</v>
      </c>
      <c r="D15" s="41">
        <f t="shared" si="6"/>
        <v>0</v>
      </c>
      <c r="E15" s="41">
        <f t="shared" si="6"/>
        <v>0</v>
      </c>
      <c r="F15" s="41">
        <f t="shared" si="6"/>
        <v>137.78</v>
      </c>
      <c r="G15" s="41">
        <f t="shared" si="6"/>
        <v>3741.5499999999997</v>
      </c>
      <c r="H15" s="41">
        <f t="shared" si="6"/>
        <v>779.41000000000008</v>
      </c>
      <c r="I15" s="41">
        <f t="shared" si="6"/>
        <v>0</v>
      </c>
      <c r="J15" s="41">
        <f t="shared" si="6"/>
        <v>0</v>
      </c>
      <c r="K15" s="41">
        <f t="shared" si="6"/>
        <v>15</v>
      </c>
      <c r="L15" s="41">
        <f t="shared" si="6"/>
        <v>0</v>
      </c>
      <c r="M15" s="41">
        <f t="shared" si="6"/>
        <v>0</v>
      </c>
      <c r="N15" s="6">
        <f t="shared" si="6"/>
        <v>4673.74</v>
      </c>
      <c r="O15" s="42">
        <f>N13+N14+N15</f>
        <v>14227.460000000001</v>
      </c>
      <c r="P15" s="9">
        <v>42064</v>
      </c>
      <c r="Q15" s="41">
        <f t="shared" si="7"/>
        <v>0</v>
      </c>
      <c r="R15" s="41">
        <f t="shared" si="7"/>
        <v>0</v>
      </c>
      <c r="S15" s="41">
        <f t="shared" si="7"/>
        <v>0</v>
      </c>
      <c r="T15" s="41">
        <f t="shared" si="7"/>
        <v>0</v>
      </c>
      <c r="U15" s="41">
        <f t="shared" si="7"/>
        <v>12785759.16</v>
      </c>
      <c r="V15" s="41">
        <f t="shared" si="7"/>
        <v>329591204.38999999</v>
      </c>
      <c r="W15" s="41">
        <f t="shared" si="7"/>
        <v>76112532.840000004</v>
      </c>
      <c r="X15" s="41">
        <f t="shared" si="7"/>
        <v>0</v>
      </c>
      <c r="Y15" s="41">
        <f t="shared" si="7"/>
        <v>0</v>
      </c>
      <c r="Z15" s="41">
        <f t="shared" si="7"/>
        <v>1546057.5</v>
      </c>
      <c r="AA15" s="41">
        <f t="shared" si="7"/>
        <v>0</v>
      </c>
      <c r="AB15" s="41">
        <f t="shared" si="7"/>
        <v>0</v>
      </c>
      <c r="AC15" s="6">
        <f t="shared" si="7"/>
        <v>420035553.88999993</v>
      </c>
      <c r="AD15" s="40"/>
      <c r="AE15" s="9">
        <v>42064</v>
      </c>
      <c r="AF15" s="41">
        <f t="shared" si="8"/>
        <v>0</v>
      </c>
      <c r="AG15" s="41">
        <f t="shared" si="8"/>
        <v>0</v>
      </c>
      <c r="AH15" s="41">
        <f t="shared" si="8"/>
        <v>0</v>
      </c>
      <c r="AI15" s="41">
        <f t="shared" si="8"/>
        <v>0</v>
      </c>
      <c r="AJ15" s="41">
        <f t="shared" si="8"/>
        <v>203500.91298756446</v>
      </c>
      <c r="AK15" s="41">
        <f t="shared" si="8"/>
        <v>5240515.5764629468</v>
      </c>
      <c r="AL15" s="41">
        <f t="shared" si="8"/>
        <v>1210003.1095212819</v>
      </c>
      <c r="AM15" s="41">
        <f t="shared" si="8"/>
        <v>0</v>
      </c>
      <c r="AN15" s="41">
        <f t="shared" si="8"/>
        <v>0</v>
      </c>
      <c r="AO15" s="41">
        <f t="shared" si="8"/>
        <v>24618.75</v>
      </c>
      <c r="AP15" s="41">
        <f t="shared" si="8"/>
        <v>0</v>
      </c>
      <c r="AQ15" s="41">
        <f t="shared" si="8"/>
        <v>0</v>
      </c>
      <c r="AR15" s="6">
        <f t="shared" si="8"/>
        <v>6678638.3489717934</v>
      </c>
      <c r="AU15" s="92">
        <f t="shared" si="3"/>
        <v>1400.6268996707106</v>
      </c>
      <c r="AV15" s="92">
        <f t="shared" si="4"/>
        <v>1552.4603347676855</v>
      </c>
      <c r="AW15" s="92" t="e">
        <f t="shared" si="5"/>
        <v>#DIV/0!</v>
      </c>
    </row>
    <row r="16" spans="1:49">
      <c r="A16" s="128" t="s">
        <v>4</v>
      </c>
      <c r="B16" s="91">
        <f t="shared" si="6"/>
        <v>0</v>
      </c>
      <c r="C16" s="91">
        <f t="shared" si="6"/>
        <v>0</v>
      </c>
      <c r="D16" s="91">
        <f t="shared" si="6"/>
        <v>38.980000000000004</v>
      </c>
      <c r="E16" s="91">
        <f t="shared" si="6"/>
        <v>95.27000000000001</v>
      </c>
      <c r="F16" s="91">
        <f t="shared" si="6"/>
        <v>1368.7149999999999</v>
      </c>
      <c r="G16" s="91">
        <f t="shared" si="6"/>
        <v>54235.356000000007</v>
      </c>
      <c r="H16" s="91">
        <f t="shared" si="6"/>
        <v>10674.84</v>
      </c>
      <c r="I16" s="91">
        <f t="shared" si="6"/>
        <v>1794.3000000000002</v>
      </c>
      <c r="J16" s="91">
        <f t="shared" si="6"/>
        <v>6.12</v>
      </c>
      <c r="K16" s="91">
        <f t="shared" si="6"/>
        <v>306.89999999999998</v>
      </c>
      <c r="L16" s="91">
        <f t="shared" si="6"/>
        <v>304.5</v>
      </c>
      <c r="M16" s="91">
        <f t="shared" si="6"/>
        <v>175.72899999999998</v>
      </c>
      <c r="N16" s="127">
        <f t="shared" si="6"/>
        <v>69000.710000000006</v>
      </c>
      <c r="O16" s="40"/>
      <c r="P16" s="128" t="s">
        <v>4</v>
      </c>
      <c r="Q16" s="91">
        <f t="shared" si="7"/>
        <v>0</v>
      </c>
      <c r="R16" s="91">
        <f t="shared" si="7"/>
        <v>0</v>
      </c>
      <c r="S16" s="91">
        <f t="shared" si="7"/>
        <v>6524718.0500000007</v>
      </c>
      <c r="T16" s="91">
        <f t="shared" si="7"/>
        <v>15627165.16</v>
      </c>
      <c r="U16" s="91">
        <f t="shared" si="7"/>
        <v>138201667.98000002</v>
      </c>
      <c r="V16" s="91">
        <f t="shared" si="7"/>
        <v>5377563514.1399994</v>
      </c>
      <c r="W16" s="91">
        <f t="shared" si="7"/>
        <v>1104204847.3500001</v>
      </c>
      <c r="X16" s="91">
        <f t="shared" si="7"/>
        <v>186026797.68000001</v>
      </c>
      <c r="Y16" s="91">
        <f t="shared" si="7"/>
        <v>731912.46</v>
      </c>
      <c r="Z16" s="91">
        <f t="shared" si="7"/>
        <v>35162645.489999995</v>
      </c>
      <c r="AA16" s="91">
        <f t="shared" si="7"/>
        <v>29883900.599999998</v>
      </c>
      <c r="AB16" s="91">
        <f t="shared" si="7"/>
        <v>17343456.969999999</v>
      </c>
      <c r="AC16" s="127">
        <f t="shared" si="7"/>
        <v>6911270625.8800001</v>
      </c>
      <c r="AD16" s="40"/>
      <c r="AE16" s="128" t="s">
        <v>4</v>
      </c>
      <c r="AF16" s="91">
        <f t="shared" si="8"/>
        <v>0</v>
      </c>
      <c r="AG16" s="91">
        <f t="shared" si="8"/>
        <v>0</v>
      </c>
      <c r="AH16" s="91">
        <f t="shared" si="8"/>
        <v>107665.14598501354</v>
      </c>
      <c r="AI16" s="91">
        <f t="shared" si="8"/>
        <v>257982.89216495559</v>
      </c>
      <c r="AJ16" s="91">
        <f t="shared" si="8"/>
        <v>2235121.9571179897</v>
      </c>
      <c r="AK16" s="91">
        <f t="shared" si="8"/>
        <v>87603063.726549625</v>
      </c>
      <c r="AL16" s="91">
        <f t="shared" si="8"/>
        <v>17952479.576536354</v>
      </c>
      <c r="AM16" s="91">
        <f t="shared" si="8"/>
        <v>3035049.4659623075</v>
      </c>
      <c r="AN16" s="91">
        <f t="shared" si="8"/>
        <v>11923.232639999998</v>
      </c>
      <c r="AO16" s="91">
        <f t="shared" si="8"/>
        <v>574831.47533102217</v>
      </c>
      <c r="AP16" s="91">
        <f t="shared" si="8"/>
        <v>491320.29164095153</v>
      </c>
      <c r="AQ16" s="91">
        <f t="shared" si="8"/>
        <v>285508.5276513893</v>
      </c>
      <c r="AR16" s="127">
        <f t="shared" si="8"/>
        <v>112554946.29157959</v>
      </c>
      <c r="AU16" s="40"/>
      <c r="AV16" s="40"/>
      <c r="AW16" s="40"/>
    </row>
    <row r="17" spans="1:49">
      <c r="A17" s="40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0"/>
      <c r="P17" s="40"/>
      <c r="Q17" s="41">
        <f>Q16/10^5</f>
        <v>0</v>
      </c>
      <c r="R17" s="41">
        <f t="shared" ref="R17:AC17" si="9">R16/10^5</f>
        <v>0</v>
      </c>
      <c r="S17" s="41">
        <f t="shared" si="9"/>
        <v>65.247180500000013</v>
      </c>
      <c r="T17" s="41">
        <f t="shared" si="9"/>
        <v>156.27165160000001</v>
      </c>
      <c r="U17" s="41">
        <f t="shared" si="9"/>
        <v>1382.0166798000002</v>
      </c>
      <c r="V17" s="41">
        <f t="shared" si="9"/>
        <v>53775.635141399995</v>
      </c>
      <c r="W17" s="41">
        <f t="shared" si="9"/>
        <v>11042.048473500001</v>
      </c>
      <c r="X17" s="41">
        <f t="shared" si="9"/>
        <v>1860.2679768</v>
      </c>
      <c r="Y17" s="41">
        <f t="shared" si="9"/>
        <v>7.3191245999999994</v>
      </c>
      <c r="Z17" s="41">
        <f t="shared" si="9"/>
        <v>351.62645489999994</v>
      </c>
      <c r="AA17" s="41">
        <f t="shared" si="9"/>
        <v>298.83900599999998</v>
      </c>
      <c r="AB17" s="41">
        <f t="shared" si="9"/>
        <v>173.4345697</v>
      </c>
      <c r="AC17" s="41">
        <f t="shared" si="9"/>
        <v>69112.706258799997</v>
      </c>
      <c r="AD17" s="40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U17" s="40"/>
      <c r="AV17" s="40"/>
      <c r="AW17" s="40"/>
    </row>
    <row r="18" spans="1:49">
      <c r="A18" s="40"/>
      <c r="D18" s="41"/>
      <c r="E18" s="41"/>
      <c r="F18" s="41"/>
      <c r="G18" s="34"/>
      <c r="H18" s="41"/>
      <c r="I18" s="41"/>
      <c r="J18" s="41"/>
      <c r="K18" s="41"/>
      <c r="L18" s="41"/>
      <c r="M18" s="41"/>
      <c r="N18" s="41"/>
      <c r="O18" s="40"/>
      <c r="P18" s="40"/>
      <c r="S18" s="41"/>
      <c r="T18" s="41"/>
      <c r="U18" s="41"/>
      <c r="V18" s="34"/>
      <c r="W18" s="41"/>
      <c r="X18" s="41"/>
      <c r="Y18" s="41"/>
      <c r="Z18" s="41"/>
      <c r="AA18" s="41"/>
      <c r="AB18" s="41"/>
      <c r="AC18" s="41"/>
      <c r="AD18" s="40"/>
      <c r="AH18" s="41"/>
      <c r="AI18" s="41"/>
      <c r="AJ18" s="41"/>
      <c r="AK18" s="34"/>
      <c r="AL18" s="41"/>
      <c r="AM18" s="41"/>
      <c r="AN18" s="41"/>
      <c r="AO18" s="41"/>
      <c r="AP18" s="41"/>
      <c r="AQ18" s="41"/>
      <c r="AR18" s="41"/>
      <c r="AU18" s="40"/>
      <c r="AV18" s="40"/>
      <c r="AW18" s="40"/>
    </row>
    <row r="19" spans="1:49">
      <c r="A19" s="25" t="s">
        <v>1</v>
      </c>
      <c r="B19" s="158" t="s">
        <v>133</v>
      </c>
      <c r="C19" s="158" t="s">
        <v>19</v>
      </c>
      <c r="D19" s="158" t="s">
        <v>17</v>
      </c>
      <c r="E19" s="158" t="s">
        <v>134</v>
      </c>
      <c r="F19" s="158" t="s">
        <v>10</v>
      </c>
      <c r="G19" s="158" t="s">
        <v>11</v>
      </c>
      <c r="H19" s="158" t="s">
        <v>12</v>
      </c>
      <c r="I19" s="158" t="s">
        <v>13</v>
      </c>
      <c r="J19" s="158" t="s">
        <v>14</v>
      </c>
      <c r="K19" s="158" t="s">
        <v>18</v>
      </c>
      <c r="L19" s="158" t="s">
        <v>15</v>
      </c>
      <c r="M19" s="158" t="s">
        <v>16</v>
      </c>
      <c r="N19" s="27" t="s">
        <v>20</v>
      </c>
      <c r="O19" s="40"/>
      <c r="P19" s="25" t="s">
        <v>1</v>
      </c>
      <c r="Q19" s="158" t="s">
        <v>133</v>
      </c>
      <c r="R19" s="158" t="s">
        <v>19</v>
      </c>
      <c r="S19" s="158" t="s">
        <v>17</v>
      </c>
      <c r="T19" s="158" t="s">
        <v>134</v>
      </c>
      <c r="U19" s="158" t="s">
        <v>10</v>
      </c>
      <c r="V19" s="158" t="s">
        <v>11</v>
      </c>
      <c r="W19" s="158" t="s">
        <v>12</v>
      </c>
      <c r="X19" s="158" t="s">
        <v>13</v>
      </c>
      <c r="Y19" s="158" t="s">
        <v>14</v>
      </c>
      <c r="Z19" s="158" t="s">
        <v>18</v>
      </c>
      <c r="AA19" s="158" t="s">
        <v>15</v>
      </c>
      <c r="AB19" s="158" t="s">
        <v>16</v>
      </c>
      <c r="AC19" s="27" t="s">
        <v>20</v>
      </c>
      <c r="AD19" s="40"/>
      <c r="AE19" s="25" t="s">
        <v>1</v>
      </c>
      <c r="AF19" s="158" t="s">
        <v>133</v>
      </c>
      <c r="AG19" s="158" t="s">
        <v>19</v>
      </c>
      <c r="AH19" s="158" t="s">
        <v>17</v>
      </c>
      <c r="AI19" s="158" t="s">
        <v>134</v>
      </c>
      <c r="AJ19" s="158" t="s">
        <v>10</v>
      </c>
      <c r="AK19" s="158" t="s">
        <v>11</v>
      </c>
      <c r="AL19" s="158" t="s">
        <v>12</v>
      </c>
      <c r="AM19" s="158" t="s">
        <v>13</v>
      </c>
      <c r="AN19" s="158" t="s">
        <v>14</v>
      </c>
      <c r="AO19" s="158" t="s">
        <v>18</v>
      </c>
      <c r="AP19" s="158" t="s">
        <v>15</v>
      </c>
      <c r="AQ19" s="158" t="s">
        <v>16</v>
      </c>
      <c r="AR19" s="27" t="s">
        <v>20</v>
      </c>
      <c r="AU19" s="40"/>
      <c r="AV19" s="40"/>
      <c r="AW19" s="40"/>
    </row>
    <row r="20" spans="1:49">
      <c r="A20" s="9">
        <v>41730</v>
      </c>
      <c r="B20" s="43"/>
      <c r="C20" s="43"/>
      <c r="D20" s="41"/>
      <c r="E20" s="41"/>
      <c r="F20" s="41">
        <v>38.56</v>
      </c>
      <c r="G20" s="41">
        <v>2949.4600000000005</v>
      </c>
      <c r="H20" s="41">
        <v>801.37</v>
      </c>
      <c r="I20" s="41">
        <v>132.12</v>
      </c>
      <c r="J20" s="41"/>
      <c r="K20" s="41">
        <v>12</v>
      </c>
      <c r="L20" s="41"/>
      <c r="M20" s="41">
        <v>32</v>
      </c>
      <c r="N20" s="6">
        <f>SUM(B20:M20)</f>
        <v>3965.51</v>
      </c>
      <c r="O20" s="40"/>
      <c r="P20" s="9">
        <v>41730</v>
      </c>
      <c r="Q20" s="43"/>
      <c r="R20" s="43"/>
      <c r="S20" s="41"/>
      <c r="T20" s="41"/>
      <c r="U20" s="41">
        <v>4414240.3499999996</v>
      </c>
      <c r="V20" s="41">
        <v>326191897.82000005</v>
      </c>
      <c r="W20" s="41">
        <v>101190348.66</v>
      </c>
      <c r="X20" s="41">
        <v>15860925.140000001</v>
      </c>
      <c r="Y20" s="41"/>
      <c r="Z20" s="41">
        <v>1392042.6</v>
      </c>
      <c r="AA20" s="41"/>
      <c r="AB20" s="41">
        <v>3242342.3999999999</v>
      </c>
      <c r="AC20" s="6">
        <f>SUM(Q20:AB20)</f>
        <v>452291796.97000003</v>
      </c>
      <c r="AD20" s="40"/>
      <c r="AE20" s="9">
        <v>41730</v>
      </c>
      <c r="AF20" s="43"/>
      <c r="AG20" s="43"/>
      <c r="AH20" s="41"/>
      <c r="AI20" s="41"/>
      <c r="AJ20" s="41">
        <v>73022.999999999985</v>
      </c>
      <c r="AK20" s="41">
        <v>5374730.2109494321</v>
      </c>
      <c r="AL20" s="41">
        <v>1670880.599851035</v>
      </c>
      <c r="AM20" s="41">
        <v>260870.4792763158</v>
      </c>
      <c r="AN20" s="41"/>
      <c r="AO20" s="41">
        <v>23028</v>
      </c>
      <c r="AP20" s="41"/>
      <c r="AQ20" s="41">
        <v>53328</v>
      </c>
      <c r="AR20" s="6">
        <f>SUM(AF20:AQ20)</f>
        <v>7455860.2900767829</v>
      </c>
      <c r="AU20" s="92">
        <f t="shared" ref="AU20:AU31" si="10">+AK20/G20</f>
        <v>1822.2760135582212</v>
      </c>
      <c r="AV20" s="92">
        <f t="shared" ref="AV20:AV31" si="11">+AL20/H20</f>
        <v>2085.0301357063968</v>
      </c>
      <c r="AW20" s="92">
        <f t="shared" ref="AW20:AW31" si="12">+AM20/I20</f>
        <v>1974.4965128392053</v>
      </c>
    </row>
    <row r="21" spans="1:49">
      <c r="A21" s="9">
        <v>41760</v>
      </c>
      <c r="B21" s="43"/>
      <c r="C21" s="43"/>
      <c r="D21" s="41"/>
      <c r="E21" s="41"/>
      <c r="F21" s="41">
        <v>38.119999999999997</v>
      </c>
      <c r="G21" s="41">
        <v>3111.17</v>
      </c>
      <c r="H21" s="41">
        <v>656.39</v>
      </c>
      <c r="I21" s="41"/>
      <c r="J21" s="41"/>
      <c r="K21" s="41"/>
      <c r="L21" s="41">
        <v>42</v>
      </c>
      <c r="M21" s="41"/>
      <c r="N21" s="6">
        <f t="shared" ref="N21:N32" si="13">SUM(B21:M21)</f>
        <v>3847.68</v>
      </c>
      <c r="O21" s="40"/>
      <c r="P21" s="9">
        <v>41760</v>
      </c>
      <c r="Q21" s="43"/>
      <c r="R21" s="43"/>
      <c r="S21" s="41"/>
      <c r="T21" s="41"/>
      <c r="U21" s="41">
        <v>4392746.29</v>
      </c>
      <c r="V21" s="41">
        <v>352933702.7100001</v>
      </c>
      <c r="W21" s="41">
        <v>84803745.450000003</v>
      </c>
      <c r="X21" s="41"/>
      <c r="Y21" s="41"/>
      <c r="Z21" s="41"/>
      <c r="AA21" s="41">
        <v>4274794.9700000007</v>
      </c>
      <c r="AB21" s="41"/>
      <c r="AC21" s="6">
        <f t="shared" ref="AC21:AC32" si="14">SUM(Q21:AB21)</f>
        <v>446404989.42000014</v>
      </c>
      <c r="AD21" s="40"/>
      <c r="AE21" s="9">
        <v>41760</v>
      </c>
      <c r="AF21" s="43"/>
      <c r="AG21" s="43"/>
      <c r="AH21" s="41"/>
      <c r="AI21" s="41"/>
      <c r="AJ21" s="41">
        <v>72189.750041084641</v>
      </c>
      <c r="AK21" s="41">
        <v>5844429.0529946666</v>
      </c>
      <c r="AL21" s="41">
        <v>1401626.5225480129</v>
      </c>
      <c r="AM21" s="41"/>
      <c r="AN21" s="41"/>
      <c r="AO21" s="41"/>
      <c r="AP21" s="41">
        <v>71128.036106489177</v>
      </c>
      <c r="AQ21" s="41"/>
      <c r="AR21" s="6">
        <f t="shared" ref="AR21:AR32" si="15">SUM(AF21:AQ21)</f>
        <v>7389373.361690253</v>
      </c>
      <c r="AU21" s="92">
        <f t="shared" si="10"/>
        <v>1878.5309234129497</v>
      </c>
      <c r="AV21" s="92">
        <f t="shared" si="11"/>
        <v>2135.3563012050959</v>
      </c>
      <c r="AW21" s="92" t="e">
        <f t="shared" si="12"/>
        <v>#DIV/0!</v>
      </c>
    </row>
    <row r="22" spans="1:49">
      <c r="A22" s="9">
        <v>41791</v>
      </c>
      <c r="B22" s="43"/>
      <c r="C22" s="43"/>
      <c r="D22" s="41"/>
      <c r="E22" s="41"/>
      <c r="F22" s="41">
        <v>46.469999999999992</v>
      </c>
      <c r="G22" s="41">
        <v>1972.6899999999998</v>
      </c>
      <c r="H22" s="41">
        <v>337.25</v>
      </c>
      <c r="I22" s="41"/>
      <c r="J22" s="41"/>
      <c r="K22" s="41">
        <v>5.5</v>
      </c>
      <c r="L22" s="41">
        <v>76.5</v>
      </c>
      <c r="M22" s="41"/>
      <c r="N22" s="6">
        <f t="shared" si="13"/>
        <v>2438.41</v>
      </c>
      <c r="O22" s="40"/>
      <c r="P22" s="9">
        <v>41791</v>
      </c>
      <c r="Q22" s="43"/>
      <c r="R22" s="43"/>
      <c r="S22" s="41"/>
      <c r="T22" s="41"/>
      <c r="U22" s="41">
        <v>5420068.9799999995</v>
      </c>
      <c r="V22" s="41">
        <v>222581372.58999997</v>
      </c>
      <c r="W22" s="41">
        <v>42212899.420000002</v>
      </c>
      <c r="X22" s="41"/>
      <c r="Y22" s="41"/>
      <c r="Z22" s="41">
        <v>595932.06000000006</v>
      </c>
      <c r="AA22" s="41">
        <v>7788308.5199999996</v>
      </c>
      <c r="AB22" s="41"/>
      <c r="AC22" s="6">
        <f t="shared" si="14"/>
        <v>278598581.56999993</v>
      </c>
      <c r="AD22" s="40"/>
      <c r="AE22" s="9">
        <v>41791</v>
      </c>
      <c r="AF22" s="43"/>
      <c r="AG22" s="43"/>
      <c r="AH22" s="41"/>
      <c r="AI22" s="41"/>
      <c r="AJ22" s="41">
        <v>90489.98042819195</v>
      </c>
      <c r="AK22" s="41">
        <v>3707075.9309250754</v>
      </c>
      <c r="AL22" s="41">
        <v>701337.2178510793</v>
      </c>
      <c r="AM22" s="41"/>
      <c r="AN22" s="41"/>
      <c r="AO22" s="41">
        <v>9915.6748752079875</v>
      </c>
      <c r="AP22" s="41">
        <v>129795.60507439352</v>
      </c>
      <c r="AQ22" s="41"/>
      <c r="AR22" s="6">
        <f t="shared" si="15"/>
        <v>4638614.4091539485</v>
      </c>
      <c r="AU22" s="92">
        <f t="shared" si="10"/>
        <v>1879.1984198860823</v>
      </c>
      <c r="AV22" s="92">
        <f t="shared" si="11"/>
        <v>2079.5766281722144</v>
      </c>
      <c r="AW22" s="92" t="e">
        <f t="shared" si="12"/>
        <v>#DIV/0!</v>
      </c>
    </row>
    <row r="23" spans="1:49">
      <c r="A23" s="9">
        <v>41821</v>
      </c>
      <c r="B23" s="43"/>
      <c r="C23" s="43"/>
      <c r="D23" s="41"/>
      <c r="E23" s="41"/>
      <c r="F23" s="41">
        <v>38.159999999999997</v>
      </c>
      <c r="G23" s="41">
        <v>1030.75</v>
      </c>
      <c r="H23" s="41">
        <v>397.61</v>
      </c>
      <c r="I23" s="41">
        <v>265.52999999999997</v>
      </c>
      <c r="J23" s="41"/>
      <c r="K23" s="41">
        <v>11</v>
      </c>
      <c r="L23" s="41">
        <v>28</v>
      </c>
      <c r="M23" s="41">
        <v>17</v>
      </c>
      <c r="N23" s="6">
        <f t="shared" si="13"/>
        <v>1788.05</v>
      </c>
      <c r="O23" s="40"/>
      <c r="P23" s="9">
        <v>41821</v>
      </c>
      <c r="Q23" s="43"/>
      <c r="R23" s="43"/>
      <c r="S23" s="41"/>
      <c r="T23" s="41"/>
      <c r="U23" s="41">
        <v>4343156.55</v>
      </c>
      <c r="V23" s="41">
        <v>122094896.76999998</v>
      </c>
      <c r="W23" s="41">
        <v>47999582.090000004</v>
      </c>
      <c r="X23" s="41">
        <v>32392125.740000002</v>
      </c>
      <c r="Y23" s="41"/>
      <c r="Z23" s="41">
        <v>1249175.07</v>
      </c>
      <c r="AA23" s="41">
        <v>2751818.35</v>
      </c>
      <c r="AB23" s="41">
        <v>1750483.52</v>
      </c>
      <c r="AC23" s="6">
        <f t="shared" si="14"/>
        <v>212581238.08999997</v>
      </c>
      <c r="AD23" s="40"/>
      <c r="AE23" s="9">
        <v>41821</v>
      </c>
      <c r="AF23" s="43"/>
      <c r="AG23" s="43"/>
      <c r="AH23" s="41"/>
      <c r="AI23" s="41"/>
      <c r="AJ23" s="41">
        <v>71551.178747940692</v>
      </c>
      <c r="AK23" s="41">
        <v>2021420.612659879</v>
      </c>
      <c r="AL23" s="41">
        <v>794724.03530332469</v>
      </c>
      <c r="AM23" s="41">
        <v>536027.65124243777</v>
      </c>
      <c r="AN23" s="41"/>
      <c r="AO23" s="41">
        <v>20664.599999999999</v>
      </c>
      <c r="AP23" s="41">
        <v>45557.666062602962</v>
      </c>
      <c r="AQ23" s="41">
        <v>28845.599999999999</v>
      </c>
      <c r="AR23" s="6">
        <f t="shared" si="15"/>
        <v>3518791.344016185</v>
      </c>
      <c r="AU23" s="92">
        <f t="shared" si="10"/>
        <v>1961.1162868395625</v>
      </c>
      <c r="AV23" s="92">
        <f t="shared" si="11"/>
        <v>1998.7526352539539</v>
      </c>
      <c r="AW23" s="92">
        <f t="shared" si="12"/>
        <v>2018.7084368713058</v>
      </c>
    </row>
    <row r="24" spans="1:49">
      <c r="A24" s="9">
        <v>41852</v>
      </c>
      <c r="B24" s="43"/>
      <c r="C24" s="43"/>
      <c r="D24" s="41"/>
      <c r="E24" s="41"/>
      <c r="F24" s="41"/>
      <c r="G24" s="41">
        <v>1097.75</v>
      </c>
      <c r="H24" s="41">
        <v>337.23</v>
      </c>
      <c r="I24" s="41"/>
      <c r="J24" s="41"/>
      <c r="K24" s="41"/>
      <c r="L24" s="41"/>
      <c r="M24" s="41"/>
      <c r="N24" s="6">
        <f t="shared" si="13"/>
        <v>1434.98</v>
      </c>
      <c r="O24" s="40"/>
      <c r="P24" s="9">
        <v>41852</v>
      </c>
      <c r="Q24" s="43"/>
      <c r="R24" s="43"/>
      <c r="S24" s="41"/>
      <c r="T24" s="41"/>
      <c r="U24" s="41"/>
      <c r="V24" s="41">
        <v>127710769.66999999</v>
      </c>
      <c r="W24" s="41">
        <v>41084957.93</v>
      </c>
      <c r="X24" s="41"/>
      <c r="Y24" s="41"/>
      <c r="Z24" s="41"/>
      <c r="AA24" s="41"/>
      <c r="AB24" s="41"/>
      <c r="AC24" s="6">
        <f t="shared" si="14"/>
        <v>168795727.59999999</v>
      </c>
      <c r="AD24" s="40"/>
      <c r="AE24" s="9">
        <v>41852</v>
      </c>
      <c r="AF24" s="43"/>
      <c r="AG24" s="43"/>
      <c r="AH24" s="41"/>
      <c r="AI24" s="41"/>
      <c r="AJ24" s="41"/>
      <c r="AK24" s="41">
        <v>2083945.2111204579</v>
      </c>
      <c r="AL24" s="41">
        <v>673293.5547920519</v>
      </c>
      <c r="AM24" s="41"/>
      <c r="AN24" s="41"/>
      <c r="AO24" s="41"/>
      <c r="AP24" s="41"/>
      <c r="AQ24" s="41"/>
      <c r="AR24" s="6">
        <f t="shared" si="15"/>
        <v>2757238.7659125095</v>
      </c>
      <c r="AU24" s="92">
        <f t="shared" si="10"/>
        <v>1898.3786938013736</v>
      </c>
      <c r="AV24" s="92">
        <f t="shared" si="11"/>
        <v>1996.5410989296677</v>
      </c>
      <c r="AW24" s="92" t="e">
        <f t="shared" si="12"/>
        <v>#DIV/0!</v>
      </c>
    </row>
    <row r="25" spans="1:49">
      <c r="A25" s="9">
        <v>41883</v>
      </c>
      <c r="B25" s="43"/>
      <c r="C25" s="43"/>
      <c r="D25" s="41"/>
      <c r="E25" s="41">
        <v>37.57</v>
      </c>
      <c r="F25" s="41">
        <v>297.60500000000002</v>
      </c>
      <c r="G25" s="41">
        <v>1037.9099999999999</v>
      </c>
      <c r="H25" s="41">
        <v>596.01</v>
      </c>
      <c r="I25" s="41"/>
      <c r="J25" s="41"/>
      <c r="K25" s="41">
        <v>12</v>
      </c>
      <c r="L25" s="41"/>
      <c r="M25" s="41"/>
      <c r="N25" s="6">
        <f t="shared" si="13"/>
        <v>1981.0949999999998</v>
      </c>
      <c r="O25" s="40"/>
      <c r="P25" s="9">
        <v>41883</v>
      </c>
      <c r="Q25" s="43"/>
      <c r="R25" s="43"/>
      <c r="S25" s="41"/>
      <c r="T25" s="41">
        <v>5717245.1399999997</v>
      </c>
      <c r="U25" s="41">
        <v>33590099.850000001</v>
      </c>
      <c r="V25" s="41">
        <v>114016506.40000001</v>
      </c>
      <c r="W25" s="41">
        <v>62430263.259999998</v>
      </c>
      <c r="X25" s="41"/>
      <c r="Y25" s="41"/>
      <c r="Z25" s="41">
        <v>1384482.75</v>
      </c>
      <c r="AA25" s="41"/>
      <c r="AB25" s="41"/>
      <c r="AC25" s="6">
        <f t="shared" si="14"/>
        <v>217138597.40000001</v>
      </c>
      <c r="AD25" s="40"/>
      <c r="AE25" s="9">
        <v>41883</v>
      </c>
      <c r="AF25" s="43"/>
      <c r="AG25" s="43"/>
      <c r="AH25" s="41"/>
      <c r="AI25" s="41">
        <v>93725.330163934414</v>
      </c>
      <c r="AJ25" s="41">
        <v>548409.79346938781</v>
      </c>
      <c r="AK25" s="41">
        <v>1865194.8045054756</v>
      </c>
      <c r="AL25" s="41">
        <v>1020580.6020913038</v>
      </c>
      <c r="AM25" s="41"/>
      <c r="AN25" s="41"/>
      <c r="AO25" s="41">
        <v>22603.8</v>
      </c>
      <c r="AP25" s="41"/>
      <c r="AQ25" s="41"/>
      <c r="AR25" s="6">
        <f t="shared" si="15"/>
        <v>3550514.330230101</v>
      </c>
      <c r="AU25" s="92">
        <f t="shared" si="10"/>
        <v>1797.0679582097443</v>
      </c>
      <c r="AV25" s="92">
        <f t="shared" si="11"/>
        <v>1712.3548297701445</v>
      </c>
      <c r="AW25" s="92" t="e">
        <f t="shared" si="12"/>
        <v>#DIV/0!</v>
      </c>
    </row>
    <row r="26" spans="1:49">
      <c r="A26" s="9">
        <v>41913</v>
      </c>
      <c r="B26" s="43"/>
      <c r="C26" s="43"/>
      <c r="D26" s="41"/>
      <c r="E26" s="41"/>
      <c r="F26" s="41">
        <v>3.57</v>
      </c>
      <c r="G26" s="41">
        <v>863.92</v>
      </c>
      <c r="H26" s="41">
        <v>635.63</v>
      </c>
      <c r="I26" s="41">
        <v>135.94</v>
      </c>
      <c r="J26" s="41"/>
      <c r="K26" s="41"/>
      <c r="L26" s="41">
        <v>20</v>
      </c>
      <c r="M26" s="41">
        <v>2</v>
      </c>
      <c r="N26" s="6">
        <f t="shared" si="13"/>
        <v>1661.06</v>
      </c>
      <c r="O26" s="40"/>
      <c r="P26" s="9">
        <v>41913</v>
      </c>
      <c r="Q26" s="43"/>
      <c r="R26" s="43"/>
      <c r="S26" s="41"/>
      <c r="T26" s="41"/>
      <c r="U26" s="41">
        <v>376543.79</v>
      </c>
      <c r="V26" s="41">
        <v>77521984.859999999</v>
      </c>
      <c r="W26" s="41">
        <v>61480040.740000002</v>
      </c>
      <c r="X26" s="41">
        <v>14196744.760000002</v>
      </c>
      <c r="Y26" s="41"/>
      <c r="Z26" s="41"/>
      <c r="AA26" s="41">
        <v>2053518.31</v>
      </c>
      <c r="AB26" s="41">
        <v>198164.12</v>
      </c>
      <c r="AC26" s="6">
        <f t="shared" si="14"/>
        <v>155826996.58000001</v>
      </c>
      <c r="AD26" s="40"/>
      <c r="AE26" s="9">
        <v>41913</v>
      </c>
      <c r="AF26" s="43"/>
      <c r="AG26" s="43"/>
      <c r="AH26" s="41"/>
      <c r="AI26" s="41"/>
      <c r="AJ26" s="41">
        <v>6068.3930701047539</v>
      </c>
      <c r="AK26" s="41">
        <v>1247561.9468792966</v>
      </c>
      <c r="AL26" s="41">
        <v>989412.31162786181</v>
      </c>
      <c r="AM26" s="41">
        <v>228106.90403275983</v>
      </c>
      <c r="AN26" s="41"/>
      <c r="AO26" s="41"/>
      <c r="AP26" s="41">
        <v>33001.712489927479</v>
      </c>
      <c r="AQ26" s="41">
        <v>3193.6199838839648</v>
      </c>
      <c r="AR26" s="6">
        <f t="shared" si="15"/>
        <v>2507344.8880838347</v>
      </c>
      <c r="AU26" s="92">
        <f t="shared" si="10"/>
        <v>1444.0711488092609</v>
      </c>
      <c r="AV26" s="92">
        <f t="shared" si="11"/>
        <v>1556.585295892047</v>
      </c>
      <c r="AW26" s="92">
        <f t="shared" si="12"/>
        <v>1677.9969400673815</v>
      </c>
    </row>
    <row r="27" spans="1:49">
      <c r="A27" s="9">
        <v>41944</v>
      </c>
      <c r="B27" s="43"/>
      <c r="C27" s="43"/>
      <c r="D27" s="41"/>
      <c r="E27" s="41"/>
      <c r="F27" s="41"/>
      <c r="G27" s="41">
        <v>1500.0899999999997</v>
      </c>
      <c r="H27" s="41">
        <v>339.1</v>
      </c>
      <c r="I27" s="41">
        <v>173.59</v>
      </c>
      <c r="J27" s="41"/>
      <c r="K27" s="41"/>
      <c r="L27" s="41"/>
      <c r="M27" s="41"/>
      <c r="N27" s="6">
        <f t="shared" si="13"/>
        <v>2012.7799999999995</v>
      </c>
      <c r="O27" s="40"/>
      <c r="P27" s="9">
        <v>41944</v>
      </c>
      <c r="Q27" s="43"/>
      <c r="R27" s="43"/>
      <c r="S27" s="41"/>
      <c r="T27" s="41"/>
      <c r="U27" s="41"/>
      <c r="V27" s="41">
        <v>132557376.7</v>
      </c>
      <c r="W27" s="41">
        <v>29909178.030000001</v>
      </c>
      <c r="X27" s="41">
        <v>15896359.720000001</v>
      </c>
      <c r="Y27" s="41"/>
      <c r="Z27" s="41"/>
      <c r="AA27" s="41"/>
      <c r="AB27" s="41"/>
      <c r="AC27" s="6">
        <f t="shared" si="14"/>
        <v>178362914.45000002</v>
      </c>
      <c r="AD27" s="40"/>
      <c r="AE27" s="9">
        <v>41944</v>
      </c>
      <c r="AF27" s="43"/>
      <c r="AG27" s="43"/>
      <c r="AH27" s="41"/>
      <c r="AI27" s="41"/>
      <c r="AJ27" s="41"/>
      <c r="AK27" s="41">
        <v>2134832.6715139961</v>
      </c>
      <c r="AL27" s="41">
        <v>481575.10029032698</v>
      </c>
      <c r="AM27" s="41">
        <v>254256.80816606194</v>
      </c>
      <c r="AN27" s="41"/>
      <c r="AO27" s="41"/>
      <c r="AP27" s="41"/>
      <c r="AQ27" s="41"/>
      <c r="AR27" s="6">
        <f t="shared" si="15"/>
        <v>2870664.5799703849</v>
      </c>
      <c r="AU27" s="92">
        <f t="shared" si="10"/>
        <v>1423.1363928257615</v>
      </c>
      <c r="AV27" s="92">
        <f t="shared" si="11"/>
        <v>1420.1565918322824</v>
      </c>
      <c r="AW27" s="92">
        <f t="shared" si="12"/>
        <v>1464.6973222309</v>
      </c>
    </row>
    <row r="28" spans="1:49">
      <c r="A28" s="9">
        <v>41974</v>
      </c>
      <c r="B28" s="43"/>
      <c r="C28" s="43"/>
      <c r="D28" s="41"/>
      <c r="E28" s="41"/>
      <c r="F28" s="41">
        <v>199.61</v>
      </c>
      <c r="G28" s="41">
        <v>2468.1900000000005</v>
      </c>
      <c r="H28" s="41">
        <v>457.62</v>
      </c>
      <c r="I28" s="41"/>
      <c r="J28" s="41"/>
      <c r="K28" s="41">
        <v>13</v>
      </c>
      <c r="L28" s="41"/>
      <c r="M28" s="41"/>
      <c r="N28" s="6">
        <f t="shared" si="13"/>
        <v>3138.4200000000005</v>
      </c>
      <c r="O28" s="40"/>
      <c r="P28" s="9">
        <v>41974</v>
      </c>
      <c r="Q28" s="43"/>
      <c r="R28" s="43"/>
      <c r="S28" s="41"/>
      <c r="T28" s="41"/>
      <c r="U28" s="41">
        <v>15857009.73</v>
      </c>
      <c r="V28" s="41">
        <v>201178687.88999993</v>
      </c>
      <c r="W28" s="41">
        <v>44141532.109999999</v>
      </c>
      <c r="X28" s="41"/>
      <c r="Y28" s="41"/>
      <c r="Z28" s="41">
        <v>1424633.5199999998</v>
      </c>
      <c r="AA28" s="41"/>
      <c r="AB28" s="41"/>
      <c r="AC28" s="6">
        <f t="shared" si="14"/>
        <v>262601863.24999991</v>
      </c>
      <c r="AD28" s="40"/>
      <c r="AE28" s="9">
        <v>41974</v>
      </c>
      <c r="AF28" s="43"/>
      <c r="AG28" s="43"/>
      <c r="AH28" s="41"/>
      <c r="AI28" s="41"/>
      <c r="AJ28" s="41">
        <v>253712.15568000003</v>
      </c>
      <c r="AK28" s="41">
        <v>3209274.5897939475</v>
      </c>
      <c r="AL28" s="41">
        <v>706264.51376</v>
      </c>
      <c r="AM28" s="41"/>
      <c r="AN28" s="41"/>
      <c r="AO28" s="41">
        <v>22794.136319999998</v>
      </c>
      <c r="AP28" s="41"/>
      <c r="AQ28" s="41"/>
      <c r="AR28" s="6">
        <f t="shared" si="15"/>
        <v>4192045.3955539474</v>
      </c>
      <c r="AU28" s="92">
        <f t="shared" si="10"/>
        <v>1300.2542712651566</v>
      </c>
      <c r="AV28" s="92">
        <f t="shared" si="11"/>
        <v>1543.3427598444123</v>
      </c>
      <c r="AW28" s="92" t="e">
        <f t="shared" si="12"/>
        <v>#DIV/0!</v>
      </c>
    </row>
    <row r="29" spans="1:49">
      <c r="A29" s="9">
        <v>42005</v>
      </c>
      <c r="B29" s="43"/>
      <c r="C29" s="43"/>
      <c r="D29" s="41"/>
      <c r="E29" s="41"/>
      <c r="F29" s="41"/>
      <c r="G29" s="41">
        <v>3222.8600000000006</v>
      </c>
      <c r="H29" s="41">
        <v>616.15</v>
      </c>
      <c r="I29" s="41">
        <v>77.959999999999994</v>
      </c>
      <c r="J29" s="41"/>
      <c r="K29" s="41">
        <v>13.4</v>
      </c>
      <c r="L29" s="41"/>
      <c r="M29" s="41">
        <v>0.6</v>
      </c>
      <c r="N29" s="6">
        <f t="shared" si="13"/>
        <v>3930.9700000000007</v>
      </c>
      <c r="O29" s="40"/>
      <c r="P29" s="9">
        <v>42005</v>
      </c>
      <c r="Q29" s="43"/>
      <c r="R29" s="43"/>
      <c r="S29" s="41"/>
      <c r="T29" s="41"/>
      <c r="U29" s="41"/>
      <c r="V29" s="41">
        <v>278296746.31999993</v>
      </c>
      <c r="W29" s="41">
        <v>59270139.219999991</v>
      </c>
      <c r="X29" s="41">
        <v>7605709.9299999997</v>
      </c>
      <c r="Y29" s="41"/>
      <c r="Z29" s="41">
        <v>1399106.0299999998</v>
      </c>
      <c r="AA29" s="41"/>
      <c r="AB29" s="41">
        <v>61739.27</v>
      </c>
      <c r="AC29" s="6">
        <f t="shared" si="14"/>
        <v>346633440.76999986</v>
      </c>
      <c r="AD29" s="40"/>
      <c r="AE29" s="9">
        <v>42005</v>
      </c>
      <c r="AF29" s="43"/>
      <c r="AG29" s="43"/>
      <c r="AH29" s="41"/>
      <c r="AI29" s="41"/>
      <c r="AJ29" s="41"/>
      <c r="AK29" s="41">
        <v>4399739.3303118143</v>
      </c>
      <c r="AL29" s="41">
        <v>940211.3771579155</v>
      </c>
      <c r="AM29" s="41">
        <v>119118.40140955364</v>
      </c>
      <c r="AN29" s="41"/>
      <c r="AO29" s="41">
        <v>22457.560674157306</v>
      </c>
      <c r="AP29" s="41"/>
      <c r="AQ29" s="41">
        <v>990.99951845906901</v>
      </c>
      <c r="AR29" s="6">
        <f t="shared" si="15"/>
        <v>5482517.6690718988</v>
      </c>
      <c r="AU29" s="92">
        <f t="shared" si="10"/>
        <v>1365.1661351445032</v>
      </c>
      <c r="AV29" s="92">
        <f t="shared" si="11"/>
        <v>1525.9455930502565</v>
      </c>
      <c r="AW29" s="92">
        <f t="shared" si="12"/>
        <v>1527.9425527136179</v>
      </c>
    </row>
    <row r="30" spans="1:49">
      <c r="A30" s="9">
        <v>42036</v>
      </c>
      <c r="B30" s="43"/>
      <c r="C30" s="43"/>
      <c r="D30" s="41"/>
      <c r="E30" s="41"/>
      <c r="F30" s="41"/>
      <c r="G30" s="41">
        <v>2613.29</v>
      </c>
      <c r="H30" s="41">
        <v>316.51</v>
      </c>
      <c r="I30" s="41">
        <v>76.7</v>
      </c>
      <c r="J30" s="41"/>
      <c r="K30" s="41"/>
      <c r="L30" s="41"/>
      <c r="M30" s="41"/>
      <c r="N30" s="6">
        <f t="shared" si="13"/>
        <v>3006.5</v>
      </c>
      <c r="O30" s="40"/>
      <c r="P30" s="9">
        <v>42036</v>
      </c>
      <c r="Q30" s="43"/>
      <c r="R30" s="43"/>
      <c r="S30" s="41"/>
      <c r="T30" s="41"/>
      <c r="U30" s="41"/>
      <c r="V30" s="41">
        <v>228269501.72</v>
      </c>
      <c r="W30" s="41">
        <v>31314848.390000001</v>
      </c>
      <c r="X30" s="41">
        <v>7340641.2300000004</v>
      </c>
      <c r="Y30" s="41"/>
      <c r="Z30" s="41"/>
      <c r="AA30" s="41"/>
      <c r="AB30" s="41"/>
      <c r="AC30" s="6">
        <f t="shared" si="14"/>
        <v>266924991.34</v>
      </c>
      <c r="AD30" s="40"/>
      <c r="AE30" s="9">
        <v>42036</v>
      </c>
      <c r="AF30" s="43"/>
      <c r="AG30" s="43"/>
      <c r="AH30" s="41"/>
      <c r="AI30" s="41"/>
      <c r="AJ30" s="41"/>
      <c r="AK30" s="41">
        <v>3647975.7245758083</v>
      </c>
      <c r="AL30" s="41">
        <v>501889.90701839165</v>
      </c>
      <c r="AM30" s="41">
        <v>117827.30706260033</v>
      </c>
      <c r="AN30" s="41"/>
      <c r="AO30" s="41"/>
      <c r="AP30" s="41"/>
      <c r="AQ30" s="41"/>
      <c r="AR30" s="6">
        <f t="shared" si="15"/>
        <v>4267692.9386568004</v>
      </c>
      <c r="AU30" s="92">
        <f t="shared" si="10"/>
        <v>1395.9322251169247</v>
      </c>
      <c r="AV30" s="92">
        <f t="shared" si="11"/>
        <v>1585.7000000581077</v>
      </c>
      <c r="AW30" s="92">
        <f t="shared" si="12"/>
        <v>1536.2100008161713</v>
      </c>
    </row>
    <row r="31" spans="1:49">
      <c r="A31" s="9">
        <v>42064</v>
      </c>
      <c r="B31" s="43"/>
      <c r="C31" s="43"/>
      <c r="D31" s="41"/>
      <c r="E31" s="41"/>
      <c r="F31" s="41">
        <v>40.07</v>
      </c>
      <c r="G31" s="41">
        <v>2609.6999999999998</v>
      </c>
      <c r="H31" s="41">
        <v>478.75000000000006</v>
      </c>
      <c r="I31" s="41"/>
      <c r="J31" s="41"/>
      <c r="K31" s="41"/>
      <c r="L31" s="41"/>
      <c r="M31" s="41"/>
      <c r="N31" s="6">
        <f t="shared" si="13"/>
        <v>3128.52</v>
      </c>
      <c r="O31" s="40"/>
      <c r="P31" s="9">
        <v>42064</v>
      </c>
      <c r="Q31" s="43"/>
      <c r="R31" s="43"/>
      <c r="S31" s="41"/>
      <c r="T31" s="41"/>
      <c r="U31" s="41">
        <v>3786924.34</v>
      </c>
      <c r="V31" s="41">
        <v>231630528.98999998</v>
      </c>
      <c r="W31" s="41">
        <v>49131434.340000004</v>
      </c>
      <c r="X31" s="41"/>
      <c r="Y31" s="41"/>
      <c r="Z31" s="41"/>
      <c r="AA31" s="41"/>
      <c r="AB31" s="41"/>
      <c r="AC31" s="6">
        <f t="shared" si="14"/>
        <v>284548887.66999996</v>
      </c>
      <c r="AD31" s="40"/>
      <c r="AE31" s="9">
        <v>42064</v>
      </c>
      <c r="AF31" s="43"/>
      <c r="AG31" s="43"/>
      <c r="AH31" s="41"/>
      <c r="AI31" s="41"/>
      <c r="AJ31" s="41">
        <v>60301.342993630577</v>
      </c>
      <c r="AK31" s="41">
        <v>3682906.7408507736</v>
      </c>
      <c r="AL31" s="41">
        <v>781291.95734758873</v>
      </c>
      <c r="AM31" s="41"/>
      <c r="AN31" s="41"/>
      <c r="AO31" s="41"/>
      <c r="AP31" s="41"/>
      <c r="AQ31" s="41"/>
      <c r="AR31" s="6">
        <f t="shared" si="15"/>
        <v>4524500.0411919933</v>
      </c>
      <c r="AU31" s="92">
        <f t="shared" si="10"/>
        <v>1411.2375908536512</v>
      </c>
      <c r="AV31" s="92">
        <f t="shared" si="11"/>
        <v>1631.9414252691147</v>
      </c>
      <c r="AW31" s="92" t="e">
        <f t="shared" si="12"/>
        <v>#DIV/0!</v>
      </c>
    </row>
    <row r="32" spans="1:49">
      <c r="A32" s="128" t="s">
        <v>4</v>
      </c>
      <c r="B32" s="91">
        <f>SUM(B20:B31)</f>
        <v>0</v>
      </c>
      <c r="C32" s="91">
        <f t="shared" ref="C32:M32" si="16">SUM(C20:C31)</f>
        <v>0</v>
      </c>
      <c r="D32" s="91">
        <f t="shared" si="16"/>
        <v>0</v>
      </c>
      <c r="E32" s="91">
        <f t="shared" si="16"/>
        <v>37.57</v>
      </c>
      <c r="F32" s="91">
        <f t="shared" si="16"/>
        <v>702.16500000000008</v>
      </c>
      <c r="G32" s="91">
        <f t="shared" si="16"/>
        <v>24477.780000000002</v>
      </c>
      <c r="H32" s="91">
        <f t="shared" si="16"/>
        <v>5969.62</v>
      </c>
      <c r="I32" s="91">
        <f t="shared" si="16"/>
        <v>861.84</v>
      </c>
      <c r="J32" s="91">
        <f t="shared" si="16"/>
        <v>0</v>
      </c>
      <c r="K32" s="91">
        <f t="shared" si="16"/>
        <v>66.900000000000006</v>
      </c>
      <c r="L32" s="91">
        <f t="shared" si="16"/>
        <v>166.5</v>
      </c>
      <c r="M32" s="91">
        <f t="shared" si="16"/>
        <v>51.6</v>
      </c>
      <c r="N32" s="127">
        <f t="shared" si="13"/>
        <v>32333.975000000002</v>
      </c>
      <c r="O32" s="40"/>
      <c r="P32" s="128" t="s">
        <v>4</v>
      </c>
      <c r="Q32" s="91">
        <f>SUM(Q20:Q31)</f>
        <v>0</v>
      </c>
      <c r="R32" s="91">
        <f t="shared" ref="R32:AB32" si="17">SUM(R20:R31)</f>
        <v>0</v>
      </c>
      <c r="S32" s="91">
        <f t="shared" si="17"/>
        <v>0</v>
      </c>
      <c r="T32" s="91">
        <f t="shared" si="17"/>
        <v>5717245.1399999997</v>
      </c>
      <c r="U32" s="91">
        <f t="shared" si="17"/>
        <v>72180789.88000001</v>
      </c>
      <c r="V32" s="91">
        <f t="shared" si="17"/>
        <v>2414983972.4399996</v>
      </c>
      <c r="W32" s="91">
        <f t="shared" si="17"/>
        <v>654968969.6400001</v>
      </c>
      <c r="X32" s="91">
        <f t="shared" si="17"/>
        <v>93292506.519999996</v>
      </c>
      <c r="Y32" s="91">
        <f t="shared" si="17"/>
        <v>0</v>
      </c>
      <c r="Z32" s="91">
        <f t="shared" si="17"/>
        <v>7445372.0299999993</v>
      </c>
      <c r="AA32" s="91">
        <f t="shared" si="17"/>
        <v>16868440.149999999</v>
      </c>
      <c r="AB32" s="91">
        <f t="shared" si="17"/>
        <v>5252729.3099999996</v>
      </c>
      <c r="AC32" s="127">
        <f t="shared" si="14"/>
        <v>3270710025.1099997</v>
      </c>
      <c r="AD32" s="40"/>
      <c r="AE32" s="128" t="s">
        <v>4</v>
      </c>
      <c r="AF32" s="91">
        <f>SUM(AF20:AF31)</f>
        <v>0</v>
      </c>
      <c r="AG32" s="91">
        <f t="shared" ref="AG32:AQ32" si="18">SUM(AG20:AG31)</f>
        <v>0</v>
      </c>
      <c r="AH32" s="91">
        <f t="shared" si="18"/>
        <v>0</v>
      </c>
      <c r="AI32" s="91">
        <f t="shared" si="18"/>
        <v>93725.330163934414</v>
      </c>
      <c r="AJ32" s="91">
        <f t="shared" si="18"/>
        <v>1175745.5944303405</v>
      </c>
      <c r="AK32" s="91">
        <f t="shared" si="18"/>
        <v>39219086.82708063</v>
      </c>
      <c r="AL32" s="91">
        <f t="shared" si="18"/>
        <v>10663087.699638892</v>
      </c>
      <c r="AM32" s="91">
        <f t="shared" si="18"/>
        <v>1516207.5511897292</v>
      </c>
      <c r="AN32" s="91">
        <f t="shared" si="18"/>
        <v>0</v>
      </c>
      <c r="AO32" s="91">
        <f t="shared" si="18"/>
        <v>121463.7718693653</v>
      </c>
      <c r="AP32" s="91">
        <f t="shared" si="18"/>
        <v>279483.01973341312</v>
      </c>
      <c r="AQ32" s="91">
        <f t="shared" si="18"/>
        <v>86358.219502343039</v>
      </c>
      <c r="AR32" s="127">
        <f t="shared" si="15"/>
        <v>53155158.013608649</v>
      </c>
      <c r="AU32" s="40"/>
      <c r="AV32" s="40"/>
      <c r="AW32" s="40"/>
    </row>
    <row r="33" spans="1:49">
      <c r="A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U33" s="40"/>
      <c r="AV33" s="40"/>
      <c r="AW33" s="40"/>
    </row>
    <row r="34" spans="1:49">
      <c r="A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U34" s="40"/>
      <c r="AV34" s="40"/>
      <c r="AW34" s="40"/>
    </row>
    <row r="35" spans="1:49">
      <c r="A35" s="25" t="s">
        <v>0</v>
      </c>
      <c r="B35" s="158" t="s">
        <v>133</v>
      </c>
      <c r="C35" s="158" t="s">
        <v>19</v>
      </c>
      <c r="D35" s="158" t="s">
        <v>17</v>
      </c>
      <c r="E35" s="158" t="s">
        <v>134</v>
      </c>
      <c r="F35" s="158" t="s">
        <v>10</v>
      </c>
      <c r="G35" s="158" t="s">
        <v>11</v>
      </c>
      <c r="H35" s="158" t="s">
        <v>12</v>
      </c>
      <c r="I35" s="158" t="s">
        <v>13</v>
      </c>
      <c r="J35" s="158" t="s">
        <v>14</v>
      </c>
      <c r="K35" s="158" t="s">
        <v>18</v>
      </c>
      <c r="L35" s="158" t="s">
        <v>15</v>
      </c>
      <c r="M35" s="158" t="s">
        <v>16</v>
      </c>
      <c r="N35" s="27" t="s">
        <v>20</v>
      </c>
      <c r="O35" s="40"/>
      <c r="P35" s="25" t="s">
        <v>0</v>
      </c>
      <c r="Q35" s="158" t="s">
        <v>133</v>
      </c>
      <c r="R35" s="158" t="s">
        <v>19</v>
      </c>
      <c r="S35" s="158" t="s">
        <v>17</v>
      </c>
      <c r="T35" s="158" t="s">
        <v>134</v>
      </c>
      <c r="U35" s="158" t="s">
        <v>10</v>
      </c>
      <c r="V35" s="158" t="s">
        <v>11</v>
      </c>
      <c r="W35" s="158" t="s">
        <v>12</v>
      </c>
      <c r="X35" s="158" t="s">
        <v>13</v>
      </c>
      <c r="Y35" s="158" t="s">
        <v>14</v>
      </c>
      <c r="Z35" s="158" t="s">
        <v>18</v>
      </c>
      <c r="AA35" s="158" t="s">
        <v>15</v>
      </c>
      <c r="AB35" s="158" t="s">
        <v>16</v>
      </c>
      <c r="AC35" s="27" t="s">
        <v>20</v>
      </c>
      <c r="AD35" s="40"/>
      <c r="AE35" s="25" t="s">
        <v>0</v>
      </c>
      <c r="AF35" s="158" t="s">
        <v>133</v>
      </c>
      <c r="AG35" s="158" t="s">
        <v>19</v>
      </c>
      <c r="AH35" s="158" t="s">
        <v>17</v>
      </c>
      <c r="AI35" s="158" t="s">
        <v>134</v>
      </c>
      <c r="AJ35" s="158" t="s">
        <v>10</v>
      </c>
      <c r="AK35" s="158" t="s">
        <v>11</v>
      </c>
      <c r="AL35" s="158" t="s">
        <v>12</v>
      </c>
      <c r="AM35" s="158" t="s">
        <v>13</v>
      </c>
      <c r="AN35" s="158" t="s">
        <v>14</v>
      </c>
      <c r="AO35" s="158" t="s">
        <v>18</v>
      </c>
      <c r="AP35" s="158" t="s">
        <v>15</v>
      </c>
      <c r="AQ35" s="158" t="s">
        <v>16</v>
      </c>
      <c r="AR35" s="27" t="s">
        <v>20</v>
      </c>
      <c r="AU35" s="40"/>
      <c r="AV35" s="40"/>
      <c r="AW35" s="40"/>
    </row>
    <row r="36" spans="1:49">
      <c r="A36" s="9">
        <v>41730</v>
      </c>
      <c r="B36" s="43"/>
      <c r="C36" s="43"/>
      <c r="D36" s="41"/>
      <c r="E36" s="41"/>
      <c r="F36" s="41">
        <v>13.6</v>
      </c>
      <c r="G36" s="41">
        <v>1353.9199999999998</v>
      </c>
      <c r="H36" s="41"/>
      <c r="I36" s="41"/>
      <c r="J36" s="41"/>
      <c r="K36" s="41"/>
      <c r="L36" s="41"/>
      <c r="M36" s="41"/>
      <c r="N36" s="6">
        <f>SUM(B36:M36)</f>
        <v>1367.5199999999998</v>
      </c>
      <c r="O36" s="40"/>
      <c r="P36" s="9">
        <v>41730</v>
      </c>
      <c r="Q36" s="43"/>
      <c r="R36" s="43"/>
      <c r="S36" s="41"/>
      <c r="T36" s="41"/>
      <c r="U36" s="41">
        <v>1866035.6</v>
      </c>
      <c r="V36" s="41">
        <v>148284230.14000002</v>
      </c>
      <c r="W36" s="41"/>
      <c r="X36" s="41"/>
      <c r="Y36" s="41"/>
      <c r="Z36" s="41"/>
      <c r="AA36" s="41"/>
      <c r="AB36" s="41"/>
      <c r="AC36" s="6">
        <f>SUM(Q36:AB36)</f>
        <v>150150265.74000001</v>
      </c>
      <c r="AD36" s="40"/>
      <c r="AE36" s="9">
        <v>41730</v>
      </c>
      <c r="AF36" s="43"/>
      <c r="AG36" s="43"/>
      <c r="AH36" s="41"/>
      <c r="AI36" s="41"/>
      <c r="AJ36" s="41">
        <v>30219.200000000001</v>
      </c>
      <c r="AK36" s="41">
        <v>2440181.1008888381</v>
      </c>
      <c r="AL36" s="41"/>
      <c r="AM36" s="41"/>
      <c r="AN36" s="41"/>
      <c r="AO36" s="41"/>
      <c r="AP36" s="41"/>
      <c r="AQ36" s="41"/>
      <c r="AR36" s="6">
        <f>SUM(AF36:AQ36)</f>
        <v>2470400.3008888382</v>
      </c>
      <c r="AU36" s="92">
        <f t="shared" ref="AU36:AU47" si="19">+AK36/G36</f>
        <v>1802.3081872554053</v>
      </c>
      <c r="AV36" s="92" t="e">
        <f t="shared" ref="AV36:AV47" si="20">+AL36/H36</f>
        <v>#DIV/0!</v>
      </c>
      <c r="AW36" s="92" t="e">
        <f t="shared" ref="AW36:AW47" si="21">+AM36/I36</f>
        <v>#DIV/0!</v>
      </c>
    </row>
    <row r="37" spans="1:49">
      <c r="A37" s="9">
        <v>41760</v>
      </c>
      <c r="B37" s="43"/>
      <c r="C37" s="43"/>
      <c r="D37" s="41"/>
      <c r="E37" s="41"/>
      <c r="F37" s="41">
        <v>39.28</v>
      </c>
      <c r="G37" s="41">
        <v>1714.0700000000002</v>
      </c>
      <c r="H37" s="41"/>
      <c r="I37" s="41"/>
      <c r="J37" s="41"/>
      <c r="K37" s="41">
        <v>30</v>
      </c>
      <c r="L37" s="41"/>
      <c r="M37" s="41"/>
      <c r="N37" s="6">
        <f t="shared" ref="N37:N48" si="22">SUM(B37:M37)</f>
        <v>1783.3500000000001</v>
      </c>
      <c r="O37" s="40"/>
      <c r="P37" s="9">
        <v>41760</v>
      </c>
      <c r="Q37" s="43"/>
      <c r="R37" s="43"/>
      <c r="S37" s="41"/>
      <c r="T37" s="41"/>
      <c r="U37" s="41">
        <v>4341791.2300000004</v>
      </c>
      <c r="V37" s="41">
        <v>180803880.55999997</v>
      </c>
      <c r="W37" s="41"/>
      <c r="X37" s="41"/>
      <c r="Y37" s="41"/>
      <c r="Z37" s="41">
        <v>3573945.6</v>
      </c>
      <c r="AA37" s="41"/>
      <c r="AB37" s="41"/>
      <c r="AC37" s="6">
        <f t="shared" ref="AC37:AC48" si="23">SUM(Q37:AB37)</f>
        <v>188719617.38999996</v>
      </c>
      <c r="AD37" s="40"/>
      <c r="AE37" s="9">
        <v>41760</v>
      </c>
      <c r="AF37" s="43"/>
      <c r="AG37" s="43"/>
      <c r="AH37" s="41"/>
      <c r="AI37" s="41"/>
      <c r="AJ37" s="41">
        <v>71352.362037797866</v>
      </c>
      <c r="AK37" s="41">
        <v>2986746.0450778422</v>
      </c>
      <c r="AL37" s="41"/>
      <c r="AM37" s="41"/>
      <c r="AN37" s="41"/>
      <c r="AO37" s="41">
        <v>58733.699260476584</v>
      </c>
      <c r="AP37" s="41"/>
      <c r="AQ37" s="41"/>
      <c r="AR37" s="6">
        <f t="shared" ref="AR37:AR48" si="24">SUM(AF37:AQ37)</f>
        <v>3116832.1063761166</v>
      </c>
      <c r="AU37" s="92">
        <f t="shared" si="19"/>
        <v>1742.4877893422333</v>
      </c>
      <c r="AV37" s="92" t="e">
        <f t="shared" si="20"/>
        <v>#DIV/0!</v>
      </c>
      <c r="AW37" s="92" t="e">
        <f t="shared" si="21"/>
        <v>#DIV/0!</v>
      </c>
    </row>
    <row r="38" spans="1:49">
      <c r="A38" s="9">
        <v>41791</v>
      </c>
      <c r="B38" s="43"/>
      <c r="C38" s="43"/>
      <c r="D38" s="41"/>
      <c r="E38" s="41"/>
      <c r="F38" s="41">
        <v>33.29</v>
      </c>
      <c r="G38" s="41">
        <v>2506.6000000000004</v>
      </c>
      <c r="H38" s="41"/>
      <c r="I38" s="41"/>
      <c r="J38" s="41"/>
      <c r="K38" s="41"/>
      <c r="L38" s="41"/>
      <c r="M38" s="41">
        <v>15</v>
      </c>
      <c r="N38" s="6">
        <f t="shared" si="22"/>
        <v>2554.8900000000003</v>
      </c>
      <c r="O38" s="40"/>
      <c r="P38" s="9">
        <v>41791</v>
      </c>
      <c r="Q38" s="43"/>
      <c r="R38" s="43"/>
      <c r="S38" s="41"/>
      <c r="T38" s="41"/>
      <c r="U38" s="41">
        <v>4095847.63</v>
      </c>
      <c r="V38" s="41">
        <v>278195561.37000006</v>
      </c>
      <c r="W38" s="41"/>
      <c r="X38" s="41"/>
      <c r="Y38" s="41"/>
      <c r="Z38" s="41"/>
      <c r="AA38" s="41"/>
      <c r="AB38" s="41">
        <v>1496100.38</v>
      </c>
      <c r="AC38" s="6">
        <f t="shared" si="23"/>
        <v>283787509.38000005</v>
      </c>
      <c r="AD38" s="40"/>
      <c r="AE38" s="9">
        <v>41791</v>
      </c>
      <c r="AF38" s="43"/>
      <c r="AG38" s="43"/>
      <c r="AH38" s="41"/>
      <c r="AI38" s="41"/>
      <c r="AJ38" s="41">
        <v>67926.947395504321</v>
      </c>
      <c r="AK38" s="41">
        <v>4642318.6798726991</v>
      </c>
      <c r="AL38" s="41"/>
      <c r="AM38" s="41"/>
      <c r="AN38" s="41"/>
      <c r="AO38" s="41"/>
      <c r="AP38" s="41"/>
      <c r="AQ38" s="41">
        <v>24997.500083542185</v>
      </c>
      <c r="AR38" s="6">
        <f t="shared" si="24"/>
        <v>4735243.127351746</v>
      </c>
      <c r="AU38" s="92">
        <f t="shared" si="19"/>
        <v>1852.0380913878155</v>
      </c>
      <c r="AV38" s="92" t="e">
        <f t="shared" si="20"/>
        <v>#DIV/0!</v>
      </c>
      <c r="AW38" s="92" t="e">
        <f t="shared" si="21"/>
        <v>#DIV/0!</v>
      </c>
    </row>
    <row r="39" spans="1:49">
      <c r="A39" s="9">
        <v>41821</v>
      </c>
      <c r="B39" s="43"/>
      <c r="C39" s="43"/>
      <c r="D39" s="41"/>
      <c r="E39" s="41"/>
      <c r="F39" s="41">
        <v>10.199999999999999</v>
      </c>
      <c r="G39" s="41">
        <v>3878.93</v>
      </c>
      <c r="H39" s="41"/>
      <c r="I39" s="41"/>
      <c r="J39" s="41">
        <v>3.4</v>
      </c>
      <c r="K39" s="41">
        <v>30</v>
      </c>
      <c r="L39" s="41"/>
      <c r="M39" s="41"/>
      <c r="N39" s="6">
        <f t="shared" si="22"/>
        <v>3922.5299999999997</v>
      </c>
      <c r="O39" s="40"/>
      <c r="P39" s="9">
        <v>41821</v>
      </c>
      <c r="Q39" s="43"/>
      <c r="R39" s="43"/>
      <c r="S39" s="41"/>
      <c r="T39" s="41"/>
      <c r="U39" s="41">
        <v>1313195.94</v>
      </c>
      <c r="V39" s="41">
        <v>430630684.1500001</v>
      </c>
      <c r="W39" s="41"/>
      <c r="X39" s="41"/>
      <c r="Y39" s="41">
        <v>448154.17</v>
      </c>
      <c r="Z39" s="41">
        <v>3532798.2</v>
      </c>
      <c r="AA39" s="41"/>
      <c r="AB39" s="41"/>
      <c r="AC39" s="6">
        <f t="shared" si="23"/>
        <v>435924832.4600001</v>
      </c>
      <c r="AD39" s="40"/>
      <c r="AE39" s="9">
        <v>41821</v>
      </c>
      <c r="AF39" s="43"/>
      <c r="AG39" s="43"/>
      <c r="AH39" s="41"/>
      <c r="AI39" s="41"/>
      <c r="AJ39" s="41">
        <v>21634.199999999997</v>
      </c>
      <c r="AK39" s="41">
        <v>7117250.9820664898</v>
      </c>
      <c r="AL39" s="41"/>
      <c r="AM39" s="41"/>
      <c r="AN39" s="41">
        <v>7383.0999999999995</v>
      </c>
      <c r="AO39" s="41">
        <v>58782</v>
      </c>
      <c r="AP39" s="41"/>
      <c r="AQ39" s="41"/>
      <c r="AR39" s="6">
        <f t="shared" si="24"/>
        <v>7205050.2820664896</v>
      </c>
      <c r="AU39" s="92">
        <f t="shared" si="19"/>
        <v>1834.8490387984548</v>
      </c>
      <c r="AV39" s="92" t="e">
        <f t="shared" si="20"/>
        <v>#DIV/0!</v>
      </c>
      <c r="AW39" s="92" t="e">
        <f t="shared" si="21"/>
        <v>#DIV/0!</v>
      </c>
    </row>
    <row r="40" spans="1:49">
      <c r="A40" s="9">
        <v>41852</v>
      </c>
      <c r="B40" s="43"/>
      <c r="C40" s="43"/>
      <c r="D40" s="41"/>
      <c r="E40" s="41"/>
      <c r="F40" s="41">
        <v>10.199999999999999</v>
      </c>
      <c r="G40" s="41">
        <v>1717.8400000000001</v>
      </c>
      <c r="H40" s="41"/>
      <c r="I40" s="41"/>
      <c r="J40" s="41"/>
      <c r="K40" s="41">
        <v>30</v>
      </c>
      <c r="L40" s="41"/>
      <c r="M40" s="41">
        <v>60</v>
      </c>
      <c r="N40" s="6">
        <f t="shared" si="22"/>
        <v>1818.0400000000002</v>
      </c>
      <c r="O40" s="40"/>
      <c r="P40" s="9">
        <v>41852</v>
      </c>
      <c r="Q40" s="43"/>
      <c r="R40" s="43"/>
      <c r="S40" s="41"/>
      <c r="T40" s="41"/>
      <c r="U40" s="41">
        <v>1188129.6599999999</v>
      </c>
      <c r="V40" s="41">
        <v>193292090.47999996</v>
      </c>
      <c r="W40" s="41"/>
      <c r="X40" s="41"/>
      <c r="Y40" s="41"/>
      <c r="Z40" s="41">
        <v>3568067.4</v>
      </c>
      <c r="AA40" s="41"/>
      <c r="AB40" s="41">
        <v>6181427.25</v>
      </c>
      <c r="AC40" s="6">
        <f t="shared" si="23"/>
        <v>204229714.78999996</v>
      </c>
      <c r="AD40" s="40"/>
      <c r="AE40" s="9">
        <v>41852</v>
      </c>
      <c r="AF40" s="43"/>
      <c r="AG40" s="43"/>
      <c r="AH40" s="41"/>
      <c r="AI40" s="41"/>
      <c r="AJ40" s="41">
        <v>19209.857073565076</v>
      </c>
      <c r="AK40" s="41">
        <v>3160385.8626424246</v>
      </c>
      <c r="AL40" s="41"/>
      <c r="AM40" s="41"/>
      <c r="AN40" s="41"/>
      <c r="AO40" s="41">
        <v>58781.999999999993</v>
      </c>
      <c r="AP40" s="41"/>
      <c r="AQ40" s="41">
        <v>101602.82571428572</v>
      </c>
      <c r="AR40" s="6">
        <f t="shared" si="24"/>
        <v>3339980.5454302756</v>
      </c>
      <c r="AU40" s="92">
        <f t="shared" si="19"/>
        <v>1839.7440172789227</v>
      </c>
      <c r="AV40" s="92" t="e">
        <f t="shared" si="20"/>
        <v>#DIV/0!</v>
      </c>
      <c r="AW40" s="92" t="e">
        <f t="shared" si="21"/>
        <v>#DIV/0!</v>
      </c>
    </row>
    <row r="41" spans="1:49">
      <c r="A41" s="9">
        <v>41883</v>
      </c>
      <c r="B41" s="43"/>
      <c r="C41" s="43"/>
      <c r="D41" s="41"/>
      <c r="E41" s="41"/>
      <c r="F41" s="41">
        <v>39.15</v>
      </c>
      <c r="G41" s="41">
        <v>4677.4599999999991</v>
      </c>
      <c r="H41" s="41"/>
      <c r="I41" s="41"/>
      <c r="J41" s="41"/>
      <c r="K41" s="41">
        <v>90</v>
      </c>
      <c r="L41" s="41">
        <v>15</v>
      </c>
      <c r="M41" s="41">
        <v>30</v>
      </c>
      <c r="N41" s="6">
        <f t="shared" si="22"/>
        <v>4851.6099999999988</v>
      </c>
      <c r="O41" s="40"/>
      <c r="P41" s="9">
        <v>41883</v>
      </c>
      <c r="Q41" s="43"/>
      <c r="R41" s="43"/>
      <c r="S41" s="41"/>
      <c r="T41" s="41"/>
      <c r="U41" s="41">
        <v>4892272.09</v>
      </c>
      <c r="V41" s="41">
        <v>458660605.44000018</v>
      </c>
      <c r="W41" s="41"/>
      <c r="X41" s="41"/>
      <c r="Y41" s="41"/>
      <c r="Z41" s="41">
        <v>10279085.629999999</v>
      </c>
      <c r="AA41" s="41">
        <v>1478640</v>
      </c>
      <c r="AB41" s="41">
        <v>3055944.38</v>
      </c>
      <c r="AC41" s="6">
        <f t="shared" si="23"/>
        <v>478366547.54000014</v>
      </c>
      <c r="AD41" s="40"/>
      <c r="AE41" s="9">
        <v>41883</v>
      </c>
      <c r="AF41" s="43"/>
      <c r="AG41" s="43"/>
      <c r="AH41" s="41"/>
      <c r="AI41" s="41"/>
      <c r="AJ41" s="41">
        <v>80201.181803278683</v>
      </c>
      <c r="AK41" s="41">
        <v>7467966.0836694129</v>
      </c>
      <c r="AL41" s="41"/>
      <c r="AM41" s="41"/>
      <c r="AN41" s="41"/>
      <c r="AO41" s="41">
        <v>168165.00008163264</v>
      </c>
      <c r="AP41" s="41">
        <v>24240</v>
      </c>
      <c r="AQ41" s="41">
        <v>50097.448852459012</v>
      </c>
      <c r="AR41" s="6">
        <f t="shared" si="24"/>
        <v>7790669.7144067828</v>
      </c>
      <c r="AU41" s="92">
        <f t="shared" si="19"/>
        <v>1596.5857716943415</v>
      </c>
      <c r="AV41" s="92" t="e">
        <f t="shared" si="20"/>
        <v>#DIV/0!</v>
      </c>
      <c r="AW41" s="92" t="e">
        <f t="shared" si="21"/>
        <v>#DIV/0!</v>
      </c>
    </row>
    <row r="42" spans="1:49">
      <c r="A42" s="9">
        <v>41913</v>
      </c>
      <c r="B42" s="43"/>
      <c r="C42" s="43"/>
      <c r="D42" s="41"/>
      <c r="E42" s="41"/>
      <c r="F42" s="41">
        <v>39.409999999999997</v>
      </c>
      <c r="G42" s="41">
        <v>3917.51</v>
      </c>
      <c r="H42" s="41"/>
      <c r="I42" s="41"/>
      <c r="J42" s="41"/>
      <c r="K42" s="41"/>
      <c r="L42" s="41"/>
      <c r="M42" s="41"/>
      <c r="N42" s="6">
        <f t="shared" si="22"/>
        <v>3956.92</v>
      </c>
      <c r="O42" s="40"/>
      <c r="P42" s="9">
        <v>41913</v>
      </c>
      <c r="Q42" s="43"/>
      <c r="R42" s="43"/>
      <c r="S42" s="41"/>
      <c r="T42" s="41"/>
      <c r="U42" s="41">
        <v>4711611.32</v>
      </c>
      <c r="V42" s="41">
        <v>350719352.08999991</v>
      </c>
      <c r="W42" s="41"/>
      <c r="X42" s="41"/>
      <c r="Y42" s="41"/>
      <c r="Z42" s="41"/>
      <c r="AA42" s="41"/>
      <c r="AB42" s="41"/>
      <c r="AC42" s="6">
        <f t="shared" si="23"/>
        <v>355430963.40999991</v>
      </c>
      <c r="AD42" s="40"/>
      <c r="AE42" s="9">
        <v>41913</v>
      </c>
      <c r="AF42" s="43"/>
      <c r="AG42" s="43"/>
      <c r="AH42" s="41"/>
      <c r="AI42" s="41"/>
      <c r="AJ42" s="41">
        <v>75932.495084609196</v>
      </c>
      <c r="AK42" s="41">
        <v>5642702.9009154821</v>
      </c>
      <c r="AL42" s="41"/>
      <c r="AM42" s="41"/>
      <c r="AN42" s="41"/>
      <c r="AO42" s="41"/>
      <c r="AP42" s="41"/>
      <c r="AQ42" s="41"/>
      <c r="AR42" s="6">
        <f t="shared" si="24"/>
        <v>5718635.396000091</v>
      </c>
      <c r="AU42" s="92">
        <f t="shared" si="19"/>
        <v>1440.3799609740579</v>
      </c>
      <c r="AV42" s="92" t="e">
        <f t="shared" si="20"/>
        <v>#DIV/0!</v>
      </c>
      <c r="AW42" s="92" t="e">
        <f t="shared" si="21"/>
        <v>#DIV/0!</v>
      </c>
    </row>
    <row r="43" spans="1:49">
      <c r="A43" s="9">
        <v>41944</v>
      </c>
      <c r="B43" s="43"/>
      <c r="C43" s="43"/>
      <c r="D43" s="41"/>
      <c r="E43" s="41"/>
      <c r="F43" s="41">
        <v>19.579999999999998</v>
      </c>
      <c r="G43" s="41">
        <v>1884.37</v>
      </c>
      <c r="H43" s="41"/>
      <c r="I43" s="41"/>
      <c r="J43" s="41"/>
      <c r="K43" s="41">
        <v>45</v>
      </c>
      <c r="L43" s="41"/>
      <c r="M43" s="41"/>
      <c r="N43" s="6">
        <f t="shared" si="22"/>
        <v>1948.9499999999998</v>
      </c>
      <c r="O43" s="40"/>
      <c r="P43" s="9">
        <v>41944</v>
      </c>
      <c r="Q43" s="43"/>
      <c r="R43" s="43"/>
      <c r="S43" s="41"/>
      <c r="T43" s="41"/>
      <c r="U43" s="41">
        <v>1782669.72</v>
      </c>
      <c r="V43" s="41">
        <v>149071610.28</v>
      </c>
      <c r="W43" s="41"/>
      <c r="X43" s="41"/>
      <c r="Y43" s="41"/>
      <c r="Z43" s="41">
        <v>5217319.13</v>
      </c>
      <c r="AA43" s="41"/>
      <c r="AB43" s="41"/>
      <c r="AC43" s="6">
        <f t="shared" si="23"/>
        <v>156071599.13</v>
      </c>
      <c r="AD43" s="40"/>
      <c r="AE43" s="9">
        <v>41944</v>
      </c>
      <c r="AF43" s="43"/>
      <c r="AG43" s="43"/>
      <c r="AH43" s="41"/>
      <c r="AI43" s="41"/>
      <c r="AJ43" s="41">
        <v>28477.152076677314</v>
      </c>
      <c r="AK43" s="41">
        <v>2401215.0542587498</v>
      </c>
      <c r="AL43" s="41"/>
      <c r="AM43" s="41"/>
      <c r="AN43" s="41"/>
      <c r="AO43" s="41">
        <v>84286.254119547651</v>
      </c>
      <c r="AP43" s="41"/>
      <c r="AQ43" s="41"/>
      <c r="AR43" s="6">
        <f t="shared" si="24"/>
        <v>2513978.4604549748</v>
      </c>
      <c r="AU43" s="92">
        <f t="shared" si="19"/>
        <v>1274.2800268836534</v>
      </c>
      <c r="AV43" s="92" t="e">
        <f t="shared" si="20"/>
        <v>#DIV/0!</v>
      </c>
      <c r="AW43" s="92" t="e">
        <f t="shared" si="21"/>
        <v>#DIV/0!</v>
      </c>
    </row>
    <row r="44" spans="1:49">
      <c r="A44" s="9">
        <v>41974</v>
      </c>
      <c r="B44" s="43"/>
      <c r="C44" s="43"/>
      <c r="D44" s="41"/>
      <c r="E44" s="41"/>
      <c r="F44" s="41">
        <v>108.85</v>
      </c>
      <c r="G44" s="41">
        <v>1872</v>
      </c>
      <c r="H44" s="41"/>
      <c r="I44" s="41"/>
      <c r="J44" s="41">
        <v>2.72</v>
      </c>
      <c r="K44" s="41"/>
      <c r="L44" s="41"/>
      <c r="M44" s="41"/>
      <c r="N44" s="6">
        <f t="shared" si="22"/>
        <v>1983.57</v>
      </c>
      <c r="O44" s="40"/>
      <c r="P44" s="9">
        <v>41974</v>
      </c>
      <c r="Q44" s="43"/>
      <c r="R44" s="43"/>
      <c r="S44" s="41"/>
      <c r="T44" s="41"/>
      <c r="U44" s="41">
        <v>10000763.710000001</v>
      </c>
      <c r="V44" s="41">
        <v>152088969.55000001</v>
      </c>
      <c r="W44" s="41"/>
      <c r="X44" s="41"/>
      <c r="Y44" s="41">
        <v>283758.28999999998</v>
      </c>
      <c r="Z44" s="41"/>
      <c r="AA44" s="41"/>
      <c r="AB44" s="41"/>
      <c r="AC44" s="6">
        <f t="shared" si="23"/>
        <v>162373491.55000001</v>
      </c>
      <c r="AD44" s="40"/>
      <c r="AE44" s="9">
        <v>41974</v>
      </c>
      <c r="AF44" s="43"/>
      <c r="AG44" s="43"/>
      <c r="AH44" s="41"/>
      <c r="AI44" s="41"/>
      <c r="AJ44" s="41">
        <v>159351.54943185352</v>
      </c>
      <c r="AK44" s="41">
        <v>2423859.8023106656</v>
      </c>
      <c r="AL44" s="41"/>
      <c r="AM44" s="41"/>
      <c r="AN44" s="41">
        <v>4540.1326399999998</v>
      </c>
      <c r="AO44" s="41"/>
      <c r="AP44" s="41"/>
      <c r="AQ44" s="41"/>
      <c r="AR44" s="6">
        <f t="shared" si="24"/>
        <v>2587751.484382519</v>
      </c>
      <c r="AU44" s="92">
        <f t="shared" si="19"/>
        <v>1294.7969029437315</v>
      </c>
      <c r="AV44" s="92" t="e">
        <f t="shared" si="20"/>
        <v>#DIV/0!</v>
      </c>
      <c r="AW44" s="92" t="e">
        <f t="shared" si="21"/>
        <v>#DIV/0!</v>
      </c>
    </row>
    <row r="45" spans="1:49">
      <c r="A45" s="9">
        <v>42005</v>
      </c>
      <c r="B45" s="43"/>
      <c r="C45" s="43"/>
      <c r="D45" s="41"/>
      <c r="E45" s="41"/>
      <c r="F45" s="41">
        <v>26.45</v>
      </c>
      <c r="G45" s="41">
        <v>504.36</v>
      </c>
      <c r="H45" s="41"/>
      <c r="I45" s="41"/>
      <c r="J45" s="41"/>
      <c r="K45" s="41"/>
      <c r="L45" s="41"/>
      <c r="M45" s="41"/>
      <c r="N45" s="6">
        <f t="shared" si="22"/>
        <v>530.81000000000006</v>
      </c>
      <c r="O45" s="40"/>
      <c r="P45" s="9">
        <v>42005</v>
      </c>
      <c r="Q45" s="43"/>
      <c r="R45" s="43"/>
      <c r="S45" s="41"/>
      <c r="T45" s="41"/>
      <c r="U45" s="41">
        <v>2525852.04</v>
      </c>
      <c r="V45" s="41">
        <v>41448059.429999992</v>
      </c>
      <c r="W45" s="41"/>
      <c r="X45" s="41"/>
      <c r="Y45" s="41"/>
      <c r="Z45" s="41"/>
      <c r="AA45" s="41"/>
      <c r="AB45" s="41"/>
      <c r="AC45" s="6">
        <f t="shared" si="23"/>
        <v>43973911.469999991</v>
      </c>
      <c r="AD45" s="40"/>
      <c r="AE45" s="9">
        <v>42005</v>
      </c>
      <c r="AF45" s="43"/>
      <c r="AG45" s="43"/>
      <c r="AH45" s="41"/>
      <c r="AI45" s="41"/>
      <c r="AJ45" s="41">
        <v>39832.337911764007</v>
      </c>
      <c r="AK45" s="41">
        <v>649147.36773688323</v>
      </c>
      <c r="AL45" s="41"/>
      <c r="AM45" s="41"/>
      <c r="AN45" s="41"/>
      <c r="AO45" s="41"/>
      <c r="AP45" s="41"/>
      <c r="AQ45" s="41"/>
      <c r="AR45" s="6">
        <f t="shared" si="24"/>
        <v>688979.70564864727</v>
      </c>
      <c r="AU45" s="92">
        <f t="shared" si="19"/>
        <v>1287.0714722358696</v>
      </c>
      <c r="AV45" s="92" t="e">
        <f t="shared" si="20"/>
        <v>#DIV/0!</v>
      </c>
      <c r="AW45" s="92" t="e">
        <f t="shared" si="21"/>
        <v>#DIV/0!</v>
      </c>
    </row>
    <row r="46" spans="1:49">
      <c r="A46" s="9">
        <v>42036</v>
      </c>
      <c r="B46" s="43"/>
      <c r="C46" s="43"/>
      <c r="D46" s="41"/>
      <c r="E46" s="41"/>
      <c r="F46" s="41">
        <v>131</v>
      </c>
      <c r="G46" s="41">
        <v>506.33</v>
      </c>
      <c r="H46" s="41"/>
      <c r="I46" s="41"/>
      <c r="J46" s="41"/>
      <c r="K46" s="41"/>
      <c r="L46" s="41"/>
      <c r="M46" s="41"/>
      <c r="N46" s="6">
        <f t="shared" si="22"/>
        <v>637.32999999999993</v>
      </c>
      <c r="O46" s="40"/>
      <c r="P46" s="9">
        <v>42036</v>
      </c>
      <c r="Q46" s="43"/>
      <c r="R46" s="43"/>
      <c r="S46" s="41"/>
      <c r="T46" s="41"/>
      <c r="U46" s="41">
        <v>12165380.500000002</v>
      </c>
      <c r="V46" s="41">
        <v>41580431.060000002</v>
      </c>
      <c r="W46" s="41"/>
      <c r="X46" s="41"/>
      <c r="Y46" s="41"/>
      <c r="Z46" s="41"/>
      <c r="AA46" s="41"/>
      <c r="AB46" s="41"/>
      <c r="AC46" s="6">
        <f t="shared" si="23"/>
        <v>53745811.560000002</v>
      </c>
      <c r="AD46" s="40"/>
      <c r="AE46" s="9">
        <v>42036</v>
      </c>
      <c r="AF46" s="43"/>
      <c r="AG46" s="43"/>
      <c r="AH46" s="41"/>
      <c r="AI46" s="41"/>
      <c r="AJ46" s="41">
        <v>194576.80290920573</v>
      </c>
      <c r="AK46" s="41">
        <v>664940.64300357481</v>
      </c>
      <c r="AL46" s="41"/>
      <c r="AM46" s="41"/>
      <c r="AN46" s="41"/>
      <c r="AO46" s="41"/>
      <c r="AP46" s="41"/>
      <c r="AQ46" s="41"/>
      <c r="AR46" s="6">
        <f t="shared" si="24"/>
        <v>859517.44591278047</v>
      </c>
      <c r="AU46" s="92">
        <f t="shared" si="19"/>
        <v>1313.2554717349847</v>
      </c>
      <c r="AV46" s="92" t="e">
        <f t="shared" si="20"/>
        <v>#DIV/0!</v>
      </c>
      <c r="AW46" s="92" t="e">
        <f t="shared" si="21"/>
        <v>#DIV/0!</v>
      </c>
    </row>
    <row r="47" spans="1:49">
      <c r="A47" s="9">
        <v>42064</v>
      </c>
      <c r="B47" s="43"/>
      <c r="C47" s="43"/>
      <c r="D47" s="41"/>
      <c r="E47" s="41"/>
      <c r="F47" s="41">
        <v>97.71</v>
      </c>
      <c r="G47" s="41">
        <v>681.79000000000008</v>
      </c>
      <c r="H47" s="41"/>
      <c r="I47" s="41"/>
      <c r="J47" s="41"/>
      <c r="K47" s="41">
        <v>15</v>
      </c>
      <c r="L47" s="41"/>
      <c r="M47" s="41"/>
      <c r="N47" s="6">
        <f t="shared" si="22"/>
        <v>794.50000000000011</v>
      </c>
      <c r="O47" s="40"/>
      <c r="P47" s="9">
        <v>42064</v>
      </c>
      <c r="Q47" s="43"/>
      <c r="R47" s="43"/>
      <c r="S47" s="41"/>
      <c r="T47" s="41"/>
      <c r="U47" s="41">
        <v>8998834.8200000003</v>
      </c>
      <c r="V47" s="41">
        <v>59236706.719999991</v>
      </c>
      <c r="W47" s="41"/>
      <c r="X47" s="41"/>
      <c r="Y47" s="41"/>
      <c r="Z47" s="41">
        <v>1546057.5</v>
      </c>
      <c r="AA47" s="41"/>
      <c r="AB47" s="41"/>
      <c r="AC47" s="6">
        <f t="shared" si="23"/>
        <v>69781599.039999992</v>
      </c>
      <c r="AD47" s="40"/>
      <c r="AE47" s="9">
        <v>42064</v>
      </c>
      <c r="AF47" s="43"/>
      <c r="AG47" s="43"/>
      <c r="AH47" s="41"/>
      <c r="AI47" s="41"/>
      <c r="AJ47" s="41">
        <v>143199.5699939339</v>
      </c>
      <c r="AK47" s="41">
        <v>942084.94593317155</v>
      </c>
      <c r="AL47" s="41"/>
      <c r="AM47" s="41"/>
      <c r="AN47" s="41"/>
      <c r="AO47" s="41">
        <v>24618.75</v>
      </c>
      <c r="AP47" s="41"/>
      <c r="AQ47" s="41"/>
      <c r="AR47" s="6">
        <f t="shared" si="24"/>
        <v>1109903.2659271054</v>
      </c>
      <c r="AU47" s="92">
        <f t="shared" si="19"/>
        <v>1381.7817010122933</v>
      </c>
      <c r="AV47" s="92" t="e">
        <f t="shared" si="20"/>
        <v>#DIV/0!</v>
      </c>
      <c r="AW47" s="92" t="e">
        <f t="shared" si="21"/>
        <v>#DIV/0!</v>
      </c>
    </row>
    <row r="48" spans="1:49">
      <c r="A48" s="128" t="s">
        <v>4</v>
      </c>
      <c r="B48" s="91">
        <f>SUM(B36:B47)</f>
        <v>0</v>
      </c>
      <c r="C48" s="91">
        <f t="shared" ref="C48:M48" si="25">SUM(C36:C47)</f>
        <v>0</v>
      </c>
      <c r="D48" s="91">
        <f t="shared" si="25"/>
        <v>0</v>
      </c>
      <c r="E48" s="91">
        <f t="shared" si="25"/>
        <v>0</v>
      </c>
      <c r="F48" s="91">
        <f t="shared" si="25"/>
        <v>568.71999999999991</v>
      </c>
      <c r="G48" s="91">
        <f t="shared" si="25"/>
        <v>25215.180000000004</v>
      </c>
      <c r="H48" s="91">
        <f t="shared" si="25"/>
        <v>0</v>
      </c>
      <c r="I48" s="91">
        <f t="shared" si="25"/>
        <v>0</v>
      </c>
      <c r="J48" s="91">
        <f t="shared" si="25"/>
        <v>6.12</v>
      </c>
      <c r="K48" s="91">
        <f t="shared" si="25"/>
        <v>240</v>
      </c>
      <c r="L48" s="91">
        <f t="shared" si="25"/>
        <v>15</v>
      </c>
      <c r="M48" s="91">
        <f t="shared" si="25"/>
        <v>105</v>
      </c>
      <c r="N48" s="127">
        <f t="shared" si="22"/>
        <v>26150.020000000004</v>
      </c>
      <c r="O48" s="40"/>
      <c r="P48" s="128" t="s">
        <v>4</v>
      </c>
      <c r="Q48" s="91">
        <f>SUM(Q36:Q47)</f>
        <v>0</v>
      </c>
      <c r="R48" s="91">
        <f t="shared" ref="R48:AB48" si="26">SUM(R36:R47)</f>
        <v>0</v>
      </c>
      <c r="S48" s="91">
        <f t="shared" si="26"/>
        <v>0</v>
      </c>
      <c r="T48" s="91">
        <f t="shared" si="26"/>
        <v>0</v>
      </c>
      <c r="U48" s="91">
        <f t="shared" si="26"/>
        <v>57882384.259999998</v>
      </c>
      <c r="V48" s="91">
        <f t="shared" si="26"/>
        <v>2484012181.27</v>
      </c>
      <c r="W48" s="91">
        <f t="shared" si="26"/>
        <v>0</v>
      </c>
      <c r="X48" s="91">
        <f t="shared" si="26"/>
        <v>0</v>
      </c>
      <c r="Y48" s="91">
        <f t="shared" si="26"/>
        <v>731912.46</v>
      </c>
      <c r="Z48" s="91">
        <f t="shared" si="26"/>
        <v>27717273.459999997</v>
      </c>
      <c r="AA48" s="91">
        <f t="shared" si="26"/>
        <v>1478640</v>
      </c>
      <c r="AB48" s="91">
        <f t="shared" si="26"/>
        <v>10733472.01</v>
      </c>
      <c r="AC48" s="127">
        <f t="shared" si="23"/>
        <v>2582555863.4600005</v>
      </c>
      <c r="AD48" s="40"/>
      <c r="AE48" s="128" t="s">
        <v>4</v>
      </c>
      <c r="AF48" s="91">
        <f>SUM(AF36:AF47)</f>
        <v>0</v>
      </c>
      <c r="AG48" s="91">
        <f t="shared" ref="AG48:AQ48" si="27">SUM(AG36:AG47)</f>
        <v>0</v>
      </c>
      <c r="AH48" s="91">
        <f t="shared" si="27"/>
        <v>0</v>
      </c>
      <c r="AI48" s="91">
        <f t="shared" si="27"/>
        <v>0</v>
      </c>
      <c r="AJ48" s="91">
        <f t="shared" si="27"/>
        <v>931913.65571818966</v>
      </c>
      <c r="AK48" s="91">
        <f t="shared" si="27"/>
        <v>40538799.468376234</v>
      </c>
      <c r="AL48" s="91">
        <f t="shared" si="27"/>
        <v>0</v>
      </c>
      <c r="AM48" s="91">
        <f t="shared" si="27"/>
        <v>0</v>
      </c>
      <c r="AN48" s="91">
        <f t="shared" si="27"/>
        <v>11923.232639999998</v>
      </c>
      <c r="AO48" s="91">
        <f t="shared" si="27"/>
        <v>453367.70346165687</v>
      </c>
      <c r="AP48" s="91">
        <f t="shared" si="27"/>
        <v>24240</v>
      </c>
      <c r="AQ48" s="91">
        <f t="shared" si="27"/>
        <v>176697.77465028691</v>
      </c>
      <c r="AR48" s="127">
        <f t="shared" si="24"/>
        <v>42136941.83484637</v>
      </c>
      <c r="AU48" s="40"/>
      <c r="AV48" s="40"/>
      <c r="AW48" s="40"/>
    </row>
    <row r="49" spans="1:49">
      <c r="A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U49" s="40"/>
      <c r="AV49" s="40"/>
      <c r="AW49" s="40"/>
    </row>
    <row r="50" spans="1:49">
      <c r="A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U50" s="40"/>
      <c r="AV50" s="40"/>
      <c r="AW50" s="40"/>
    </row>
    <row r="51" spans="1:49">
      <c r="A51" s="25" t="s">
        <v>3</v>
      </c>
      <c r="B51" s="158" t="s">
        <v>133</v>
      </c>
      <c r="C51" s="158" t="s">
        <v>19</v>
      </c>
      <c r="D51" s="158" t="s">
        <v>17</v>
      </c>
      <c r="E51" s="158" t="s">
        <v>134</v>
      </c>
      <c r="F51" s="158" t="s">
        <v>10</v>
      </c>
      <c r="G51" s="158" t="s">
        <v>11</v>
      </c>
      <c r="H51" s="158" t="s">
        <v>12</v>
      </c>
      <c r="I51" s="158" t="s">
        <v>13</v>
      </c>
      <c r="J51" s="158" t="s">
        <v>14</v>
      </c>
      <c r="K51" s="158" t="s">
        <v>18</v>
      </c>
      <c r="L51" s="158" t="s">
        <v>15</v>
      </c>
      <c r="M51" s="158" t="s">
        <v>16</v>
      </c>
      <c r="N51" s="27" t="s">
        <v>20</v>
      </c>
      <c r="O51" s="40"/>
      <c r="P51" s="25" t="s">
        <v>3</v>
      </c>
      <c r="Q51" s="158" t="s">
        <v>133</v>
      </c>
      <c r="R51" s="158" t="s">
        <v>19</v>
      </c>
      <c r="S51" s="158" t="s">
        <v>17</v>
      </c>
      <c r="T51" s="158" t="s">
        <v>134</v>
      </c>
      <c r="U51" s="158" t="s">
        <v>10</v>
      </c>
      <c r="V51" s="158" t="s">
        <v>11</v>
      </c>
      <c r="W51" s="158" t="s">
        <v>12</v>
      </c>
      <c r="X51" s="158" t="s">
        <v>13</v>
      </c>
      <c r="Y51" s="158" t="s">
        <v>14</v>
      </c>
      <c r="Z51" s="158" t="s">
        <v>18</v>
      </c>
      <c r="AA51" s="158" t="s">
        <v>15</v>
      </c>
      <c r="AB51" s="158" t="s">
        <v>16</v>
      </c>
      <c r="AC51" s="27" t="s">
        <v>20</v>
      </c>
      <c r="AD51" s="40"/>
      <c r="AE51" s="25" t="s">
        <v>3</v>
      </c>
      <c r="AF51" s="158" t="s">
        <v>133</v>
      </c>
      <c r="AG51" s="158" t="s">
        <v>19</v>
      </c>
      <c r="AH51" s="158" t="s">
        <v>17</v>
      </c>
      <c r="AI51" s="158" t="s">
        <v>134</v>
      </c>
      <c r="AJ51" s="158" t="s">
        <v>10</v>
      </c>
      <c r="AK51" s="158" t="s">
        <v>11</v>
      </c>
      <c r="AL51" s="158" t="s">
        <v>12</v>
      </c>
      <c r="AM51" s="158" t="s">
        <v>13</v>
      </c>
      <c r="AN51" s="158" t="s">
        <v>14</v>
      </c>
      <c r="AO51" s="158" t="s">
        <v>18</v>
      </c>
      <c r="AP51" s="158" t="s">
        <v>15</v>
      </c>
      <c r="AQ51" s="158" t="s">
        <v>16</v>
      </c>
      <c r="AR51" s="27" t="s">
        <v>20</v>
      </c>
      <c r="AU51" s="40"/>
      <c r="AV51" s="40"/>
      <c r="AW51" s="40"/>
    </row>
    <row r="52" spans="1:49">
      <c r="A52" s="9">
        <v>41730</v>
      </c>
      <c r="B52" s="43"/>
      <c r="C52" s="43"/>
      <c r="D52" s="41"/>
      <c r="E52" s="41"/>
      <c r="F52" s="41"/>
      <c r="G52" s="41">
        <v>718.83000000000015</v>
      </c>
      <c r="H52" s="41">
        <v>260.22000000000003</v>
      </c>
      <c r="I52" s="41"/>
      <c r="J52" s="41"/>
      <c r="K52" s="41"/>
      <c r="L52" s="41"/>
      <c r="M52" s="41"/>
      <c r="N52" s="6">
        <f>SUM(B52:M52)</f>
        <v>979.05000000000018</v>
      </c>
      <c r="O52" s="40"/>
      <c r="P52" s="9">
        <v>41730</v>
      </c>
      <c r="Q52" s="43"/>
      <c r="R52" s="43"/>
      <c r="S52" s="41"/>
      <c r="T52" s="41"/>
      <c r="U52" s="41"/>
      <c r="V52" s="41">
        <v>87425478.350000009</v>
      </c>
      <c r="W52" s="41">
        <v>32913491.010000002</v>
      </c>
      <c r="X52" s="41"/>
      <c r="Y52" s="41"/>
      <c r="Z52" s="41"/>
      <c r="AA52" s="41"/>
      <c r="AB52" s="41"/>
      <c r="AC52" s="6">
        <f>SUM(Q52:AB52)</f>
        <v>120338969.36000001</v>
      </c>
      <c r="AD52" s="40"/>
      <c r="AE52" s="9">
        <v>41730</v>
      </c>
      <c r="AF52" s="43"/>
      <c r="AG52" s="43"/>
      <c r="AH52" s="41"/>
      <c r="AI52" s="41"/>
      <c r="AJ52" s="41"/>
      <c r="AK52" s="41">
        <v>1438517.7050013333</v>
      </c>
      <c r="AL52" s="41">
        <v>541340.31266447378</v>
      </c>
      <c r="AM52" s="41"/>
      <c r="AN52" s="41"/>
      <c r="AO52" s="41"/>
      <c r="AP52" s="41"/>
      <c r="AQ52" s="41"/>
      <c r="AR52" s="6">
        <f>SUM(AF52:AQ52)</f>
        <v>1979858.0176658072</v>
      </c>
      <c r="AU52" s="92">
        <f t="shared" ref="AU52:AU63" si="28">+AK52/G52</f>
        <v>2001.1931958896164</v>
      </c>
      <c r="AV52" s="92">
        <f t="shared" ref="AV52:AV63" si="29">+AL52/H52</f>
        <v>2080.3178566769416</v>
      </c>
      <c r="AW52" s="92" t="e">
        <f t="shared" ref="AW52:AW63" si="30">+AM52/I52</f>
        <v>#DIV/0!</v>
      </c>
    </row>
    <row r="53" spans="1:49">
      <c r="A53" s="9">
        <v>41760</v>
      </c>
      <c r="B53" s="43"/>
      <c r="C53" s="43"/>
      <c r="D53" s="41"/>
      <c r="E53" s="41"/>
      <c r="F53" s="41"/>
      <c r="G53" s="41">
        <v>920.17000000000007</v>
      </c>
      <c r="H53" s="41">
        <v>480.34000000000003</v>
      </c>
      <c r="I53" s="41">
        <v>132.34</v>
      </c>
      <c r="J53" s="41"/>
      <c r="K53" s="41"/>
      <c r="L53" s="41">
        <v>16</v>
      </c>
      <c r="M53" s="41"/>
      <c r="N53" s="6">
        <f t="shared" ref="N53:N64" si="31">SUM(B53:M53)</f>
        <v>1548.8500000000001</v>
      </c>
      <c r="O53" s="40"/>
      <c r="P53" s="9">
        <v>41760</v>
      </c>
      <c r="Q53" s="43"/>
      <c r="R53" s="43"/>
      <c r="S53" s="41"/>
      <c r="T53" s="41"/>
      <c r="U53" s="41"/>
      <c r="V53" s="41">
        <v>108283990.27000001</v>
      </c>
      <c r="W53" s="41">
        <v>56412199.439999998</v>
      </c>
      <c r="X53" s="41">
        <v>15865715.949999999</v>
      </c>
      <c r="Y53" s="41"/>
      <c r="Z53" s="41"/>
      <c r="AA53" s="41">
        <v>1622504.4</v>
      </c>
      <c r="AB53" s="41"/>
      <c r="AC53" s="6">
        <f t="shared" ref="AC53:AC64" si="32">SUM(Q53:AB53)</f>
        <v>182184410.06</v>
      </c>
      <c r="AD53" s="40"/>
      <c r="AE53" s="9">
        <v>41760</v>
      </c>
      <c r="AF53" s="43"/>
      <c r="AG53" s="43"/>
      <c r="AH53" s="41"/>
      <c r="AI53" s="41"/>
      <c r="AJ53" s="41"/>
      <c r="AK53" s="41">
        <v>1793450.3495781475</v>
      </c>
      <c r="AL53" s="41">
        <v>932212.44710992486</v>
      </c>
      <c r="AM53" s="41">
        <v>261659.79534588341</v>
      </c>
      <c r="AN53" s="41"/>
      <c r="AO53" s="41"/>
      <c r="AP53" s="41">
        <v>26663.999999999996</v>
      </c>
      <c r="AQ53" s="41"/>
      <c r="AR53" s="6">
        <f t="shared" ref="AR53:AR64" si="33">SUM(AF53:AQ53)</f>
        <v>3013986.5920339557</v>
      </c>
      <c r="AU53" s="92">
        <f t="shared" si="28"/>
        <v>1949.0424047492827</v>
      </c>
      <c r="AV53" s="92">
        <f t="shared" si="29"/>
        <v>1940.7345778197209</v>
      </c>
      <c r="AW53" s="92">
        <f t="shared" si="30"/>
        <v>1977.1784445056928</v>
      </c>
    </row>
    <row r="54" spans="1:49">
      <c r="A54" s="9">
        <v>41791</v>
      </c>
      <c r="B54" s="43"/>
      <c r="C54" s="43"/>
      <c r="D54" s="41"/>
      <c r="E54" s="41"/>
      <c r="F54" s="41"/>
      <c r="G54" s="41">
        <v>700.04</v>
      </c>
      <c r="H54" s="41">
        <v>540.47</v>
      </c>
      <c r="I54" s="41">
        <v>134.64000000000001</v>
      </c>
      <c r="J54" s="41"/>
      <c r="K54" s="41"/>
      <c r="L54" s="41"/>
      <c r="M54" s="41"/>
      <c r="N54" s="6">
        <f t="shared" si="31"/>
        <v>1375.15</v>
      </c>
      <c r="O54" s="40"/>
      <c r="P54" s="9">
        <v>41791</v>
      </c>
      <c r="Q54" s="43"/>
      <c r="R54" s="43"/>
      <c r="S54" s="41"/>
      <c r="T54" s="41"/>
      <c r="U54" s="41"/>
      <c r="V54" s="41">
        <v>78090478.659999996</v>
      </c>
      <c r="W54" s="41">
        <v>59135462.109999999</v>
      </c>
      <c r="X54" s="41">
        <v>15170375.390000001</v>
      </c>
      <c r="Y54" s="41"/>
      <c r="Z54" s="41"/>
      <c r="AA54" s="41"/>
      <c r="AB54" s="41"/>
      <c r="AC54" s="6">
        <f t="shared" si="32"/>
        <v>152396316.15999997</v>
      </c>
      <c r="AD54" s="40"/>
      <c r="AE54" s="9">
        <v>41791</v>
      </c>
      <c r="AF54" s="43"/>
      <c r="AG54" s="43"/>
      <c r="AH54" s="41"/>
      <c r="AI54" s="41"/>
      <c r="AJ54" s="41"/>
      <c r="AK54" s="41">
        <v>1300610.6762884904</v>
      </c>
      <c r="AL54" s="41">
        <v>983092.50230723515</v>
      </c>
      <c r="AM54" s="41">
        <v>253019.8969293728</v>
      </c>
      <c r="AN54" s="41"/>
      <c r="AO54" s="41"/>
      <c r="AP54" s="41"/>
      <c r="AQ54" s="41"/>
      <c r="AR54" s="6">
        <f t="shared" si="33"/>
        <v>2536723.0755250985</v>
      </c>
      <c r="AU54" s="92">
        <f t="shared" si="28"/>
        <v>1857.9090856072373</v>
      </c>
      <c r="AV54" s="92">
        <f t="shared" si="29"/>
        <v>1818.9585033530725</v>
      </c>
      <c r="AW54" s="92">
        <f t="shared" si="30"/>
        <v>1879.2327460589183</v>
      </c>
    </row>
    <row r="55" spans="1:49">
      <c r="A55" s="9">
        <v>41821</v>
      </c>
      <c r="B55" s="43"/>
      <c r="C55" s="43"/>
      <c r="D55" s="41"/>
      <c r="E55" s="41"/>
      <c r="F55" s="41"/>
      <c r="G55" s="41">
        <v>480</v>
      </c>
      <c r="H55" s="41">
        <v>100.06</v>
      </c>
      <c r="I55" s="41">
        <v>193.07</v>
      </c>
      <c r="J55" s="41"/>
      <c r="K55" s="41"/>
      <c r="L55" s="41"/>
      <c r="M55" s="41"/>
      <c r="N55" s="6">
        <f t="shared" si="31"/>
        <v>773.12999999999988</v>
      </c>
      <c r="O55" s="40"/>
      <c r="P55" s="9">
        <v>41821</v>
      </c>
      <c r="Q55" s="43"/>
      <c r="R55" s="43"/>
      <c r="S55" s="41"/>
      <c r="T55" s="41"/>
      <c r="U55" s="41"/>
      <c r="V55" s="41">
        <v>50364047.150000006</v>
      </c>
      <c r="W55" s="41">
        <v>10407961.66</v>
      </c>
      <c r="X55" s="41">
        <v>20539824.120000005</v>
      </c>
      <c r="Y55" s="41"/>
      <c r="Z55" s="41"/>
      <c r="AA55" s="41"/>
      <c r="AB55" s="41"/>
      <c r="AC55" s="6">
        <f t="shared" si="32"/>
        <v>81311832.930000007</v>
      </c>
      <c r="AD55" s="40"/>
      <c r="AE55" s="9">
        <v>41821</v>
      </c>
      <c r="AF55" s="43"/>
      <c r="AG55" s="43"/>
      <c r="AH55" s="41"/>
      <c r="AI55" s="41"/>
      <c r="AJ55" s="41"/>
      <c r="AK55" s="41">
        <v>833452.23211368639</v>
      </c>
      <c r="AL55" s="41">
        <v>171465.59571663922</v>
      </c>
      <c r="AM55" s="41">
        <v>340381.31679545622</v>
      </c>
      <c r="AN55" s="41"/>
      <c r="AO55" s="41"/>
      <c r="AP55" s="41"/>
      <c r="AQ55" s="41"/>
      <c r="AR55" s="6">
        <f t="shared" si="33"/>
        <v>1345299.1446257818</v>
      </c>
      <c r="AU55" s="92">
        <f t="shared" si="28"/>
        <v>1736.3588169035133</v>
      </c>
      <c r="AV55" s="92">
        <f t="shared" si="29"/>
        <v>1713.6277804980932</v>
      </c>
      <c r="AW55" s="92">
        <f t="shared" si="30"/>
        <v>1762.994337781407</v>
      </c>
    </row>
    <row r="56" spans="1:49">
      <c r="A56" s="9">
        <v>41852</v>
      </c>
      <c r="B56" s="43"/>
      <c r="C56" s="43"/>
      <c r="D56" s="41">
        <v>20.07</v>
      </c>
      <c r="E56" s="41"/>
      <c r="F56" s="41"/>
      <c r="G56" s="41">
        <v>479.87</v>
      </c>
      <c r="H56" s="41">
        <v>500.25000000000006</v>
      </c>
      <c r="I56" s="41"/>
      <c r="J56" s="41"/>
      <c r="K56" s="41"/>
      <c r="L56" s="41"/>
      <c r="M56" s="41"/>
      <c r="N56" s="6">
        <f t="shared" si="31"/>
        <v>1000.19</v>
      </c>
      <c r="O56" s="40"/>
      <c r="P56" s="9">
        <v>41852</v>
      </c>
      <c r="Q56" s="43"/>
      <c r="R56" s="43"/>
      <c r="S56" s="41">
        <v>3972201.98</v>
      </c>
      <c r="T56" s="41"/>
      <c r="U56" s="41"/>
      <c r="V56" s="41">
        <v>47882284.019999996</v>
      </c>
      <c r="W56" s="41">
        <v>49956120.370000005</v>
      </c>
      <c r="X56" s="41"/>
      <c r="Y56" s="41"/>
      <c r="Z56" s="41"/>
      <c r="AA56" s="41"/>
      <c r="AB56" s="41"/>
      <c r="AC56" s="6">
        <f t="shared" si="32"/>
        <v>101810606.37</v>
      </c>
      <c r="AD56" s="40"/>
      <c r="AE56" s="9">
        <v>41852</v>
      </c>
      <c r="AF56" s="43"/>
      <c r="AG56" s="43"/>
      <c r="AH56" s="41">
        <v>65439.900823723226</v>
      </c>
      <c r="AI56" s="41"/>
      <c r="AJ56" s="41"/>
      <c r="AK56" s="41">
        <v>775442.22180852282</v>
      </c>
      <c r="AL56" s="41">
        <v>810170.2477740827</v>
      </c>
      <c r="AM56" s="41"/>
      <c r="AN56" s="41"/>
      <c r="AO56" s="41"/>
      <c r="AP56" s="41"/>
      <c r="AQ56" s="41"/>
      <c r="AR56" s="6">
        <f t="shared" si="33"/>
        <v>1651052.3704063287</v>
      </c>
      <c r="AU56" s="92">
        <f t="shared" si="28"/>
        <v>1615.9422798018688</v>
      </c>
      <c r="AV56" s="92">
        <f t="shared" si="29"/>
        <v>1619.5307301830737</v>
      </c>
      <c r="AW56" s="92" t="e">
        <f t="shared" si="30"/>
        <v>#DIV/0!</v>
      </c>
    </row>
    <row r="57" spans="1:49">
      <c r="A57" s="9">
        <v>41883</v>
      </c>
      <c r="B57" s="43"/>
      <c r="C57" s="43"/>
      <c r="D57" s="41"/>
      <c r="E57" s="41"/>
      <c r="F57" s="41"/>
      <c r="G57" s="41">
        <v>39.99</v>
      </c>
      <c r="H57" s="41">
        <v>400.29</v>
      </c>
      <c r="I57" s="41">
        <v>98.699999999999989</v>
      </c>
      <c r="J57" s="41"/>
      <c r="K57" s="41"/>
      <c r="L57" s="41">
        <v>75</v>
      </c>
      <c r="M57" s="41"/>
      <c r="N57" s="6">
        <f t="shared" si="31"/>
        <v>613.98</v>
      </c>
      <c r="O57" s="40"/>
      <c r="P57" s="9">
        <v>41883</v>
      </c>
      <c r="Q57" s="43"/>
      <c r="R57" s="43"/>
      <c r="S57" s="41"/>
      <c r="T57" s="41"/>
      <c r="U57" s="41"/>
      <c r="V57" s="41">
        <v>4365411.08</v>
      </c>
      <c r="W57" s="41">
        <v>37877036.909999996</v>
      </c>
      <c r="X57" s="41">
        <v>9797177.129999999</v>
      </c>
      <c r="Y57" s="41"/>
      <c r="Z57" s="41"/>
      <c r="AA57" s="41">
        <v>7096464.5300000003</v>
      </c>
      <c r="AB57" s="41"/>
      <c r="AC57" s="6">
        <f t="shared" si="32"/>
        <v>59136089.649999991</v>
      </c>
      <c r="AD57" s="40"/>
      <c r="AE57" s="9">
        <v>41883</v>
      </c>
      <c r="AF57" s="43"/>
      <c r="AG57" s="43"/>
      <c r="AH57" s="41"/>
      <c r="AI57" s="41"/>
      <c r="AJ57" s="41"/>
      <c r="AK57" s="41">
        <v>71564.116065573777</v>
      </c>
      <c r="AL57" s="41">
        <v>617067.14606358262</v>
      </c>
      <c r="AM57" s="41">
        <v>160609.46114754098</v>
      </c>
      <c r="AN57" s="41"/>
      <c r="AO57" s="41"/>
      <c r="AP57" s="41">
        <v>116335.48409836067</v>
      </c>
      <c r="AQ57" s="41"/>
      <c r="AR57" s="6">
        <f t="shared" si="33"/>
        <v>965576.20737505797</v>
      </c>
      <c r="AU57" s="92">
        <f t="shared" si="28"/>
        <v>1789.5502892116472</v>
      </c>
      <c r="AV57" s="92">
        <f t="shared" si="29"/>
        <v>1541.5502412340618</v>
      </c>
      <c r="AW57" s="92">
        <f t="shared" si="30"/>
        <v>1627.2488464796454</v>
      </c>
    </row>
    <row r="58" spans="1:49">
      <c r="A58" s="9">
        <v>41913</v>
      </c>
      <c r="B58" s="43"/>
      <c r="C58" s="43"/>
      <c r="D58" s="41"/>
      <c r="E58" s="41"/>
      <c r="F58" s="41"/>
      <c r="G58" s="41">
        <v>239.95999999999998</v>
      </c>
      <c r="H58" s="41">
        <v>420.36</v>
      </c>
      <c r="I58" s="41">
        <v>79.099999999999994</v>
      </c>
      <c r="J58" s="41"/>
      <c r="K58" s="41"/>
      <c r="L58" s="41"/>
      <c r="M58" s="41"/>
      <c r="N58" s="6">
        <f t="shared" si="31"/>
        <v>739.42</v>
      </c>
      <c r="O58" s="40"/>
      <c r="P58" s="9">
        <v>41913</v>
      </c>
      <c r="Q58" s="43"/>
      <c r="R58" s="43"/>
      <c r="S58" s="41"/>
      <c r="T58" s="41"/>
      <c r="U58" s="41"/>
      <c r="V58" s="41">
        <v>21045995.010000002</v>
      </c>
      <c r="W58" s="41">
        <v>34800429.310000002</v>
      </c>
      <c r="X58" s="41">
        <v>6736121.4199999999</v>
      </c>
      <c r="Y58" s="41"/>
      <c r="Z58" s="41"/>
      <c r="AA58" s="41"/>
      <c r="AB58" s="41"/>
      <c r="AC58" s="6">
        <f t="shared" si="32"/>
        <v>62582545.74000001</v>
      </c>
      <c r="AD58" s="40"/>
      <c r="AE58" s="9">
        <v>41913</v>
      </c>
      <c r="AF58" s="43"/>
      <c r="AG58" s="43"/>
      <c r="AH58" s="41"/>
      <c r="AI58" s="41"/>
      <c r="AJ58" s="41"/>
      <c r="AK58" s="41">
        <v>338626.39139214868</v>
      </c>
      <c r="AL58" s="41">
        <v>560844.95261885575</v>
      </c>
      <c r="AM58" s="41">
        <v>108559.57163577761</v>
      </c>
      <c r="AN58" s="41"/>
      <c r="AO58" s="41"/>
      <c r="AP58" s="41"/>
      <c r="AQ58" s="41"/>
      <c r="AR58" s="6">
        <f t="shared" si="33"/>
        <v>1008030.915646782</v>
      </c>
      <c r="AU58" s="92">
        <f t="shared" si="28"/>
        <v>1411.1784938829335</v>
      </c>
      <c r="AV58" s="92">
        <f t="shared" si="29"/>
        <v>1334.201523976724</v>
      </c>
      <c r="AW58" s="92">
        <f t="shared" si="30"/>
        <v>1372.4345339542051</v>
      </c>
    </row>
    <row r="59" spans="1:49">
      <c r="A59" s="9">
        <v>41944</v>
      </c>
      <c r="B59" s="43"/>
      <c r="C59" s="43"/>
      <c r="D59" s="41"/>
      <c r="E59" s="41"/>
      <c r="F59" s="41"/>
      <c r="G59" s="41">
        <v>79.930000000000007</v>
      </c>
      <c r="H59" s="41">
        <v>400.38</v>
      </c>
      <c r="I59" s="41">
        <v>98.68</v>
      </c>
      <c r="J59" s="41"/>
      <c r="K59" s="41"/>
      <c r="L59" s="41"/>
      <c r="M59" s="41"/>
      <c r="N59" s="6">
        <f t="shared" si="31"/>
        <v>578.99</v>
      </c>
      <c r="O59" s="40"/>
      <c r="P59" s="9">
        <v>41944</v>
      </c>
      <c r="Q59" s="43"/>
      <c r="R59" s="43"/>
      <c r="S59" s="41"/>
      <c r="T59" s="41"/>
      <c r="U59" s="41"/>
      <c r="V59" s="41">
        <v>6461936.4500000002</v>
      </c>
      <c r="W59" s="41">
        <v>32217625.599999998</v>
      </c>
      <c r="X59" s="41">
        <v>8163961.4900000002</v>
      </c>
      <c r="Y59" s="41"/>
      <c r="Z59" s="41"/>
      <c r="AA59" s="41"/>
      <c r="AB59" s="41"/>
      <c r="AC59" s="6">
        <f t="shared" si="32"/>
        <v>46843523.539999999</v>
      </c>
      <c r="AD59" s="40"/>
      <c r="AE59" s="9">
        <v>41944</v>
      </c>
      <c r="AF59" s="43"/>
      <c r="AG59" s="43"/>
      <c r="AH59" s="41"/>
      <c r="AI59" s="41"/>
      <c r="AJ59" s="41"/>
      <c r="AK59" s="41">
        <v>104140.79693795327</v>
      </c>
      <c r="AL59" s="41">
        <v>517276.74398231064</v>
      </c>
      <c r="AM59" s="41">
        <v>131009.36327297971</v>
      </c>
      <c r="AN59" s="41"/>
      <c r="AO59" s="41"/>
      <c r="AP59" s="41"/>
      <c r="AQ59" s="41"/>
      <c r="AR59" s="6">
        <f t="shared" si="33"/>
        <v>752426.90419324359</v>
      </c>
      <c r="AU59" s="92">
        <f t="shared" si="28"/>
        <v>1302.8999992237366</v>
      </c>
      <c r="AV59" s="92">
        <f t="shared" si="29"/>
        <v>1291.9644936867742</v>
      </c>
      <c r="AW59" s="92">
        <f t="shared" si="30"/>
        <v>1327.6181928757569</v>
      </c>
    </row>
    <row r="60" spans="1:49">
      <c r="A60" s="9">
        <v>41974</v>
      </c>
      <c r="B60" s="43"/>
      <c r="C60" s="43"/>
      <c r="D60" s="41"/>
      <c r="E60" s="41"/>
      <c r="F60" s="41">
        <v>97.83</v>
      </c>
      <c r="G60" s="41">
        <v>99.97</v>
      </c>
      <c r="H60" s="41">
        <v>300.29000000000002</v>
      </c>
      <c r="I60" s="41">
        <v>98.69</v>
      </c>
      <c r="J60" s="41"/>
      <c r="K60" s="41"/>
      <c r="L60" s="41">
        <v>16</v>
      </c>
      <c r="M60" s="41"/>
      <c r="N60" s="6">
        <f t="shared" si="31"/>
        <v>612.78</v>
      </c>
      <c r="O60" s="40"/>
      <c r="P60" s="9">
        <v>41974</v>
      </c>
      <c r="Q60" s="43"/>
      <c r="R60" s="43"/>
      <c r="S60" s="41"/>
      <c r="T60" s="41"/>
      <c r="U60" s="41">
        <v>8138493.8399999999</v>
      </c>
      <c r="V60" s="41">
        <v>8180461.2599999998</v>
      </c>
      <c r="W60" s="41">
        <v>24472196.32</v>
      </c>
      <c r="X60" s="41">
        <v>8401421.1500000004</v>
      </c>
      <c r="Y60" s="41"/>
      <c r="Z60" s="41"/>
      <c r="AA60" s="41">
        <v>1375797.76</v>
      </c>
      <c r="AB60" s="41"/>
      <c r="AC60" s="6">
        <f t="shared" si="32"/>
        <v>50568370.329999998</v>
      </c>
      <c r="AD60" s="40"/>
      <c r="AE60" s="9">
        <v>41974</v>
      </c>
      <c r="AF60" s="43"/>
      <c r="AG60" s="43"/>
      <c r="AH60" s="41"/>
      <c r="AI60" s="41"/>
      <c r="AJ60" s="41">
        <v>127462.70696945967</v>
      </c>
      <c r="AK60" s="41">
        <v>130887.38016</v>
      </c>
      <c r="AL60" s="41">
        <v>391555.14112000004</v>
      </c>
      <c r="AM60" s="41">
        <v>134422.7384</v>
      </c>
      <c r="AN60" s="41"/>
      <c r="AO60" s="41"/>
      <c r="AP60" s="41">
        <v>22012.764159999999</v>
      </c>
      <c r="AQ60" s="41"/>
      <c r="AR60" s="6">
        <f t="shared" si="33"/>
        <v>806340.73080945981</v>
      </c>
      <c r="AU60" s="92">
        <f t="shared" si="28"/>
        <v>1309.2665815744724</v>
      </c>
      <c r="AV60" s="92">
        <f t="shared" si="29"/>
        <v>1303.9233445003165</v>
      </c>
      <c r="AW60" s="92">
        <f t="shared" si="30"/>
        <v>1362.0705076502179</v>
      </c>
    </row>
    <row r="61" spans="1:49">
      <c r="A61" s="9">
        <v>42005</v>
      </c>
      <c r="B61" s="43"/>
      <c r="C61" s="43"/>
      <c r="D61" s="41"/>
      <c r="E61" s="41"/>
      <c r="F61" s="41"/>
      <c r="G61" s="41"/>
      <c r="H61" s="41">
        <v>300.58</v>
      </c>
      <c r="I61" s="41"/>
      <c r="J61" s="41"/>
      <c r="K61" s="41"/>
      <c r="L61" s="41">
        <v>16</v>
      </c>
      <c r="M61" s="41"/>
      <c r="N61" s="6">
        <f t="shared" si="31"/>
        <v>316.58</v>
      </c>
      <c r="O61" s="40"/>
      <c r="P61" s="9">
        <v>42005</v>
      </c>
      <c r="Q61" s="43"/>
      <c r="R61" s="43"/>
      <c r="S61" s="41"/>
      <c r="T61" s="41"/>
      <c r="U61" s="41"/>
      <c r="V61" s="41"/>
      <c r="W61" s="41">
        <v>24849465.490000002</v>
      </c>
      <c r="X61" s="41"/>
      <c r="Y61" s="41"/>
      <c r="Z61" s="41"/>
      <c r="AA61" s="41">
        <v>1442053.76</v>
      </c>
      <c r="AB61" s="41"/>
      <c r="AC61" s="6">
        <f t="shared" si="32"/>
        <v>26291519.250000004</v>
      </c>
      <c r="AD61" s="40"/>
      <c r="AE61" s="9">
        <v>42005</v>
      </c>
      <c r="AF61" s="43"/>
      <c r="AG61" s="43"/>
      <c r="AH61" s="41"/>
      <c r="AI61" s="41"/>
      <c r="AJ61" s="41"/>
      <c r="AK61" s="41"/>
      <c r="AL61" s="41">
        <v>389185.05074393109</v>
      </c>
      <c r="AM61" s="41"/>
      <c r="AN61" s="41"/>
      <c r="AO61" s="41"/>
      <c r="AP61" s="41">
        <v>22585.023649177761</v>
      </c>
      <c r="AQ61" s="41"/>
      <c r="AR61" s="6">
        <f t="shared" si="33"/>
        <v>411770.07439310884</v>
      </c>
      <c r="AU61" s="92" t="e">
        <f t="shared" si="28"/>
        <v>#DIV/0!</v>
      </c>
      <c r="AV61" s="92">
        <f t="shared" si="29"/>
        <v>1294.7802606425282</v>
      </c>
      <c r="AW61" s="92" t="e">
        <f t="shared" si="30"/>
        <v>#DIV/0!</v>
      </c>
    </row>
    <row r="62" spans="1:49">
      <c r="A62" s="9">
        <v>42036</v>
      </c>
      <c r="B62" s="43"/>
      <c r="C62" s="43"/>
      <c r="D62" s="41"/>
      <c r="E62" s="41"/>
      <c r="F62" s="41"/>
      <c r="G62" s="41">
        <v>332.97</v>
      </c>
      <c r="H62" s="41">
        <v>701.32000000000016</v>
      </c>
      <c r="I62" s="41">
        <v>97.24</v>
      </c>
      <c r="J62" s="41"/>
      <c r="K62" s="41"/>
      <c r="L62" s="41"/>
      <c r="M62" s="41"/>
      <c r="N62" s="6">
        <f t="shared" si="31"/>
        <v>1131.5300000000002</v>
      </c>
      <c r="O62" s="40"/>
      <c r="P62" s="9">
        <v>42036</v>
      </c>
      <c r="Q62" s="43"/>
      <c r="R62" s="43"/>
      <c r="S62" s="41"/>
      <c r="T62" s="41"/>
      <c r="U62" s="41"/>
      <c r="V62" s="41">
        <v>27704625.400000002</v>
      </c>
      <c r="W62" s="41">
        <v>59212790.990000002</v>
      </c>
      <c r="X62" s="41">
        <v>8059694.5099999998</v>
      </c>
      <c r="Y62" s="41"/>
      <c r="Z62" s="41"/>
      <c r="AA62" s="41"/>
      <c r="AB62" s="41"/>
      <c r="AC62" s="6">
        <f t="shared" si="32"/>
        <v>94977110.900000006</v>
      </c>
      <c r="AD62" s="40"/>
      <c r="AE62" s="9">
        <v>42036</v>
      </c>
      <c r="AF62" s="43"/>
      <c r="AG62" s="43"/>
      <c r="AH62" s="41"/>
      <c r="AI62" s="41"/>
      <c r="AJ62" s="41"/>
      <c r="AK62" s="41">
        <v>442342.7264679005</v>
      </c>
      <c r="AL62" s="41">
        <v>946470.58462273364</v>
      </c>
      <c r="AM62" s="41">
        <v>129179.77124556788</v>
      </c>
      <c r="AN62" s="41"/>
      <c r="AO62" s="41"/>
      <c r="AP62" s="41"/>
      <c r="AQ62" s="41"/>
      <c r="AR62" s="6">
        <f t="shared" si="33"/>
        <v>1517993.082336202</v>
      </c>
      <c r="AU62" s="92">
        <f t="shared" si="28"/>
        <v>1328.4762184818467</v>
      </c>
      <c r="AV62" s="92">
        <f t="shared" si="29"/>
        <v>1349.5559582255366</v>
      </c>
      <c r="AW62" s="92">
        <f t="shared" si="30"/>
        <v>1328.4632995224999</v>
      </c>
    </row>
    <row r="63" spans="1:49">
      <c r="A63" s="9">
        <v>42064</v>
      </c>
      <c r="B63" s="43"/>
      <c r="C63" s="43"/>
      <c r="D63" s="41"/>
      <c r="E63" s="41"/>
      <c r="F63" s="41"/>
      <c r="G63" s="41">
        <v>450.05999999999995</v>
      </c>
      <c r="H63" s="41">
        <v>300.65999999999997</v>
      </c>
      <c r="I63" s="41"/>
      <c r="J63" s="41"/>
      <c r="K63" s="41"/>
      <c r="L63" s="41"/>
      <c r="M63" s="41"/>
      <c r="N63" s="6">
        <f t="shared" si="31"/>
        <v>750.71999999999991</v>
      </c>
      <c r="O63" s="40"/>
      <c r="P63" s="9">
        <v>42064</v>
      </c>
      <c r="Q63" s="43"/>
      <c r="R63" s="43"/>
      <c r="S63" s="41"/>
      <c r="T63" s="41"/>
      <c r="U63" s="41"/>
      <c r="V63" s="41">
        <v>38723968.68</v>
      </c>
      <c r="W63" s="41">
        <v>26981098.5</v>
      </c>
      <c r="X63" s="41"/>
      <c r="Y63" s="41"/>
      <c r="Z63" s="41"/>
      <c r="AA63" s="41"/>
      <c r="AB63" s="41"/>
      <c r="AC63" s="6">
        <f t="shared" si="32"/>
        <v>65705067.18</v>
      </c>
      <c r="AD63" s="40"/>
      <c r="AE63" s="9">
        <v>42064</v>
      </c>
      <c r="AF63" s="43"/>
      <c r="AG63" s="43"/>
      <c r="AH63" s="41"/>
      <c r="AI63" s="41"/>
      <c r="AJ63" s="41"/>
      <c r="AK63" s="41">
        <v>615523.88967900118</v>
      </c>
      <c r="AL63" s="41">
        <v>428711.15217369323</v>
      </c>
      <c r="AM63" s="41"/>
      <c r="AN63" s="41"/>
      <c r="AO63" s="41"/>
      <c r="AP63" s="41"/>
      <c r="AQ63" s="41"/>
      <c r="AR63" s="6">
        <f t="shared" si="33"/>
        <v>1044235.0418526945</v>
      </c>
      <c r="AU63" s="92">
        <f t="shared" si="28"/>
        <v>1367.6485128182937</v>
      </c>
      <c r="AV63" s="92">
        <f t="shared" si="29"/>
        <v>1425.9001934866403</v>
      </c>
      <c r="AW63" s="92" t="e">
        <f t="shared" si="30"/>
        <v>#DIV/0!</v>
      </c>
    </row>
    <row r="64" spans="1:49">
      <c r="A64" s="128" t="s">
        <v>4</v>
      </c>
      <c r="B64" s="91">
        <f>SUM(B52:B63)</f>
        <v>0</v>
      </c>
      <c r="C64" s="91">
        <f t="shared" ref="C64:M64" si="34">SUM(C52:C63)</f>
        <v>0</v>
      </c>
      <c r="D64" s="91">
        <f t="shared" si="34"/>
        <v>20.07</v>
      </c>
      <c r="E64" s="91">
        <f t="shared" si="34"/>
        <v>0</v>
      </c>
      <c r="F64" s="91">
        <f t="shared" si="34"/>
        <v>97.83</v>
      </c>
      <c r="G64" s="91">
        <f t="shared" si="34"/>
        <v>4541.7899999999991</v>
      </c>
      <c r="H64" s="91">
        <f t="shared" si="34"/>
        <v>4705.22</v>
      </c>
      <c r="I64" s="91">
        <f t="shared" si="34"/>
        <v>932.46</v>
      </c>
      <c r="J64" s="91">
        <f t="shared" si="34"/>
        <v>0</v>
      </c>
      <c r="K64" s="91">
        <f t="shared" si="34"/>
        <v>0</v>
      </c>
      <c r="L64" s="91">
        <f t="shared" si="34"/>
        <v>123</v>
      </c>
      <c r="M64" s="91">
        <f t="shared" si="34"/>
        <v>0</v>
      </c>
      <c r="N64" s="127">
        <f t="shared" si="31"/>
        <v>10420.369999999999</v>
      </c>
      <c r="O64" s="40"/>
      <c r="P64" s="128" t="s">
        <v>4</v>
      </c>
      <c r="Q64" s="91">
        <f>SUM(Q52:Q63)</f>
        <v>0</v>
      </c>
      <c r="R64" s="91">
        <f t="shared" ref="R64:AB64" si="35">SUM(R52:R63)</f>
        <v>0</v>
      </c>
      <c r="S64" s="91">
        <f t="shared" si="35"/>
        <v>3972201.98</v>
      </c>
      <c r="T64" s="91">
        <f t="shared" si="35"/>
        <v>0</v>
      </c>
      <c r="U64" s="91">
        <f t="shared" si="35"/>
        <v>8138493.8399999999</v>
      </c>
      <c r="V64" s="91">
        <f t="shared" si="35"/>
        <v>478528676.32999986</v>
      </c>
      <c r="W64" s="91">
        <f t="shared" si="35"/>
        <v>449235877.71000004</v>
      </c>
      <c r="X64" s="91">
        <f t="shared" si="35"/>
        <v>92734291.160000011</v>
      </c>
      <c r="Y64" s="91">
        <f t="shared" si="35"/>
        <v>0</v>
      </c>
      <c r="Z64" s="91">
        <f t="shared" si="35"/>
        <v>0</v>
      </c>
      <c r="AA64" s="91">
        <f t="shared" si="35"/>
        <v>11536820.449999999</v>
      </c>
      <c r="AB64" s="91">
        <f t="shared" si="35"/>
        <v>0</v>
      </c>
      <c r="AC64" s="127">
        <f t="shared" si="32"/>
        <v>1044146361.4699999</v>
      </c>
      <c r="AD64" s="40"/>
      <c r="AE64" s="128" t="s">
        <v>4</v>
      </c>
      <c r="AF64" s="91">
        <f>SUM(AF52:AF63)</f>
        <v>0</v>
      </c>
      <c r="AG64" s="91">
        <f t="shared" ref="AG64:AQ64" si="36">SUM(AG52:AG63)</f>
        <v>0</v>
      </c>
      <c r="AH64" s="91">
        <f t="shared" si="36"/>
        <v>65439.900823723226</v>
      </c>
      <c r="AI64" s="91">
        <f t="shared" si="36"/>
        <v>0</v>
      </c>
      <c r="AJ64" s="91">
        <f t="shared" si="36"/>
        <v>127462.70696945967</v>
      </c>
      <c r="AK64" s="91">
        <f t="shared" si="36"/>
        <v>7844558.4854927585</v>
      </c>
      <c r="AL64" s="91">
        <f t="shared" si="36"/>
        <v>7289391.8768974617</v>
      </c>
      <c r="AM64" s="91">
        <f t="shared" si="36"/>
        <v>1518841.9147725783</v>
      </c>
      <c r="AN64" s="91">
        <f t="shared" si="36"/>
        <v>0</v>
      </c>
      <c r="AO64" s="91">
        <f t="shared" si="36"/>
        <v>0</v>
      </c>
      <c r="AP64" s="91">
        <f t="shared" si="36"/>
        <v>187597.27190753841</v>
      </c>
      <c r="AQ64" s="91">
        <f t="shared" si="36"/>
        <v>0</v>
      </c>
      <c r="AR64" s="127">
        <f t="shared" si="33"/>
        <v>17033292.156863518</v>
      </c>
      <c r="AU64" s="40"/>
      <c r="AV64" s="40"/>
      <c r="AW64" s="40"/>
    </row>
    <row r="65" spans="1:49">
      <c r="A65" s="29"/>
      <c r="B65" s="29"/>
      <c r="C65" s="29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40"/>
      <c r="P65" s="29"/>
      <c r="Q65" s="29"/>
      <c r="R65" s="29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40"/>
      <c r="AE65" s="29"/>
      <c r="AF65" s="29"/>
      <c r="AG65" s="29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U65" s="40"/>
      <c r="AV65" s="40"/>
      <c r="AW65" s="40"/>
    </row>
    <row r="66" spans="1:49">
      <c r="A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U66" s="40"/>
      <c r="AV66" s="40"/>
      <c r="AW66" s="40"/>
    </row>
    <row r="67" spans="1:49" s="40" customFormat="1">
      <c r="A67" s="25" t="s">
        <v>108</v>
      </c>
      <c r="B67" s="158" t="s">
        <v>133</v>
      </c>
      <c r="C67" s="158" t="s">
        <v>19</v>
      </c>
      <c r="D67" s="158" t="s">
        <v>17</v>
      </c>
      <c r="E67" s="158" t="s">
        <v>134</v>
      </c>
      <c r="F67" s="158" t="s">
        <v>10</v>
      </c>
      <c r="G67" s="158" t="s">
        <v>11</v>
      </c>
      <c r="H67" s="158" t="s">
        <v>12</v>
      </c>
      <c r="I67" s="158" t="s">
        <v>13</v>
      </c>
      <c r="J67" s="158" t="s">
        <v>14</v>
      </c>
      <c r="K67" s="158" t="s">
        <v>18</v>
      </c>
      <c r="L67" s="158" t="s">
        <v>15</v>
      </c>
      <c r="M67" s="158" t="s">
        <v>16</v>
      </c>
      <c r="N67" s="27" t="s">
        <v>20</v>
      </c>
      <c r="P67" s="25" t="s">
        <v>108</v>
      </c>
      <c r="Q67" s="158" t="s">
        <v>133</v>
      </c>
      <c r="R67" s="158" t="s">
        <v>19</v>
      </c>
      <c r="S67" s="158" t="s">
        <v>17</v>
      </c>
      <c r="T67" s="158" t="s">
        <v>134</v>
      </c>
      <c r="U67" s="158" t="s">
        <v>10</v>
      </c>
      <c r="V67" s="158" t="s">
        <v>11</v>
      </c>
      <c r="W67" s="158" t="s">
        <v>12</v>
      </c>
      <c r="X67" s="158" t="s">
        <v>13</v>
      </c>
      <c r="Y67" s="158" t="s">
        <v>14</v>
      </c>
      <c r="Z67" s="158" t="s">
        <v>18</v>
      </c>
      <c r="AA67" s="158" t="s">
        <v>15</v>
      </c>
      <c r="AB67" s="158" t="s">
        <v>16</v>
      </c>
      <c r="AC67" s="27" t="s">
        <v>20</v>
      </c>
      <c r="AE67" s="25" t="s">
        <v>108</v>
      </c>
      <c r="AF67" s="158" t="s">
        <v>133</v>
      </c>
      <c r="AG67" s="158" t="s">
        <v>19</v>
      </c>
      <c r="AH67" s="158" t="s">
        <v>17</v>
      </c>
      <c r="AI67" s="158" t="s">
        <v>134</v>
      </c>
      <c r="AJ67" s="158" t="s">
        <v>10</v>
      </c>
      <c r="AK67" s="158" t="s">
        <v>11</v>
      </c>
      <c r="AL67" s="158" t="s">
        <v>12</v>
      </c>
      <c r="AM67" s="158" t="s">
        <v>13</v>
      </c>
      <c r="AN67" s="158" t="s">
        <v>14</v>
      </c>
      <c r="AO67" s="158" t="s">
        <v>18</v>
      </c>
      <c r="AP67" s="158" t="s">
        <v>15</v>
      </c>
      <c r="AQ67" s="158" t="s">
        <v>16</v>
      </c>
      <c r="AR67" s="27" t="s">
        <v>20</v>
      </c>
    </row>
    <row r="68" spans="1:49" s="40" customFormat="1">
      <c r="A68" s="9">
        <v>41730</v>
      </c>
      <c r="B68" s="43"/>
      <c r="C68" s="43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6">
        <f>SUM(B68:M68)</f>
        <v>0</v>
      </c>
      <c r="P68" s="9">
        <v>41730</v>
      </c>
      <c r="Q68" s="43"/>
      <c r="R68" s="43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6">
        <f>SUM(Q68:AB68)</f>
        <v>0</v>
      </c>
      <c r="AE68" s="9">
        <v>41730</v>
      </c>
      <c r="AF68" s="43"/>
      <c r="AG68" s="43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6">
        <f>SUM(AF68:AQ68)</f>
        <v>0</v>
      </c>
      <c r="AU68" s="92" t="e">
        <f t="shared" ref="AU68:AU79" si="37">+AK68/G68</f>
        <v>#DIV/0!</v>
      </c>
      <c r="AV68" s="92" t="e">
        <f t="shared" ref="AV68:AV79" si="38">+AL68/H68</f>
        <v>#DIV/0!</v>
      </c>
      <c r="AW68" s="92" t="e">
        <f t="shared" ref="AW68:AW79" si="39">+AM68/I68</f>
        <v>#DIV/0!</v>
      </c>
    </row>
    <row r="69" spans="1:49" s="40" customFormat="1">
      <c r="A69" s="9">
        <v>41760</v>
      </c>
      <c r="B69" s="43"/>
      <c r="C69" s="43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6">
        <f t="shared" ref="N69:N80" si="40">SUM(B69:M69)</f>
        <v>0</v>
      </c>
      <c r="P69" s="9">
        <v>41760</v>
      </c>
      <c r="Q69" s="43"/>
      <c r="R69" s="43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6">
        <f t="shared" ref="AC69:AC80" si="41">SUM(Q69:AB69)</f>
        <v>0</v>
      </c>
      <c r="AE69" s="9">
        <v>41760</v>
      </c>
      <c r="AF69" s="43"/>
      <c r="AG69" s="43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6">
        <f t="shared" ref="AR69:AR80" si="42">SUM(AF69:AQ69)</f>
        <v>0</v>
      </c>
      <c r="AU69" s="92" t="e">
        <f t="shared" si="37"/>
        <v>#DIV/0!</v>
      </c>
      <c r="AV69" s="92" t="e">
        <f t="shared" si="38"/>
        <v>#DIV/0!</v>
      </c>
      <c r="AW69" s="92" t="e">
        <f t="shared" si="39"/>
        <v>#DIV/0!</v>
      </c>
    </row>
    <row r="70" spans="1:49" s="40" customFormat="1">
      <c r="A70" s="9">
        <v>41791</v>
      </c>
      <c r="B70" s="43"/>
      <c r="C70" s="43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6">
        <f t="shared" si="40"/>
        <v>0</v>
      </c>
      <c r="P70" s="9">
        <v>41791</v>
      </c>
      <c r="Q70" s="43"/>
      <c r="R70" s="43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6">
        <f t="shared" si="41"/>
        <v>0</v>
      </c>
      <c r="AE70" s="9">
        <v>41791</v>
      </c>
      <c r="AF70" s="43"/>
      <c r="AG70" s="43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6">
        <f t="shared" si="42"/>
        <v>0</v>
      </c>
      <c r="AU70" s="92" t="e">
        <f t="shared" si="37"/>
        <v>#DIV/0!</v>
      </c>
      <c r="AV70" s="92" t="e">
        <f t="shared" si="38"/>
        <v>#DIV/0!</v>
      </c>
      <c r="AW70" s="92" t="e">
        <f t="shared" si="39"/>
        <v>#DIV/0!</v>
      </c>
    </row>
    <row r="71" spans="1:49" s="40" customFormat="1">
      <c r="A71" s="9">
        <v>41821</v>
      </c>
      <c r="B71" s="43"/>
      <c r="C71" s="43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6">
        <f t="shared" si="40"/>
        <v>0</v>
      </c>
      <c r="P71" s="9">
        <v>41821</v>
      </c>
      <c r="Q71" s="43"/>
      <c r="R71" s="43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6">
        <f t="shared" si="41"/>
        <v>0</v>
      </c>
      <c r="AE71" s="9">
        <v>41821</v>
      </c>
      <c r="AF71" s="43"/>
      <c r="AG71" s="43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6">
        <f t="shared" si="42"/>
        <v>0</v>
      </c>
      <c r="AU71" s="92" t="e">
        <f t="shared" si="37"/>
        <v>#DIV/0!</v>
      </c>
      <c r="AV71" s="92" t="e">
        <f t="shared" si="38"/>
        <v>#DIV/0!</v>
      </c>
      <c r="AW71" s="92" t="e">
        <f t="shared" si="39"/>
        <v>#DIV/0!</v>
      </c>
    </row>
    <row r="72" spans="1:49" s="40" customFormat="1">
      <c r="A72" s="9">
        <v>41852</v>
      </c>
      <c r="B72" s="43"/>
      <c r="C72" s="43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6">
        <f t="shared" si="40"/>
        <v>0</v>
      </c>
      <c r="P72" s="9">
        <v>41852</v>
      </c>
      <c r="Q72" s="43"/>
      <c r="R72" s="43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6">
        <f t="shared" si="41"/>
        <v>0</v>
      </c>
      <c r="AE72" s="9">
        <v>41852</v>
      </c>
      <c r="AF72" s="43"/>
      <c r="AG72" s="43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6">
        <f t="shared" si="42"/>
        <v>0</v>
      </c>
      <c r="AU72" s="92" t="e">
        <f t="shared" si="37"/>
        <v>#DIV/0!</v>
      </c>
      <c r="AV72" s="92" t="e">
        <f t="shared" si="38"/>
        <v>#DIV/0!</v>
      </c>
      <c r="AW72" s="92" t="e">
        <f t="shared" si="39"/>
        <v>#DIV/0!</v>
      </c>
    </row>
    <row r="73" spans="1:49" s="40" customFormat="1">
      <c r="A73" s="9">
        <v>41883</v>
      </c>
      <c r="B73" s="43"/>
      <c r="C73" s="43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6">
        <f t="shared" si="40"/>
        <v>0</v>
      </c>
      <c r="P73" s="9">
        <v>41883</v>
      </c>
      <c r="Q73" s="43"/>
      <c r="R73" s="43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6">
        <f t="shared" si="41"/>
        <v>0</v>
      </c>
      <c r="AE73" s="9">
        <v>41883</v>
      </c>
      <c r="AF73" s="43"/>
      <c r="AG73" s="43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6">
        <f t="shared" si="42"/>
        <v>0</v>
      </c>
      <c r="AU73" s="92" t="e">
        <f t="shared" si="37"/>
        <v>#DIV/0!</v>
      </c>
      <c r="AV73" s="92" t="e">
        <f t="shared" si="38"/>
        <v>#DIV/0!</v>
      </c>
      <c r="AW73" s="92" t="e">
        <f t="shared" si="39"/>
        <v>#DIV/0!</v>
      </c>
    </row>
    <row r="74" spans="1:49" s="40" customFormat="1">
      <c r="A74" s="9">
        <v>41913</v>
      </c>
      <c r="B74" s="43"/>
      <c r="C74" s="43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6">
        <f t="shared" si="40"/>
        <v>0</v>
      </c>
      <c r="P74" s="9">
        <v>41913</v>
      </c>
      <c r="Q74" s="43"/>
      <c r="R74" s="43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6">
        <f t="shared" si="41"/>
        <v>0</v>
      </c>
      <c r="AE74" s="9">
        <v>41913</v>
      </c>
      <c r="AF74" s="43"/>
      <c r="AG74" s="43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6">
        <f t="shared" si="42"/>
        <v>0</v>
      </c>
      <c r="AU74" s="92" t="e">
        <f t="shared" si="37"/>
        <v>#DIV/0!</v>
      </c>
      <c r="AV74" s="92" t="e">
        <f t="shared" si="38"/>
        <v>#DIV/0!</v>
      </c>
      <c r="AW74" s="92" t="e">
        <f t="shared" si="39"/>
        <v>#DIV/0!</v>
      </c>
    </row>
    <row r="75" spans="1:49" s="40" customFormat="1">
      <c r="A75" s="9">
        <v>41944</v>
      </c>
      <c r="B75" s="43"/>
      <c r="C75" s="43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6">
        <f t="shared" si="40"/>
        <v>0</v>
      </c>
      <c r="P75" s="9">
        <v>41944</v>
      </c>
      <c r="Q75" s="43"/>
      <c r="R75" s="43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6">
        <f t="shared" si="41"/>
        <v>0</v>
      </c>
      <c r="AE75" s="9">
        <v>41944</v>
      </c>
      <c r="AF75" s="43"/>
      <c r="AG75" s="43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6">
        <f t="shared" si="42"/>
        <v>0</v>
      </c>
      <c r="AU75" s="92" t="e">
        <f t="shared" si="37"/>
        <v>#DIV/0!</v>
      </c>
      <c r="AV75" s="92" t="e">
        <f t="shared" si="38"/>
        <v>#DIV/0!</v>
      </c>
      <c r="AW75" s="92" t="e">
        <f t="shared" si="39"/>
        <v>#DIV/0!</v>
      </c>
    </row>
    <row r="76" spans="1:49" s="40" customFormat="1">
      <c r="A76" s="9">
        <v>41974</v>
      </c>
      <c r="B76" s="43"/>
      <c r="C76" s="43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6">
        <f t="shared" si="40"/>
        <v>0</v>
      </c>
      <c r="P76" s="9">
        <v>41974</v>
      </c>
      <c r="Q76" s="43"/>
      <c r="R76" s="43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6">
        <f t="shared" si="41"/>
        <v>0</v>
      </c>
      <c r="AE76" s="9">
        <v>41974</v>
      </c>
      <c r="AF76" s="43"/>
      <c r="AG76" s="43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6">
        <f t="shared" si="42"/>
        <v>0</v>
      </c>
      <c r="AU76" s="92" t="e">
        <f t="shared" si="37"/>
        <v>#DIV/0!</v>
      </c>
      <c r="AV76" s="92" t="e">
        <f t="shared" si="38"/>
        <v>#DIV/0!</v>
      </c>
      <c r="AW76" s="92" t="e">
        <f t="shared" si="39"/>
        <v>#DIV/0!</v>
      </c>
    </row>
    <row r="77" spans="1:49" s="40" customFormat="1">
      <c r="A77" s="9">
        <v>42005</v>
      </c>
      <c r="B77" s="43"/>
      <c r="C77" s="43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6">
        <f t="shared" si="40"/>
        <v>0</v>
      </c>
      <c r="P77" s="9">
        <v>42005</v>
      </c>
      <c r="Q77" s="43"/>
      <c r="R77" s="43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6">
        <f t="shared" si="41"/>
        <v>0</v>
      </c>
      <c r="AE77" s="9">
        <v>42005</v>
      </c>
      <c r="AF77" s="43"/>
      <c r="AG77" s="43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6">
        <f t="shared" si="42"/>
        <v>0</v>
      </c>
      <c r="AU77" s="92" t="e">
        <f t="shared" si="37"/>
        <v>#DIV/0!</v>
      </c>
      <c r="AV77" s="92" t="e">
        <f t="shared" si="38"/>
        <v>#DIV/0!</v>
      </c>
      <c r="AW77" s="92" t="e">
        <f t="shared" si="39"/>
        <v>#DIV/0!</v>
      </c>
    </row>
    <row r="78" spans="1:49" s="40" customFormat="1">
      <c r="A78" s="9">
        <v>42036</v>
      </c>
      <c r="B78" s="43"/>
      <c r="C78" s="43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6">
        <f t="shared" si="40"/>
        <v>0</v>
      </c>
      <c r="P78" s="9">
        <v>42036</v>
      </c>
      <c r="Q78" s="43"/>
      <c r="R78" s="43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6">
        <f t="shared" si="41"/>
        <v>0</v>
      </c>
      <c r="AE78" s="9">
        <v>42036</v>
      </c>
      <c r="AF78" s="43"/>
      <c r="AG78" s="43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6">
        <f t="shared" si="42"/>
        <v>0</v>
      </c>
      <c r="AU78" s="92" t="e">
        <f t="shared" si="37"/>
        <v>#DIV/0!</v>
      </c>
      <c r="AV78" s="92" t="e">
        <f t="shared" si="38"/>
        <v>#DIV/0!</v>
      </c>
      <c r="AW78" s="92" t="e">
        <f t="shared" si="39"/>
        <v>#DIV/0!</v>
      </c>
    </row>
    <row r="79" spans="1:49" s="40" customFormat="1">
      <c r="A79" s="9">
        <v>42064</v>
      </c>
      <c r="B79" s="43"/>
      <c r="C79" s="43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6">
        <f t="shared" si="40"/>
        <v>0</v>
      </c>
      <c r="P79" s="9">
        <v>42064</v>
      </c>
      <c r="Q79" s="43"/>
      <c r="R79" s="43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6">
        <f t="shared" si="41"/>
        <v>0</v>
      </c>
      <c r="AE79" s="9">
        <v>42064</v>
      </c>
      <c r="AF79" s="43"/>
      <c r="AG79" s="43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6">
        <f t="shared" si="42"/>
        <v>0</v>
      </c>
      <c r="AU79" s="92" t="e">
        <f t="shared" si="37"/>
        <v>#DIV/0!</v>
      </c>
      <c r="AV79" s="92" t="e">
        <f t="shared" si="38"/>
        <v>#DIV/0!</v>
      </c>
      <c r="AW79" s="92" t="e">
        <f t="shared" si="39"/>
        <v>#DIV/0!</v>
      </c>
    </row>
    <row r="80" spans="1:49" s="40" customFormat="1">
      <c r="A80" s="128" t="s">
        <v>4</v>
      </c>
      <c r="B80" s="91">
        <f>SUM(B68:B79)</f>
        <v>0</v>
      </c>
      <c r="C80" s="91">
        <f t="shared" ref="C80:M80" si="43">SUM(C68:C79)</f>
        <v>0</v>
      </c>
      <c r="D80" s="91">
        <f t="shared" si="43"/>
        <v>0</v>
      </c>
      <c r="E80" s="91">
        <f t="shared" si="43"/>
        <v>0</v>
      </c>
      <c r="F80" s="91">
        <f t="shared" si="43"/>
        <v>0</v>
      </c>
      <c r="G80" s="91">
        <f t="shared" si="43"/>
        <v>0</v>
      </c>
      <c r="H80" s="91">
        <f t="shared" si="43"/>
        <v>0</v>
      </c>
      <c r="I80" s="91">
        <f t="shared" si="43"/>
        <v>0</v>
      </c>
      <c r="J80" s="91">
        <f t="shared" si="43"/>
        <v>0</v>
      </c>
      <c r="K80" s="91">
        <f t="shared" si="43"/>
        <v>0</v>
      </c>
      <c r="L80" s="91">
        <f t="shared" si="43"/>
        <v>0</v>
      </c>
      <c r="M80" s="91">
        <f t="shared" si="43"/>
        <v>0</v>
      </c>
      <c r="N80" s="127">
        <f t="shared" si="40"/>
        <v>0</v>
      </c>
      <c r="P80" s="128" t="s">
        <v>4</v>
      </c>
      <c r="Q80" s="91">
        <f>SUM(Q68:Q79)</f>
        <v>0</v>
      </c>
      <c r="R80" s="91">
        <f t="shared" ref="R80:AB80" si="44">SUM(R68:R79)</f>
        <v>0</v>
      </c>
      <c r="S80" s="91">
        <f t="shared" si="44"/>
        <v>0</v>
      </c>
      <c r="T80" s="91">
        <f t="shared" si="44"/>
        <v>0</v>
      </c>
      <c r="U80" s="91">
        <f t="shared" si="44"/>
        <v>0</v>
      </c>
      <c r="V80" s="91">
        <f t="shared" si="44"/>
        <v>0</v>
      </c>
      <c r="W80" s="91">
        <f t="shared" si="44"/>
        <v>0</v>
      </c>
      <c r="X80" s="91">
        <f t="shared" si="44"/>
        <v>0</v>
      </c>
      <c r="Y80" s="91">
        <f t="shared" si="44"/>
        <v>0</v>
      </c>
      <c r="Z80" s="91">
        <f t="shared" si="44"/>
        <v>0</v>
      </c>
      <c r="AA80" s="91">
        <f t="shared" si="44"/>
        <v>0</v>
      </c>
      <c r="AB80" s="91">
        <f t="shared" si="44"/>
        <v>0</v>
      </c>
      <c r="AC80" s="127">
        <f t="shared" si="41"/>
        <v>0</v>
      </c>
      <c r="AE80" s="128" t="s">
        <v>4</v>
      </c>
      <c r="AF80" s="91">
        <f>SUM(AF68:AF79)</f>
        <v>0</v>
      </c>
      <c r="AG80" s="91">
        <f t="shared" ref="AG80:AQ80" si="45">SUM(AG68:AG79)</f>
        <v>0</v>
      </c>
      <c r="AH80" s="91">
        <f t="shared" si="45"/>
        <v>0</v>
      </c>
      <c r="AI80" s="91">
        <f t="shared" si="45"/>
        <v>0</v>
      </c>
      <c r="AJ80" s="91">
        <f t="shared" si="45"/>
        <v>0</v>
      </c>
      <c r="AK80" s="91">
        <f t="shared" si="45"/>
        <v>0</v>
      </c>
      <c r="AL80" s="91">
        <f t="shared" si="45"/>
        <v>0</v>
      </c>
      <c r="AM80" s="91">
        <f t="shared" si="45"/>
        <v>0</v>
      </c>
      <c r="AN80" s="91">
        <f t="shared" si="45"/>
        <v>0</v>
      </c>
      <c r="AO80" s="91">
        <f t="shared" si="45"/>
        <v>0</v>
      </c>
      <c r="AP80" s="91">
        <f t="shared" si="45"/>
        <v>0</v>
      </c>
      <c r="AQ80" s="91">
        <f t="shared" si="45"/>
        <v>0</v>
      </c>
      <c r="AR80" s="127">
        <f t="shared" si="42"/>
        <v>0</v>
      </c>
    </row>
    <row r="81" spans="1:49" s="40" customFormat="1"/>
    <row r="82" spans="1:49" s="40" customFormat="1"/>
    <row r="83" spans="1:49">
      <c r="A83" s="25" t="s">
        <v>2</v>
      </c>
      <c r="B83" s="158" t="s">
        <v>133</v>
      </c>
      <c r="C83" s="158" t="s">
        <v>19</v>
      </c>
      <c r="D83" s="158" t="s">
        <v>17</v>
      </c>
      <c r="E83" s="158" t="s">
        <v>134</v>
      </c>
      <c r="F83" s="158" t="s">
        <v>10</v>
      </c>
      <c r="G83" s="158" t="s">
        <v>11</v>
      </c>
      <c r="H83" s="158" t="s">
        <v>12</v>
      </c>
      <c r="I83" s="158" t="s">
        <v>13</v>
      </c>
      <c r="J83" s="158" t="s">
        <v>14</v>
      </c>
      <c r="K83" s="158" t="s">
        <v>18</v>
      </c>
      <c r="L83" s="158" t="s">
        <v>15</v>
      </c>
      <c r="M83" s="158" t="s">
        <v>16</v>
      </c>
      <c r="N83" s="27" t="s">
        <v>20</v>
      </c>
      <c r="O83" s="40"/>
      <c r="P83" s="25" t="s">
        <v>2</v>
      </c>
      <c r="Q83" s="158" t="s">
        <v>133</v>
      </c>
      <c r="R83" s="158" t="s">
        <v>19</v>
      </c>
      <c r="S83" s="158" t="s">
        <v>17</v>
      </c>
      <c r="T83" s="158" t="s">
        <v>134</v>
      </c>
      <c r="U83" s="158" t="s">
        <v>10</v>
      </c>
      <c r="V83" s="158" t="s">
        <v>11</v>
      </c>
      <c r="W83" s="158" t="s">
        <v>12</v>
      </c>
      <c r="X83" s="158" t="s">
        <v>13</v>
      </c>
      <c r="Y83" s="158" t="s">
        <v>14</v>
      </c>
      <c r="Z83" s="158" t="s">
        <v>18</v>
      </c>
      <c r="AA83" s="158" t="s">
        <v>15</v>
      </c>
      <c r="AB83" s="158" t="s">
        <v>16</v>
      </c>
      <c r="AC83" s="27" t="s">
        <v>20</v>
      </c>
      <c r="AD83" s="40"/>
      <c r="AE83" s="25" t="s">
        <v>2</v>
      </c>
      <c r="AF83" s="158" t="s">
        <v>133</v>
      </c>
      <c r="AG83" s="158" t="s">
        <v>19</v>
      </c>
      <c r="AH83" s="158" t="s">
        <v>17</v>
      </c>
      <c r="AI83" s="158" t="s">
        <v>134</v>
      </c>
      <c r="AJ83" s="158" t="s">
        <v>10</v>
      </c>
      <c r="AK83" s="158" t="s">
        <v>11</v>
      </c>
      <c r="AL83" s="158" t="s">
        <v>12</v>
      </c>
      <c r="AM83" s="158" t="s">
        <v>13</v>
      </c>
      <c r="AN83" s="158" t="s">
        <v>14</v>
      </c>
      <c r="AO83" s="158" t="s">
        <v>18</v>
      </c>
      <c r="AP83" s="158" t="s">
        <v>15</v>
      </c>
      <c r="AQ83" s="158" t="s">
        <v>16</v>
      </c>
      <c r="AR83" s="27" t="s">
        <v>20</v>
      </c>
      <c r="AU83" s="40"/>
      <c r="AV83" s="40"/>
      <c r="AW83" s="40"/>
    </row>
    <row r="84" spans="1:49">
      <c r="A84" s="9">
        <v>41730</v>
      </c>
      <c r="B84" s="43"/>
      <c r="C84" s="43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6">
        <f>SUM(B84:M84)</f>
        <v>0</v>
      </c>
      <c r="O84" s="40"/>
      <c r="P84" s="9">
        <v>41730</v>
      </c>
      <c r="Q84" s="43"/>
      <c r="R84" s="43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6">
        <f>SUM(Q84:AB84)</f>
        <v>0</v>
      </c>
      <c r="AD84" s="40"/>
      <c r="AE84" s="9">
        <v>41730</v>
      </c>
      <c r="AF84" s="43"/>
      <c r="AG84" s="43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6">
        <f>SUM(AF84:AQ84)</f>
        <v>0</v>
      </c>
      <c r="AU84" s="92" t="e">
        <f t="shared" ref="AU84:AU95" si="46">+AK84/G84</f>
        <v>#DIV/0!</v>
      </c>
      <c r="AV84" s="92" t="e">
        <f t="shared" ref="AV84:AV95" si="47">+AL84/H84</f>
        <v>#DIV/0!</v>
      </c>
      <c r="AW84" s="92" t="e">
        <f t="shared" ref="AW84:AW95" si="48">+AM84/I84</f>
        <v>#DIV/0!</v>
      </c>
    </row>
    <row r="85" spans="1:49">
      <c r="A85" s="9">
        <v>41760</v>
      </c>
      <c r="B85" s="43"/>
      <c r="C85" s="43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6">
        <f t="shared" ref="N85:N96" si="49">SUM(B85:M85)</f>
        <v>0</v>
      </c>
      <c r="O85" s="40"/>
      <c r="P85" s="9">
        <v>41760</v>
      </c>
      <c r="Q85" s="43"/>
      <c r="R85" s="43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6">
        <f t="shared" ref="AC85:AC96" si="50">SUM(Q85:AB85)</f>
        <v>0</v>
      </c>
      <c r="AD85" s="40"/>
      <c r="AE85" s="9">
        <v>41760</v>
      </c>
      <c r="AF85" s="43"/>
      <c r="AG85" s="43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6">
        <f t="shared" ref="AR85:AR96" si="51">SUM(AF85:AQ85)</f>
        <v>0</v>
      </c>
      <c r="AU85" s="92" t="e">
        <f t="shared" si="46"/>
        <v>#DIV/0!</v>
      </c>
      <c r="AV85" s="92" t="e">
        <f t="shared" si="47"/>
        <v>#DIV/0!</v>
      </c>
      <c r="AW85" s="92" t="e">
        <f t="shared" si="48"/>
        <v>#DIV/0!</v>
      </c>
    </row>
    <row r="86" spans="1:49">
      <c r="A86" s="9">
        <v>41791</v>
      </c>
      <c r="B86" s="43"/>
      <c r="C86" s="43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6">
        <f t="shared" si="49"/>
        <v>0</v>
      </c>
      <c r="O86" s="40"/>
      <c r="P86" s="9">
        <v>41791</v>
      </c>
      <c r="Q86" s="43"/>
      <c r="R86" s="43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6">
        <f t="shared" si="50"/>
        <v>0</v>
      </c>
      <c r="AD86" s="40"/>
      <c r="AE86" s="9">
        <v>41791</v>
      </c>
      <c r="AF86" s="43"/>
      <c r="AG86" s="43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6">
        <f t="shared" si="51"/>
        <v>0</v>
      </c>
      <c r="AU86" s="92" t="e">
        <f t="shared" si="46"/>
        <v>#DIV/0!</v>
      </c>
      <c r="AV86" s="92" t="e">
        <f t="shared" si="47"/>
        <v>#DIV/0!</v>
      </c>
      <c r="AW86" s="92" t="e">
        <f t="shared" si="48"/>
        <v>#DIV/0!</v>
      </c>
    </row>
    <row r="87" spans="1:49">
      <c r="A87" s="9">
        <v>41821</v>
      </c>
      <c r="B87" s="43"/>
      <c r="C87" s="43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6">
        <f t="shared" si="49"/>
        <v>0</v>
      </c>
      <c r="O87" s="40"/>
      <c r="P87" s="9">
        <v>41821</v>
      </c>
      <c r="Q87" s="43"/>
      <c r="R87" s="43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6">
        <f t="shared" si="50"/>
        <v>0</v>
      </c>
      <c r="AD87" s="40"/>
      <c r="AE87" s="9">
        <v>41821</v>
      </c>
      <c r="AF87" s="43"/>
      <c r="AG87" s="43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6">
        <f t="shared" si="51"/>
        <v>0</v>
      </c>
      <c r="AU87" s="92" t="e">
        <f t="shared" si="46"/>
        <v>#DIV/0!</v>
      </c>
      <c r="AV87" s="92" t="e">
        <f t="shared" si="47"/>
        <v>#DIV/0!</v>
      </c>
      <c r="AW87" s="92" t="e">
        <f t="shared" si="48"/>
        <v>#DIV/0!</v>
      </c>
    </row>
    <row r="88" spans="1:49">
      <c r="A88" s="9">
        <v>41852</v>
      </c>
      <c r="B88" s="43"/>
      <c r="C88" s="43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6">
        <f t="shared" si="49"/>
        <v>0</v>
      </c>
      <c r="O88" s="40"/>
      <c r="P88" s="9">
        <v>41852</v>
      </c>
      <c r="Q88" s="43"/>
      <c r="R88" s="43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6">
        <f t="shared" si="50"/>
        <v>0</v>
      </c>
      <c r="AD88" s="40"/>
      <c r="AE88" s="9">
        <v>41852</v>
      </c>
      <c r="AF88" s="43"/>
      <c r="AG88" s="43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6">
        <f t="shared" si="51"/>
        <v>0</v>
      </c>
      <c r="AU88" s="92" t="e">
        <f t="shared" si="46"/>
        <v>#DIV/0!</v>
      </c>
      <c r="AV88" s="92" t="e">
        <f t="shared" si="47"/>
        <v>#DIV/0!</v>
      </c>
      <c r="AW88" s="92" t="e">
        <f t="shared" si="48"/>
        <v>#DIV/0!</v>
      </c>
    </row>
    <row r="89" spans="1:49">
      <c r="A89" s="9">
        <v>41883</v>
      </c>
      <c r="B89" s="43"/>
      <c r="C89" s="43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6">
        <f t="shared" si="49"/>
        <v>0</v>
      </c>
      <c r="O89" s="40"/>
      <c r="P89" s="9">
        <v>41883</v>
      </c>
      <c r="Q89" s="43"/>
      <c r="R89" s="43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6">
        <f t="shared" si="50"/>
        <v>0</v>
      </c>
      <c r="AD89" s="40"/>
      <c r="AE89" s="9">
        <v>41883</v>
      </c>
      <c r="AF89" s="43"/>
      <c r="AG89" s="43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6">
        <f t="shared" si="51"/>
        <v>0</v>
      </c>
      <c r="AU89" s="92" t="e">
        <f t="shared" si="46"/>
        <v>#DIV/0!</v>
      </c>
      <c r="AV89" s="92" t="e">
        <f t="shared" si="47"/>
        <v>#DIV/0!</v>
      </c>
      <c r="AW89" s="92" t="e">
        <f t="shared" si="48"/>
        <v>#DIV/0!</v>
      </c>
    </row>
    <row r="90" spans="1:49">
      <c r="A90" s="9">
        <v>41913</v>
      </c>
      <c r="B90" s="43"/>
      <c r="C90" s="43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6">
        <f t="shared" si="49"/>
        <v>0</v>
      </c>
      <c r="O90" s="40"/>
      <c r="P90" s="9">
        <v>41913</v>
      </c>
      <c r="Q90" s="43"/>
      <c r="R90" s="43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6">
        <f t="shared" si="50"/>
        <v>0</v>
      </c>
      <c r="AD90" s="40"/>
      <c r="AE90" s="9">
        <v>41913</v>
      </c>
      <c r="AF90" s="43"/>
      <c r="AG90" s="43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6">
        <f t="shared" si="51"/>
        <v>0</v>
      </c>
      <c r="AU90" s="92" t="e">
        <f t="shared" si="46"/>
        <v>#DIV/0!</v>
      </c>
      <c r="AV90" s="92" t="e">
        <f t="shared" si="47"/>
        <v>#DIV/0!</v>
      </c>
      <c r="AW90" s="92" t="e">
        <f t="shared" si="48"/>
        <v>#DIV/0!</v>
      </c>
    </row>
    <row r="91" spans="1:49">
      <c r="A91" s="9">
        <v>41944</v>
      </c>
      <c r="B91" s="43"/>
      <c r="C91" s="43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6">
        <f t="shared" si="49"/>
        <v>0</v>
      </c>
      <c r="O91" s="40"/>
      <c r="P91" s="9">
        <v>41944</v>
      </c>
      <c r="Q91" s="43"/>
      <c r="R91" s="43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6">
        <f t="shared" si="50"/>
        <v>0</v>
      </c>
      <c r="AD91" s="40"/>
      <c r="AE91" s="9">
        <v>41944</v>
      </c>
      <c r="AF91" s="43"/>
      <c r="AG91" s="43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6">
        <f t="shared" si="51"/>
        <v>0</v>
      </c>
      <c r="AU91" s="92" t="e">
        <f t="shared" si="46"/>
        <v>#DIV/0!</v>
      </c>
      <c r="AV91" s="92" t="e">
        <f t="shared" si="47"/>
        <v>#DIV/0!</v>
      </c>
      <c r="AW91" s="92" t="e">
        <f t="shared" si="48"/>
        <v>#DIV/0!</v>
      </c>
    </row>
    <row r="92" spans="1:49">
      <c r="A92" s="9">
        <v>41974</v>
      </c>
      <c r="B92" s="43"/>
      <c r="C92" s="43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6">
        <f t="shared" si="49"/>
        <v>0</v>
      </c>
      <c r="O92" s="40"/>
      <c r="P92" s="9">
        <v>41974</v>
      </c>
      <c r="Q92" s="43"/>
      <c r="R92" s="43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6">
        <f t="shared" si="50"/>
        <v>0</v>
      </c>
      <c r="AD92" s="40"/>
      <c r="AE92" s="9">
        <v>41974</v>
      </c>
      <c r="AF92" s="43"/>
      <c r="AG92" s="43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6">
        <f t="shared" si="51"/>
        <v>0</v>
      </c>
      <c r="AU92" s="92" t="e">
        <f t="shared" si="46"/>
        <v>#DIV/0!</v>
      </c>
      <c r="AV92" s="92" t="e">
        <f t="shared" si="47"/>
        <v>#DIV/0!</v>
      </c>
      <c r="AW92" s="92" t="e">
        <f t="shared" si="48"/>
        <v>#DIV/0!</v>
      </c>
    </row>
    <row r="93" spans="1:49">
      <c r="A93" s="9">
        <v>42005</v>
      </c>
      <c r="B93" s="43"/>
      <c r="C93" s="43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6">
        <f t="shared" si="49"/>
        <v>0</v>
      </c>
      <c r="O93" s="40"/>
      <c r="P93" s="9">
        <v>42005</v>
      </c>
      <c r="Q93" s="43"/>
      <c r="R93" s="43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6">
        <f t="shared" si="50"/>
        <v>0</v>
      </c>
      <c r="AD93" s="40"/>
      <c r="AE93" s="9">
        <v>42005</v>
      </c>
      <c r="AF93" s="43"/>
      <c r="AG93" s="43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6">
        <f t="shared" si="51"/>
        <v>0</v>
      </c>
      <c r="AU93" s="92" t="e">
        <f t="shared" si="46"/>
        <v>#DIV/0!</v>
      </c>
      <c r="AV93" s="92" t="e">
        <f t="shared" si="47"/>
        <v>#DIV/0!</v>
      </c>
      <c r="AW93" s="92" t="e">
        <f t="shared" si="48"/>
        <v>#DIV/0!</v>
      </c>
    </row>
    <row r="94" spans="1:49">
      <c r="A94" s="9">
        <v>42036</v>
      </c>
      <c r="B94" s="43"/>
      <c r="C94" s="43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6">
        <f t="shared" si="49"/>
        <v>0</v>
      </c>
      <c r="O94" s="40"/>
      <c r="P94" s="9">
        <v>42036</v>
      </c>
      <c r="Q94" s="43"/>
      <c r="R94" s="43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6">
        <f t="shared" si="50"/>
        <v>0</v>
      </c>
      <c r="AD94" s="40"/>
      <c r="AE94" s="9">
        <v>42036</v>
      </c>
      <c r="AF94" s="43"/>
      <c r="AG94" s="43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6">
        <f t="shared" si="51"/>
        <v>0</v>
      </c>
      <c r="AU94" s="92" t="e">
        <f t="shared" si="46"/>
        <v>#DIV/0!</v>
      </c>
      <c r="AV94" s="92" t="e">
        <f t="shared" si="47"/>
        <v>#DIV/0!</v>
      </c>
      <c r="AW94" s="92" t="e">
        <f t="shared" si="48"/>
        <v>#DIV/0!</v>
      </c>
    </row>
    <row r="95" spans="1:49">
      <c r="A95" s="9">
        <v>42064</v>
      </c>
      <c r="B95" s="43"/>
      <c r="C95" s="43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6">
        <f t="shared" si="49"/>
        <v>0</v>
      </c>
      <c r="O95" s="40"/>
      <c r="P95" s="9">
        <v>42064</v>
      </c>
      <c r="Q95" s="43"/>
      <c r="R95" s="43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6">
        <f t="shared" si="50"/>
        <v>0</v>
      </c>
      <c r="AD95" s="40"/>
      <c r="AE95" s="9">
        <v>42064</v>
      </c>
      <c r="AF95" s="43"/>
      <c r="AG95" s="43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6">
        <f t="shared" si="51"/>
        <v>0</v>
      </c>
      <c r="AU95" s="92" t="e">
        <f t="shared" si="46"/>
        <v>#DIV/0!</v>
      </c>
      <c r="AV95" s="92" t="e">
        <f t="shared" si="47"/>
        <v>#DIV/0!</v>
      </c>
      <c r="AW95" s="92" t="e">
        <f t="shared" si="48"/>
        <v>#DIV/0!</v>
      </c>
    </row>
    <row r="96" spans="1:49">
      <c r="A96" s="128" t="s">
        <v>4</v>
      </c>
      <c r="B96" s="91">
        <f>SUM(B84:B95)</f>
        <v>0</v>
      </c>
      <c r="C96" s="91">
        <f t="shared" ref="C96:M96" si="52">SUM(C84:C95)</f>
        <v>0</v>
      </c>
      <c r="D96" s="91">
        <f t="shared" si="52"/>
        <v>0</v>
      </c>
      <c r="E96" s="91">
        <f t="shared" si="52"/>
        <v>0</v>
      </c>
      <c r="F96" s="91">
        <f t="shared" si="52"/>
        <v>0</v>
      </c>
      <c r="G96" s="91">
        <f t="shared" si="52"/>
        <v>0</v>
      </c>
      <c r="H96" s="91">
        <f t="shared" si="52"/>
        <v>0</v>
      </c>
      <c r="I96" s="91">
        <f t="shared" si="52"/>
        <v>0</v>
      </c>
      <c r="J96" s="91">
        <f t="shared" si="52"/>
        <v>0</v>
      </c>
      <c r="K96" s="91">
        <f t="shared" si="52"/>
        <v>0</v>
      </c>
      <c r="L96" s="91">
        <f t="shared" si="52"/>
        <v>0</v>
      </c>
      <c r="M96" s="91">
        <f t="shared" si="52"/>
        <v>0</v>
      </c>
      <c r="N96" s="127">
        <f t="shared" si="49"/>
        <v>0</v>
      </c>
      <c r="O96" s="40"/>
      <c r="P96" s="128" t="s">
        <v>4</v>
      </c>
      <c r="Q96" s="91">
        <f>SUM(Q84:Q95)</f>
        <v>0</v>
      </c>
      <c r="R96" s="91">
        <f t="shared" ref="R96:AB96" si="53">SUM(R84:R95)</f>
        <v>0</v>
      </c>
      <c r="S96" s="91">
        <f t="shared" si="53"/>
        <v>0</v>
      </c>
      <c r="T96" s="91">
        <f t="shared" si="53"/>
        <v>0</v>
      </c>
      <c r="U96" s="91">
        <f t="shared" si="53"/>
        <v>0</v>
      </c>
      <c r="V96" s="91">
        <f t="shared" si="53"/>
        <v>0</v>
      </c>
      <c r="W96" s="91">
        <f t="shared" si="53"/>
        <v>0</v>
      </c>
      <c r="X96" s="91">
        <f t="shared" si="53"/>
        <v>0</v>
      </c>
      <c r="Y96" s="91">
        <f t="shared" si="53"/>
        <v>0</v>
      </c>
      <c r="Z96" s="91">
        <f t="shared" si="53"/>
        <v>0</v>
      </c>
      <c r="AA96" s="91">
        <f t="shared" si="53"/>
        <v>0</v>
      </c>
      <c r="AB96" s="91">
        <f t="shared" si="53"/>
        <v>0</v>
      </c>
      <c r="AC96" s="127">
        <f t="shared" si="50"/>
        <v>0</v>
      </c>
      <c r="AD96" s="40"/>
      <c r="AE96" s="128" t="s">
        <v>4</v>
      </c>
      <c r="AF96" s="91">
        <f>SUM(AF84:AF95)</f>
        <v>0</v>
      </c>
      <c r="AG96" s="91">
        <f t="shared" ref="AG96:AQ96" si="54">SUM(AG84:AG95)</f>
        <v>0</v>
      </c>
      <c r="AH96" s="91">
        <f t="shared" si="54"/>
        <v>0</v>
      </c>
      <c r="AI96" s="91">
        <f t="shared" si="54"/>
        <v>0</v>
      </c>
      <c r="AJ96" s="91">
        <f t="shared" si="54"/>
        <v>0</v>
      </c>
      <c r="AK96" s="91">
        <f t="shared" si="54"/>
        <v>0</v>
      </c>
      <c r="AL96" s="91">
        <f t="shared" si="54"/>
        <v>0</v>
      </c>
      <c r="AM96" s="91">
        <f t="shared" si="54"/>
        <v>0</v>
      </c>
      <c r="AN96" s="91">
        <f t="shared" si="54"/>
        <v>0</v>
      </c>
      <c r="AO96" s="91">
        <f t="shared" si="54"/>
        <v>0</v>
      </c>
      <c r="AP96" s="91">
        <f t="shared" si="54"/>
        <v>0</v>
      </c>
      <c r="AQ96" s="91">
        <f t="shared" si="54"/>
        <v>0</v>
      </c>
      <c r="AR96" s="127">
        <f t="shared" si="51"/>
        <v>0</v>
      </c>
      <c r="AU96" s="40"/>
      <c r="AV96" s="40"/>
      <c r="AW96" s="40"/>
    </row>
    <row r="97" spans="1:49">
      <c r="A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U97" s="40"/>
      <c r="AV97" s="40"/>
      <c r="AW97" s="40"/>
    </row>
    <row r="98" spans="1:49">
      <c r="A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U98" s="40"/>
      <c r="AV98" s="40"/>
      <c r="AW98" s="40"/>
    </row>
    <row r="99" spans="1:49">
      <c r="A99" s="25" t="s">
        <v>7</v>
      </c>
      <c r="B99" s="158" t="s">
        <v>133</v>
      </c>
      <c r="C99" s="158" t="s">
        <v>19</v>
      </c>
      <c r="D99" s="158" t="s">
        <v>17</v>
      </c>
      <c r="E99" s="158" t="s">
        <v>134</v>
      </c>
      <c r="F99" s="158" t="s">
        <v>10</v>
      </c>
      <c r="G99" s="158" t="s">
        <v>11</v>
      </c>
      <c r="H99" s="158" t="s">
        <v>12</v>
      </c>
      <c r="I99" s="158" t="s">
        <v>13</v>
      </c>
      <c r="J99" s="158" t="s">
        <v>14</v>
      </c>
      <c r="K99" s="158" t="s">
        <v>18</v>
      </c>
      <c r="L99" s="158" t="s">
        <v>15</v>
      </c>
      <c r="M99" s="158" t="s">
        <v>16</v>
      </c>
      <c r="N99" s="27" t="s">
        <v>20</v>
      </c>
      <c r="O99" s="40"/>
      <c r="P99" s="25" t="s">
        <v>7</v>
      </c>
      <c r="Q99" s="158" t="s">
        <v>133</v>
      </c>
      <c r="R99" s="158" t="s">
        <v>19</v>
      </c>
      <c r="S99" s="158" t="s">
        <v>17</v>
      </c>
      <c r="T99" s="158" t="s">
        <v>134</v>
      </c>
      <c r="U99" s="158" t="s">
        <v>10</v>
      </c>
      <c r="V99" s="158" t="s">
        <v>11</v>
      </c>
      <c r="W99" s="158" t="s">
        <v>12</v>
      </c>
      <c r="X99" s="158" t="s">
        <v>13</v>
      </c>
      <c r="Y99" s="158" t="s">
        <v>14</v>
      </c>
      <c r="Z99" s="158" t="s">
        <v>18</v>
      </c>
      <c r="AA99" s="158" t="s">
        <v>15</v>
      </c>
      <c r="AB99" s="158" t="s">
        <v>16</v>
      </c>
      <c r="AC99" s="27" t="s">
        <v>20</v>
      </c>
      <c r="AD99" s="40"/>
      <c r="AE99" s="25" t="s">
        <v>7</v>
      </c>
      <c r="AF99" s="158" t="s">
        <v>133</v>
      </c>
      <c r="AG99" s="158" t="s">
        <v>19</v>
      </c>
      <c r="AH99" s="158" t="s">
        <v>17</v>
      </c>
      <c r="AI99" s="158" t="s">
        <v>134</v>
      </c>
      <c r="AJ99" s="158" t="s">
        <v>10</v>
      </c>
      <c r="AK99" s="158" t="s">
        <v>11</v>
      </c>
      <c r="AL99" s="158" t="s">
        <v>12</v>
      </c>
      <c r="AM99" s="158" t="s">
        <v>13</v>
      </c>
      <c r="AN99" s="158" t="s">
        <v>14</v>
      </c>
      <c r="AO99" s="158" t="s">
        <v>18</v>
      </c>
      <c r="AP99" s="158" t="s">
        <v>15</v>
      </c>
      <c r="AQ99" s="158" t="s">
        <v>16</v>
      </c>
      <c r="AR99" s="27" t="s">
        <v>20</v>
      </c>
      <c r="AU99" s="40"/>
      <c r="AV99" s="40"/>
      <c r="AW99" s="40"/>
    </row>
    <row r="100" spans="1:49">
      <c r="A100" s="9">
        <v>41730</v>
      </c>
      <c r="B100" s="43"/>
      <c r="C100" s="43"/>
      <c r="D100" s="41">
        <v>18.91</v>
      </c>
      <c r="E100" s="41">
        <v>38.4</v>
      </c>
      <c r="F100" s="41"/>
      <c r="G100" s="41"/>
      <c r="H100" s="41"/>
      <c r="I100" s="41"/>
      <c r="J100" s="41"/>
      <c r="K100" s="41"/>
      <c r="L100" s="41"/>
      <c r="M100" s="41">
        <v>19.129000000000001</v>
      </c>
      <c r="N100" s="6">
        <f>SUM(B100:M100)</f>
        <v>76.439000000000007</v>
      </c>
      <c r="O100" s="40"/>
      <c r="P100" s="9">
        <v>41730</v>
      </c>
      <c r="Q100" s="43"/>
      <c r="R100" s="43"/>
      <c r="S100" s="41">
        <v>2552516.0700000003</v>
      </c>
      <c r="T100" s="41">
        <v>6570145.3399999999</v>
      </c>
      <c r="U100" s="41"/>
      <c r="V100" s="41"/>
      <c r="W100" s="41"/>
      <c r="X100" s="41"/>
      <c r="Y100" s="41"/>
      <c r="Z100" s="41"/>
      <c r="AA100" s="41"/>
      <c r="AB100" s="41">
        <v>1357255.65</v>
      </c>
      <c r="AC100" s="6">
        <f>SUM(Q100:AB100)</f>
        <v>10479917.060000001</v>
      </c>
      <c r="AD100" s="40"/>
      <c r="AE100" s="9">
        <v>41730</v>
      </c>
      <c r="AF100" s="43"/>
      <c r="AG100" s="43"/>
      <c r="AH100" s="41">
        <v>42225.245161290317</v>
      </c>
      <c r="AI100" s="41">
        <v>108687.26782464846</v>
      </c>
      <c r="AJ100" s="41"/>
      <c r="AK100" s="41"/>
      <c r="AL100" s="41"/>
      <c r="AM100" s="41"/>
      <c r="AN100" s="41"/>
      <c r="AO100" s="41"/>
      <c r="AP100" s="41"/>
      <c r="AQ100" s="41">
        <v>22452.533498759301</v>
      </c>
      <c r="AR100" s="6">
        <f>SUM(AF100:AQ100)</f>
        <v>173365.04648469808</v>
      </c>
      <c r="AT100" s="42"/>
      <c r="AU100" s="92" t="e">
        <f t="shared" ref="AU100:AU111" si="55">+AK100/G100</f>
        <v>#DIV/0!</v>
      </c>
      <c r="AV100" s="92" t="e">
        <f t="shared" ref="AV100:AV111" si="56">+AL100/H100</f>
        <v>#DIV/0!</v>
      </c>
      <c r="AW100" s="92" t="e">
        <f t="shared" ref="AW100:AW111" si="57">+AM100/I100</f>
        <v>#DIV/0!</v>
      </c>
    </row>
    <row r="101" spans="1:49">
      <c r="A101" s="9">
        <v>41760</v>
      </c>
      <c r="B101" s="43"/>
      <c r="C101" s="43"/>
      <c r="D101" s="41"/>
      <c r="E101" s="41">
        <v>19.3</v>
      </c>
      <c r="F101" s="41"/>
      <c r="G101" s="41"/>
      <c r="H101" s="41"/>
      <c r="I101" s="41"/>
      <c r="J101" s="41"/>
      <c r="K101" s="41"/>
      <c r="L101" s="41"/>
      <c r="M101" s="41"/>
      <c r="N101" s="6">
        <f t="shared" ref="N101:N112" si="58">SUM(B101:M101)</f>
        <v>19.3</v>
      </c>
      <c r="O101" s="40"/>
      <c r="P101" s="9">
        <v>41760</v>
      </c>
      <c r="Q101" s="43"/>
      <c r="R101" s="43"/>
      <c r="S101" s="41"/>
      <c r="T101" s="41">
        <v>3339774.68</v>
      </c>
      <c r="U101" s="41"/>
      <c r="V101" s="41"/>
      <c r="W101" s="41"/>
      <c r="X101" s="41"/>
      <c r="Y101" s="41"/>
      <c r="Z101" s="41"/>
      <c r="AA101" s="41"/>
      <c r="AB101" s="41"/>
      <c r="AC101" s="6">
        <f t="shared" ref="AC101:AC112" si="59">SUM(Q101:AB101)</f>
        <v>3339774.68</v>
      </c>
      <c r="AD101" s="40"/>
      <c r="AE101" s="9">
        <v>41760</v>
      </c>
      <c r="AF101" s="43"/>
      <c r="AG101" s="43"/>
      <c r="AH101" s="41"/>
      <c r="AI101" s="41">
        <v>55570.294176372714</v>
      </c>
      <c r="AJ101" s="41"/>
      <c r="AK101" s="41"/>
      <c r="AL101" s="41"/>
      <c r="AM101" s="41"/>
      <c r="AN101" s="41"/>
      <c r="AO101" s="41"/>
      <c r="AP101" s="41"/>
      <c r="AQ101" s="41"/>
      <c r="AR101" s="6">
        <f t="shared" ref="AR101:AR112" si="60">SUM(AF101:AQ101)</f>
        <v>55570.294176372714</v>
      </c>
      <c r="AT101" s="42"/>
      <c r="AU101" s="92" t="e">
        <f t="shared" si="55"/>
        <v>#DIV/0!</v>
      </c>
      <c r="AV101" s="92" t="e">
        <f t="shared" si="56"/>
        <v>#DIV/0!</v>
      </c>
      <c r="AW101" s="92" t="e">
        <f t="shared" si="57"/>
        <v>#DIV/0!</v>
      </c>
    </row>
    <row r="102" spans="1:49">
      <c r="A102" s="9">
        <v>41791</v>
      </c>
      <c r="B102" s="43"/>
      <c r="C102" s="43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6">
        <f t="shared" si="58"/>
        <v>0</v>
      </c>
      <c r="O102" s="40"/>
      <c r="P102" s="9">
        <v>41791</v>
      </c>
      <c r="Q102" s="43"/>
      <c r="R102" s="43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6">
        <f t="shared" si="59"/>
        <v>0</v>
      </c>
      <c r="AD102" s="40"/>
      <c r="AE102" s="9">
        <v>41791</v>
      </c>
      <c r="AF102" s="43"/>
      <c r="AG102" s="43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6">
        <f t="shared" si="60"/>
        <v>0</v>
      </c>
      <c r="AT102" s="42"/>
      <c r="AU102" s="92" t="e">
        <f t="shared" si="55"/>
        <v>#DIV/0!</v>
      </c>
      <c r="AV102" s="92" t="e">
        <f t="shared" si="56"/>
        <v>#DIV/0!</v>
      </c>
      <c r="AW102" s="92" t="e">
        <f t="shared" si="57"/>
        <v>#DIV/0!</v>
      </c>
    </row>
    <row r="103" spans="1:49">
      <c r="A103" s="9">
        <v>41821</v>
      </c>
      <c r="B103" s="43"/>
      <c r="C103" s="43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6">
        <f t="shared" si="58"/>
        <v>0</v>
      </c>
      <c r="O103" s="40"/>
      <c r="P103" s="9">
        <v>41821</v>
      </c>
      <c r="Q103" s="43"/>
      <c r="R103" s="43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6">
        <f t="shared" si="59"/>
        <v>0</v>
      </c>
      <c r="AD103" s="40"/>
      <c r="AE103" s="9">
        <v>41821</v>
      </c>
      <c r="AF103" s="43"/>
      <c r="AG103" s="43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6">
        <f t="shared" si="60"/>
        <v>0</v>
      </c>
      <c r="AT103" s="42"/>
      <c r="AU103" s="92" t="e">
        <f t="shared" si="55"/>
        <v>#DIV/0!</v>
      </c>
      <c r="AV103" s="92" t="e">
        <f t="shared" si="56"/>
        <v>#DIV/0!</v>
      </c>
      <c r="AW103" s="92" t="e">
        <f t="shared" si="57"/>
        <v>#DIV/0!</v>
      </c>
    </row>
    <row r="104" spans="1:49">
      <c r="A104" s="9">
        <v>41852</v>
      </c>
      <c r="B104" s="43"/>
      <c r="C104" s="43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6">
        <f t="shared" si="58"/>
        <v>0</v>
      </c>
      <c r="O104" s="40"/>
      <c r="P104" s="9">
        <v>41852</v>
      </c>
      <c r="Q104" s="43"/>
      <c r="R104" s="43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6">
        <f t="shared" si="59"/>
        <v>0</v>
      </c>
      <c r="AD104" s="40"/>
      <c r="AE104" s="9">
        <v>41852</v>
      </c>
      <c r="AF104" s="43"/>
      <c r="AG104" s="43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6">
        <f t="shared" si="60"/>
        <v>0</v>
      </c>
      <c r="AT104" s="42"/>
      <c r="AU104" s="92" t="e">
        <f t="shared" si="55"/>
        <v>#DIV/0!</v>
      </c>
      <c r="AV104" s="92" t="e">
        <f t="shared" si="56"/>
        <v>#DIV/0!</v>
      </c>
      <c r="AW104" s="92" t="e">
        <f t="shared" si="57"/>
        <v>#DIV/0!</v>
      </c>
    </row>
    <row r="105" spans="1:49">
      <c r="A105" s="9">
        <v>41883</v>
      </c>
      <c r="B105" s="43"/>
      <c r="C105" s="43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6">
        <f t="shared" si="58"/>
        <v>0</v>
      </c>
      <c r="O105" s="40"/>
      <c r="P105" s="9">
        <v>41883</v>
      </c>
      <c r="Q105" s="43"/>
      <c r="R105" s="43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6">
        <f t="shared" si="59"/>
        <v>0</v>
      </c>
      <c r="AD105" s="40"/>
      <c r="AE105" s="9">
        <v>41883</v>
      </c>
      <c r="AF105" s="43"/>
      <c r="AG105" s="43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6">
        <f t="shared" si="60"/>
        <v>0</v>
      </c>
      <c r="AT105" s="42"/>
      <c r="AU105" s="92" t="e">
        <f t="shared" si="55"/>
        <v>#DIV/0!</v>
      </c>
      <c r="AV105" s="92" t="e">
        <f t="shared" si="56"/>
        <v>#DIV/0!</v>
      </c>
      <c r="AW105" s="92" t="e">
        <f t="shared" si="57"/>
        <v>#DIV/0!</v>
      </c>
    </row>
    <row r="106" spans="1:49">
      <c r="A106" s="9">
        <v>41913</v>
      </c>
      <c r="B106" s="43"/>
      <c r="C106" s="43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6">
        <f t="shared" si="58"/>
        <v>0</v>
      </c>
      <c r="O106" s="40"/>
      <c r="P106" s="9">
        <v>41913</v>
      </c>
      <c r="Q106" s="43"/>
      <c r="R106" s="43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6">
        <f t="shared" si="59"/>
        <v>0</v>
      </c>
      <c r="AD106" s="40"/>
      <c r="AE106" s="9">
        <v>41913</v>
      </c>
      <c r="AF106" s="43"/>
      <c r="AG106" s="43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6">
        <f t="shared" si="60"/>
        <v>0</v>
      </c>
      <c r="AT106" s="42"/>
      <c r="AU106" s="92" t="e">
        <f t="shared" si="55"/>
        <v>#DIV/0!</v>
      </c>
      <c r="AV106" s="92" t="e">
        <f t="shared" si="56"/>
        <v>#DIV/0!</v>
      </c>
      <c r="AW106" s="92" t="e">
        <f t="shared" si="57"/>
        <v>#DIV/0!</v>
      </c>
    </row>
    <row r="107" spans="1:49">
      <c r="A107" s="9">
        <v>41944</v>
      </c>
      <c r="B107" s="43"/>
      <c r="C107" s="43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6">
        <f t="shared" si="58"/>
        <v>0</v>
      </c>
      <c r="O107" s="40"/>
      <c r="P107" s="9">
        <v>41944</v>
      </c>
      <c r="Q107" s="43"/>
      <c r="R107" s="43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6">
        <f t="shared" si="59"/>
        <v>0</v>
      </c>
      <c r="AD107" s="40"/>
      <c r="AE107" s="9">
        <v>41944</v>
      </c>
      <c r="AF107" s="43"/>
      <c r="AG107" s="43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6">
        <f t="shared" si="60"/>
        <v>0</v>
      </c>
      <c r="AT107" s="42"/>
      <c r="AU107" s="92" t="e">
        <f t="shared" si="55"/>
        <v>#DIV/0!</v>
      </c>
      <c r="AV107" s="92" t="e">
        <f t="shared" si="56"/>
        <v>#DIV/0!</v>
      </c>
      <c r="AW107" s="92" t="e">
        <f t="shared" si="57"/>
        <v>#DIV/0!</v>
      </c>
    </row>
    <row r="108" spans="1:49">
      <c r="A108" s="9">
        <v>41974</v>
      </c>
      <c r="B108" s="43"/>
      <c r="C108" s="43"/>
      <c r="D108" s="41"/>
      <c r="E108" s="41"/>
      <c r="F108" s="41"/>
      <c r="G108" s="41">
        <v>0.60599999999999998</v>
      </c>
      <c r="H108" s="41"/>
      <c r="I108" s="41"/>
      <c r="J108" s="41"/>
      <c r="K108" s="41"/>
      <c r="L108" s="41"/>
      <c r="M108" s="41"/>
      <c r="N108" s="6">
        <f t="shared" si="58"/>
        <v>0.60599999999999998</v>
      </c>
      <c r="O108" s="40"/>
      <c r="P108" s="9">
        <v>41974</v>
      </c>
      <c r="Q108" s="43"/>
      <c r="R108" s="43"/>
      <c r="S108" s="41"/>
      <c r="T108" s="41"/>
      <c r="U108" s="41"/>
      <c r="V108" s="41">
        <v>38684.1</v>
      </c>
      <c r="W108" s="41"/>
      <c r="X108" s="41"/>
      <c r="Y108" s="41"/>
      <c r="Z108" s="41"/>
      <c r="AA108" s="41"/>
      <c r="AB108" s="41"/>
      <c r="AC108" s="6">
        <f t="shared" si="59"/>
        <v>38684.1</v>
      </c>
      <c r="AD108" s="40"/>
      <c r="AE108" s="9">
        <v>41974</v>
      </c>
      <c r="AF108" s="43"/>
      <c r="AG108" s="43"/>
      <c r="AH108" s="41"/>
      <c r="AI108" s="41"/>
      <c r="AJ108" s="41"/>
      <c r="AK108" s="41">
        <v>618.94560000000001</v>
      </c>
      <c r="AL108" s="41"/>
      <c r="AM108" s="41"/>
      <c r="AN108" s="41"/>
      <c r="AO108" s="41"/>
      <c r="AP108" s="41"/>
      <c r="AQ108" s="41"/>
      <c r="AR108" s="6">
        <f t="shared" si="60"/>
        <v>618.94560000000001</v>
      </c>
      <c r="AT108" s="42"/>
      <c r="AU108" s="92">
        <f t="shared" si="55"/>
        <v>1021.3623762376238</v>
      </c>
      <c r="AV108" s="92" t="e">
        <f t="shared" si="56"/>
        <v>#DIV/0!</v>
      </c>
      <c r="AW108" s="92" t="e">
        <f t="shared" si="57"/>
        <v>#DIV/0!</v>
      </c>
    </row>
    <row r="109" spans="1:49">
      <c r="A109" s="9">
        <v>42005</v>
      </c>
      <c r="B109" s="43"/>
      <c r="C109" s="43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6">
        <f t="shared" si="58"/>
        <v>0</v>
      </c>
      <c r="O109" s="40"/>
      <c r="P109" s="9">
        <v>42005</v>
      </c>
      <c r="Q109" s="43"/>
      <c r="R109" s="43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6">
        <f t="shared" si="59"/>
        <v>0</v>
      </c>
      <c r="AD109" s="40"/>
      <c r="AE109" s="9">
        <v>42005</v>
      </c>
      <c r="AF109" s="43"/>
      <c r="AG109" s="43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6">
        <f t="shared" si="60"/>
        <v>0</v>
      </c>
      <c r="AT109" s="42"/>
      <c r="AU109" s="92" t="e">
        <f t="shared" si="55"/>
        <v>#DIV/0!</v>
      </c>
      <c r="AV109" s="92" t="e">
        <f t="shared" si="56"/>
        <v>#DIV/0!</v>
      </c>
      <c r="AW109" s="92" t="e">
        <f t="shared" si="57"/>
        <v>#DIV/0!</v>
      </c>
    </row>
    <row r="110" spans="1:49">
      <c r="A110" s="9">
        <v>42036</v>
      </c>
      <c r="B110" s="43"/>
      <c r="C110" s="43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6">
        <f t="shared" si="58"/>
        <v>0</v>
      </c>
      <c r="O110" s="40"/>
      <c r="P110" s="9">
        <v>42036</v>
      </c>
      <c r="Q110" s="43"/>
      <c r="R110" s="43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6">
        <f t="shared" si="59"/>
        <v>0</v>
      </c>
      <c r="AD110" s="40"/>
      <c r="AE110" s="9">
        <v>42036</v>
      </c>
      <c r="AF110" s="43"/>
      <c r="AG110" s="43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6">
        <f t="shared" si="60"/>
        <v>0</v>
      </c>
      <c r="AT110" s="42"/>
      <c r="AU110" s="92" t="e">
        <f t="shared" si="55"/>
        <v>#DIV/0!</v>
      </c>
      <c r="AV110" s="92" t="e">
        <f t="shared" si="56"/>
        <v>#DIV/0!</v>
      </c>
      <c r="AW110" s="92" t="e">
        <f t="shared" si="57"/>
        <v>#DIV/0!</v>
      </c>
    </row>
    <row r="111" spans="1:49">
      <c r="A111" s="9">
        <v>42064</v>
      </c>
      <c r="B111" s="43"/>
      <c r="C111" s="43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6">
        <f t="shared" si="58"/>
        <v>0</v>
      </c>
      <c r="O111" s="40"/>
      <c r="P111" s="9">
        <v>42064</v>
      </c>
      <c r="Q111" s="43"/>
      <c r="R111" s="43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6">
        <f t="shared" si="59"/>
        <v>0</v>
      </c>
      <c r="AD111" s="40"/>
      <c r="AE111" s="9">
        <v>42064</v>
      </c>
      <c r="AF111" s="43"/>
      <c r="AG111" s="43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6">
        <f t="shared" si="60"/>
        <v>0</v>
      </c>
      <c r="AT111" s="42"/>
      <c r="AU111" s="92" t="e">
        <f t="shared" si="55"/>
        <v>#DIV/0!</v>
      </c>
      <c r="AV111" s="92" t="e">
        <f t="shared" si="56"/>
        <v>#DIV/0!</v>
      </c>
      <c r="AW111" s="92" t="e">
        <f t="shared" si="57"/>
        <v>#DIV/0!</v>
      </c>
    </row>
    <row r="112" spans="1:49">
      <c r="A112" s="128" t="s">
        <v>4</v>
      </c>
      <c r="B112" s="91">
        <f>SUM(B100:B111)</f>
        <v>0</v>
      </c>
      <c r="C112" s="91">
        <f t="shared" ref="C112:M112" si="61">SUM(C100:C111)</f>
        <v>0</v>
      </c>
      <c r="D112" s="91">
        <f t="shared" si="61"/>
        <v>18.91</v>
      </c>
      <c r="E112" s="91">
        <f t="shared" si="61"/>
        <v>57.7</v>
      </c>
      <c r="F112" s="91">
        <f t="shared" si="61"/>
        <v>0</v>
      </c>
      <c r="G112" s="91">
        <f t="shared" si="61"/>
        <v>0.60599999999999998</v>
      </c>
      <c r="H112" s="91">
        <f t="shared" si="61"/>
        <v>0</v>
      </c>
      <c r="I112" s="91">
        <f t="shared" si="61"/>
        <v>0</v>
      </c>
      <c r="J112" s="91">
        <f t="shared" si="61"/>
        <v>0</v>
      </c>
      <c r="K112" s="91">
        <f t="shared" si="61"/>
        <v>0</v>
      </c>
      <c r="L112" s="91">
        <f t="shared" si="61"/>
        <v>0</v>
      </c>
      <c r="M112" s="91">
        <f t="shared" si="61"/>
        <v>19.129000000000001</v>
      </c>
      <c r="N112" s="127">
        <f t="shared" si="58"/>
        <v>96.344999999999999</v>
      </c>
      <c r="O112" s="40"/>
      <c r="P112" s="128" t="s">
        <v>4</v>
      </c>
      <c r="Q112" s="91">
        <f>SUM(Q100:Q111)</f>
        <v>0</v>
      </c>
      <c r="R112" s="91">
        <f t="shared" ref="R112:AB112" si="62">SUM(R100:R111)</f>
        <v>0</v>
      </c>
      <c r="S112" s="91">
        <f t="shared" si="62"/>
        <v>2552516.0700000003</v>
      </c>
      <c r="T112" s="91">
        <f t="shared" si="62"/>
        <v>9909920.0199999996</v>
      </c>
      <c r="U112" s="91">
        <f t="shared" si="62"/>
        <v>0</v>
      </c>
      <c r="V112" s="91">
        <f t="shared" si="62"/>
        <v>38684.1</v>
      </c>
      <c r="W112" s="91">
        <f t="shared" si="62"/>
        <v>0</v>
      </c>
      <c r="X112" s="91">
        <f t="shared" si="62"/>
        <v>0</v>
      </c>
      <c r="Y112" s="91">
        <f t="shared" si="62"/>
        <v>0</v>
      </c>
      <c r="Z112" s="91">
        <f t="shared" si="62"/>
        <v>0</v>
      </c>
      <c r="AA112" s="91">
        <f t="shared" si="62"/>
        <v>0</v>
      </c>
      <c r="AB112" s="91">
        <f t="shared" si="62"/>
        <v>1357255.65</v>
      </c>
      <c r="AC112" s="127">
        <f t="shared" si="59"/>
        <v>13858375.84</v>
      </c>
      <c r="AD112" s="40"/>
      <c r="AE112" s="128" t="s">
        <v>4</v>
      </c>
      <c r="AF112" s="91">
        <f>SUM(AF100:AF111)</f>
        <v>0</v>
      </c>
      <c r="AG112" s="91">
        <f t="shared" ref="AG112:AQ112" si="63">SUM(AG100:AG111)</f>
        <v>0</v>
      </c>
      <c r="AH112" s="91">
        <f t="shared" si="63"/>
        <v>42225.245161290317</v>
      </c>
      <c r="AI112" s="91">
        <f t="shared" si="63"/>
        <v>164257.56200102117</v>
      </c>
      <c r="AJ112" s="91">
        <f t="shared" si="63"/>
        <v>0</v>
      </c>
      <c r="AK112" s="91">
        <f t="shared" si="63"/>
        <v>618.94560000000001</v>
      </c>
      <c r="AL112" s="91">
        <f t="shared" si="63"/>
        <v>0</v>
      </c>
      <c r="AM112" s="91">
        <f t="shared" si="63"/>
        <v>0</v>
      </c>
      <c r="AN112" s="91">
        <f t="shared" si="63"/>
        <v>0</v>
      </c>
      <c r="AO112" s="91">
        <f t="shared" si="63"/>
        <v>0</v>
      </c>
      <c r="AP112" s="91">
        <f t="shared" si="63"/>
        <v>0</v>
      </c>
      <c r="AQ112" s="91">
        <f t="shared" si="63"/>
        <v>22452.533498759301</v>
      </c>
      <c r="AR112" s="127">
        <f t="shared" si="60"/>
        <v>229554.28626107078</v>
      </c>
      <c r="AT112" s="42"/>
      <c r="AU112" s="42"/>
    </row>
    <row r="116" spans="1:35" s="40" customFormat="1">
      <c r="A116" s="160" t="s">
        <v>52</v>
      </c>
      <c r="B116" s="162" t="s">
        <v>21</v>
      </c>
      <c r="C116" s="162"/>
      <c r="D116" s="162" t="s">
        <v>84</v>
      </c>
      <c r="E116" s="162"/>
      <c r="F116" s="422" t="s">
        <v>85</v>
      </c>
      <c r="G116" s="423"/>
      <c r="AH116" s="421" t="s">
        <v>84</v>
      </c>
      <c r="AI116" s="421"/>
    </row>
    <row r="117" spans="1:35" s="40" customFormat="1">
      <c r="A117" s="140" t="s">
        <v>32</v>
      </c>
      <c r="B117" s="161" t="s">
        <v>109</v>
      </c>
      <c r="C117" s="161" t="s">
        <v>110</v>
      </c>
      <c r="D117" s="161" t="s">
        <v>109</v>
      </c>
      <c r="E117" s="161" t="s">
        <v>110</v>
      </c>
      <c r="F117" s="27" t="s">
        <v>109</v>
      </c>
      <c r="G117" s="161" t="s">
        <v>110</v>
      </c>
    </row>
    <row r="118" spans="1:35" s="40" customFormat="1">
      <c r="A118" s="9">
        <v>41365</v>
      </c>
      <c r="B118" s="42">
        <f>G20+G36+G52+G68</f>
        <v>5022.21</v>
      </c>
      <c r="C118" s="42">
        <f t="shared" ref="C118:C129" si="64">G84+G100</f>
        <v>0</v>
      </c>
      <c r="D118" s="42">
        <f>AK20+AK36+AK52+AK68</f>
        <v>9253429.016839603</v>
      </c>
      <c r="E118" s="42">
        <f t="shared" ref="E118:E129" si="65">AK84+AK100</f>
        <v>0</v>
      </c>
      <c r="F118" s="88">
        <f>IF(B118&lt;=0,0,D118/B118)</f>
        <v>1842.5014120953929</v>
      </c>
      <c r="G118" s="43">
        <f>IF(C118&lt;=0,0,E118/C118)</f>
        <v>0</v>
      </c>
    </row>
    <row r="119" spans="1:35" s="40" customFormat="1">
      <c r="A119" s="9">
        <v>41395</v>
      </c>
      <c r="B119" s="42">
        <f t="shared" ref="B119:B130" si="66">G21+G37+G53+G69</f>
        <v>5745.41</v>
      </c>
      <c r="C119" s="42">
        <f t="shared" si="64"/>
        <v>0</v>
      </c>
      <c r="D119" s="42">
        <f t="shared" ref="D119:D130" si="67">AK21+AK37+AK53+AK69</f>
        <v>10624625.447650656</v>
      </c>
      <c r="E119" s="42">
        <f t="shared" si="65"/>
        <v>0</v>
      </c>
      <c r="F119" s="88">
        <f t="shared" ref="F119:G130" si="68">IF(B119&lt;=0,0,D119/B119)</f>
        <v>1849.237121049787</v>
      </c>
      <c r="G119" s="43">
        <f t="shared" si="68"/>
        <v>0</v>
      </c>
    </row>
    <row r="120" spans="1:35" s="40" customFormat="1">
      <c r="A120" s="9">
        <v>41426</v>
      </c>
      <c r="B120" s="42">
        <f t="shared" si="66"/>
        <v>5179.33</v>
      </c>
      <c r="C120" s="42">
        <f t="shared" si="64"/>
        <v>0</v>
      </c>
      <c r="D120" s="42">
        <f t="shared" si="67"/>
        <v>9650005.2870862652</v>
      </c>
      <c r="E120" s="42">
        <f t="shared" si="65"/>
        <v>0</v>
      </c>
      <c r="F120" s="88">
        <f t="shared" si="68"/>
        <v>1863.176373601656</v>
      </c>
      <c r="G120" s="43">
        <f t="shared" si="68"/>
        <v>0</v>
      </c>
    </row>
    <row r="121" spans="1:35" s="40" customFormat="1">
      <c r="A121" s="9">
        <v>41456</v>
      </c>
      <c r="B121" s="42">
        <f t="shared" si="66"/>
        <v>5389.68</v>
      </c>
      <c r="C121" s="42">
        <f t="shared" si="64"/>
        <v>0</v>
      </c>
      <c r="D121" s="42">
        <f t="shared" si="67"/>
        <v>9972123.8268400542</v>
      </c>
      <c r="E121" s="42">
        <f t="shared" si="65"/>
        <v>0</v>
      </c>
      <c r="F121" s="88">
        <f t="shared" si="68"/>
        <v>1850.2255842350667</v>
      </c>
      <c r="G121" s="43">
        <f t="shared" si="68"/>
        <v>0</v>
      </c>
    </row>
    <row r="122" spans="1:35" s="40" customFormat="1">
      <c r="A122" s="9">
        <v>41487</v>
      </c>
      <c r="B122" s="42">
        <f t="shared" si="66"/>
        <v>3295.46</v>
      </c>
      <c r="C122" s="42">
        <f t="shared" si="64"/>
        <v>0</v>
      </c>
      <c r="D122" s="42">
        <f t="shared" si="67"/>
        <v>6019773.2955714054</v>
      </c>
      <c r="E122" s="42">
        <f t="shared" si="65"/>
        <v>0</v>
      </c>
      <c r="F122" s="88">
        <f t="shared" si="68"/>
        <v>1826.686804140061</v>
      </c>
      <c r="G122" s="43">
        <f t="shared" si="68"/>
        <v>0</v>
      </c>
    </row>
    <row r="123" spans="1:35" s="40" customFormat="1">
      <c r="A123" s="9">
        <v>41518</v>
      </c>
      <c r="B123" s="42">
        <f t="shared" si="66"/>
        <v>5755.3599999999988</v>
      </c>
      <c r="C123" s="42">
        <f t="shared" si="64"/>
        <v>0</v>
      </c>
      <c r="D123" s="42">
        <f t="shared" si="67"/>
        <v>9404725.0042404607</v>
      </c>
      <c r="E123" s="42">
        <f t="shared" si="65"/>
        <v>0</v>
      </c>
      <c r="F123" s="88">
        <f t="shared" si="68"/>
        <v>1634.0811007896052</v>
      </c>
      <c r="G123" s="43">
        <f t="shared" si="68"/>
        <v>0</v>
      </c>
    </row>
    <row r="124" spans="1:35" s="40" customFormat="1">
      <c r="A124" s="9">
        <v>41548</v>
      </c>
      <c r="B124" s="42">
        <f t="shared" si="66"/>
        <v>5021.3900000000003</v>
      </c>
      <c r="C124" s="42">
        <f t="shared" si="64"/>
        <v>0</v>
      </c>
      <c r="D124" s="42">
        <f t="shared" si="67"/>
        <v>7228891.2391869277</v>
      </c>
      <c r="E124" s="42">
        <f t="shared" si="65"/>
        <v>0</v>
      </c>
      <c r="F124" s="88">
        <f t="shared" si="68"/>
        <v>1439.6195553794721</v>
      </c>
      <c r="G124" s="43">
        <f t="shared" si="68"/>
        <v>0</v>
      </c>
    </row>
    <row r="125" spans="1:35" s="40" customFormat="1">
      <c r="A125" s="9">
        <v>41579</v>
      </c>
      <c r="B125" s="42">
        <f t="shared" si="66"/>
        <v>3464.3899999999994</v>
      </c>
      <c r="C125" s="42">
        <f t="shared" si="64"/>
        <v>0</v>
      </c>
      <c r="D125" s="42">
        <f t="shared" si="67"/>
        <v>4640188.5227106996</v>
      </c>
      <c r="E125" s="42">
        <f t="shared" si="65"/>
        <v>0</v>
      </c>
      <c r="F125" s="88">
        <f t="shared" si="68"/>
        <v>1339.3955422774861</v>
      </c>
      <c r="G125" s="43">
        <f t="shared" si="68"/>
        <v>0</v>
      </c>
    </row>
    <row r="126" spans="1:35" s="40" customFormat="1">
      <c r="A126" s="9">
        <v>41609</v>
      </c>
      <c r="B126" s="42">
        <f t="shared" si="66"/>
        <v>4440.1600000000008</v>
      </c>
      <c r="C126" s="42">
        <f t="shared" si="64"/>
        <v>0.60599999999999998</v>
      </c>
      <c r="D126" s="42">
        <f t="shared" si="67"/>
        <v>5764021.7722646128</v>
      </c>
      <c r="E126" s="42">
        <f t="shared" si="65"/>
        <v>618.94560000000001</v>
      </c>
      <c r="F126" s="88">
        <f t="shared" si="68"/>
        <v>1298.1563214534187</v>
      </c>
      <c r="G126" s="43">
        <f t="shared" si="68"/>
        <v>1021.3623762376238</v>
      </c>
    </row>
    <row r="127" spans="1:35" s="40" customFormat="1">
      <c r="A127" s="9">
        <v>41640</v>
      </c>
      <c r="B127" s="42">
        <f t="shared" si="66"/>
        <v>3727.2200000000007</v>
      </c>
      <c r="C127" s="42">
        <f t="shared" si="64"/>
        <v>0</v>
      </c>
      <c r="D127" s="42">
        <f t="shared" si="67"/>
        <v>5048886.6980486978</v>
      </c>
      <c r="E127" s="42">
        <f t="shared" si="65"/>
        <v>0</v>
      </c>
      <c r="F127" s="88">
        <f t="shared" si="68"/>
        <v>1354.5985206262835</v>
      </c>
      <c r="G127" s="43">
        <f t="shared" si="68"/>
        <v>0</v>
      </c>
    </row>
    <row r="128" spans="1:35" s="40" customFormat="1">
      <c r="A128" s="9">
        <v>41671</v>
      </c>
      <c r="B128" s="42">
        <f t="shared" si="66"/>
        <v>3452.59</v>
      </c>
      <c r="C128" s="42">
        <f t="shared" si="64"/>
        <v>0</v>
      </c>
      <c r="D128" s="42">
        <f t="shared" si="67"/>
        <v>4755259.0940472838</v>
      </c>
      <c r="E128" s="42">
        <f t="shared" si="65"/>
        <v>0</v>
      </c>
      <c r="F128" s="88">
        <f t="shared" si="68"/>
        <v>1377.301994748083</v>
      </c>
      <c r="G128" s="43">
        <f t="shared" si="68"/>
        <v>0</v>
      </c>
    </row>
    <row r="129" spans="1:49" s="40" customFormat="1">
      <c r="A129" s="9">
        <v>41699</v>
      </c>
      <c r="B129" s="42">
        <f t="shared" si="66"/>
        <v>3741.5499999999997</v>
      </c>
      <c r="C129" s="42">
        <f t="shared" si="64"/>
        <v>0</v>
      </c>
      <c r="D129" s="42">
        <f t="shared" si="67"/>
        <v>5240515.5764629468</v>
      </c>
      <c r="E129" s="42">
        <f t="shared" si="65"/>
        <v>0</v>
      </c>
      <c r="F129" s="88">
        <f t="shared" si="68"/>
        <v>1400.6268996707106</v>
      </c>
      <c r="G129" s="43">
        <f t="shared" si="68"/>
        <v>0</v>
      </c>
    </row>
    <row r="130" spans="1:49" s="40" customFormat="1">
      <c r="A130" s="141" t="s">
        <v>20</v>
      </c>
      <c r="B130" s="131">
        <f t="shared" si="66"/>
        <v>54234.750000000007</v>
      </c>
      <c r="C130" s="93"/>
      <c r="D130" s="131">
        <f t="shared" si="67"/>
        <v>87602444.780949622</v>
      </c>
      <c r="E130" s="93"/>
      <c r="F130" s="130">
        <f t="shared" si="68"/>
        <v>1615.2456640981954</v>
      </c>
      <c r="G130" s="129">
        <f t="shared" si="68"/>
        <v>0</v>
      </c>
    </row>
    <row r="131" spans="1:49" s="40" customFormat="1"/>
    <row r="132" spans="1:49" s="40" customFormat="1"/>
    <row r="133" spans="1:49" s="40" customFormat="1"/>
    <row r="134" spans="1:49" s="40" customFormat="1">
      <c r="A134" s="25" t="s">
        <v>22</v>
      </c>
      <c r="B134" s="16" t="s">
        <v>133</v>
      </c>
      <c r="C134" s="16" t="s">
        <v>19</v>
      </c>
      <c r="D134" s="161" t="s">
        <v>17</v>
      </c>
      <c r="E134" s="161" t="s">
        <v>24</v>
      </c>
      <c r="F134" s="161" t="s">
        <v>10</v>
      </c>
      <c r="G134" s="161" t="s">
        <v>11</v>
      </c>
      <c r="H134" s="161" t="s">
        <v>12</v>
      </c>
      <c r="I134" s="161" t="s">
        <v>13</v>
      </c>
      <c r="J134" s="161" t="s">
        <v>14</v>
      </c>
      <c r="K134" s="161" t="s">
        <v>18</v>
      </c>
      <c r="L134" s="161" t="s">
        <v>15</v>
      </c>
      <c r="M134" s="161" t="s">
        <v>16</v>
      </c>
      <c r="N134" s="27" t="s">
        <v>20</v>
      </c>
      <c r="P134" s="25" t="s">
        <v>22</v>
      </c>
      <c r="Q134" s="161" t="s">
        <v>133</v>
      </c>
      <c r="R134" s="161" t="s">
        <v>19</v>
      </c>
      <c r="S134" s="161" t="s">
        <v>17</v>
      </c>
      <c r="T134" s="161" t="s">
        <v>24</v>
      </c>
      <c r="U134" s="161" t="s">
        <v>10</v>
      </c>
      <c r="V134" s="161" t="s">
        <v>11</v>
      </c>
      <c r="W134" s="161" t="s">
        <v>12</v>
      </c>
      <c r="X134" s="161" t="s">
        <v>13</v>
      </c>
      <c r="Y134" s="161" t="s">
        <v>14</v>
      </c>
      <c r="Z134" s="161" t="s">
        <v>18</v>
      </c>
      <c r="AA134" s="161" t="s">
        <v>15</v>
      </c>
      <c r="AB134" s="161" t="s">
        <v>16</v>
      </c>
      <c r="AC134" s="27" t="s">
        <v>20</v>
      </c>
      <c r="AE134" s="25" t="s">
        <v>22</v>
      </c>
      <c r="AF134" s="161" t="s">
        <v>133</v>
      </c>
      <c r="AG134" s="161" t="s">
        <v>19</v>
      </c>
      <c r="AH134" s="161" t="s">
        <v>17</v>
      </c>
      <c r="AI134" s="161" t="s">
        <v>24</v>
      </c>
      <c r="AJ134" s="161" t="s">
        <v>10</v>
      </c>
      <c r="AK134" s="161" t="s">
        <v>11</v>
      </c>
      <c r="AL134" s="161" t="s">
        <v>12</v>
      </c>
      <c r="AM134" s="161" t="s">
        <v>13</v>
      </c>
      <c r="AN134" s="161" t="s">
        <v>14</v>
      </c>
      <c r="AO134" s="161" t="s">
        <v>18</v>
      </c>
      <c r="AP134" s="161" t="s">
        <v>15</v>
      </c>
      <c r="AQ134" s="161" t="s">
        <v>16</v>
      </c>
      <c r="AR134" s="27" t="s">
        <v>20</v>
      </c>
      <c r="AU134" s="161" t="s">
        <v>11</v>
      </c>
      <c r="AV134" s="161" t="s">
        <v>12</v>
      </c>
      <c r="AW134" s="161" t="s">
        <v>13</v>
      </c>
    </row>
    <row r="135" spans="1:49" s="40" customFormat="1">
      <c r="A135" s="9" t="s">
        <v>119</v>
      </c>
      <c r="B135" s="41">
        <f t="shared" ref="B135:N135" si="69">SUM(B4:B9)</f>
        <v>0</v>
      </c>
      <c r="C135" s="41">
        <f t="shared" si="69"/>
        <v>0</v>
      </c>
      <c r="D135" s="41">
        <f t="shared" si="69"/>
        <v>38.980000000000004</v>
      </c>
      <c r="E135" s="41">
        <f t="shared" si="69"/>
        <v>95.27000000000001</v>
      </c>
      <c r="F135" s="41">
        <f t="shared" si="69"/>
        <v>604.63499999999999</v>
      </c>
      <c r="G135" s="41">
        <f t="shared" si="69"/>
        <v>30387.449999999997</v>
      </c>
      <c r="H135" s="41">
        <f t="shared" si="69"/>
        <v>5407.4900000000007</v>
      </c>
      <c r="I135" s="41">
        <f t="shared" si="69"/>
        <v>956.40000000000009</v>
      </c>
      <c r="J135" s="41">
        <f t="shared" si="69"/>
        <v>3.4</v>
      </c>
      <c r="K135" s="41">
        <f t="shared" si="69"/>
        <v>220.5</v>
      </c>
      <c r="L135" s="41">
        <f t="shared" si="69"/>
        <v>252.5</v>
      </c>
      <c r="M135" s="41">
        <f t="shared" si="69"/>
        <v>173.12900000000002</v>
      </c>
      <c r="N135" s="6">
        <f t="shared" si="69"/>
        <v>38139.754000000001</v>
      </c>
      <c r="P135" s="9" t="s">
        <v>119</v>
      </c>
      <c r="Q135" s="41">
        <f t="shared" ref="Q135:AC135" si="70">SUM(Q4:Q9)</f>
        <v>0</v>
      </c>
      <c r="R135" s="41">
        <f t="shared" si="70"/>
        <v>0</v>
      </c>
      <c r="S135" s="41">
        <f t="shared" si="70"/>
        <v>6524718.0500000007</v>
      </c>
      <c r="T135" s="41">
        <f t="shared" si="70"/>
        <v>15627165.16</v>
      </c>
      <c r="U135" s="41">
        <f t="shared" si="70"/>
        <v>69857584.170000002</v>
      </c>
      <c r="V135" s="41">
        <f t="shared" si="70"/>
        <v>3331807887.6300006</v>
      </c>
      <c r="W135" s="41">
        <f t="shared" si="70"/>
        <v>626424068.31000006</v>
      </c>
      <c r="X135" s="41">
        <f t="shared" si="70"/>
        <v>109626143.47</v>
      </c>
      <c r="Y135" s="41">
        <f t="shared" si="70"/>
        <v>448154.17</v>
      </c>
      <c r="Z135" s="41">
        <f t="shared" si="70"/>
        <v>25575529.310000002</v>
      </c>
      <c r="AA135" s="41">
        <f t="shared" si="70"/>
        <v>25012530.770000003</v>
      </c>
      <c r="AB135" s="41">
        <f t="shared" si="70"/>
        <v>17083553.579999998</v>
      </c>
      <c r="AC135" s="6">
        <f t="shared" si="70"/>
        <v>4227987334.6199999</v>
      </c>
      <c r="AE135" s="9" t="s">
        <v>119</v>
      </c>
      <c r="AF135" s="41">
        <f t="shared" ref="AF135:AR135" si="71">SUM(AF4:AF9)</f>
        <v>0</v>
      </c>
      <c r="AG135" s="41">
        <f t="shared" si="71"/>
        <v>0</v>
      </c>
      <c r="AH135" s="41">
        <f t="shared" si="71"/>
        <v>107665.14598501354</v>
      </c>
      <c r="AI135" s="41">
        <f t="shared" si="71"/>
        <v>257982.89216495559</v>
      </c>
      <c r="AJ135" s="41">
        <f t="shared" si="71"/>
        <v>1146207.450996751</v>
      </c>
      <c r="AK135" s="41">
        <f t="shared" si="71"/>
        <v>54924681.878228433</v>
      </c>
      <c r="AL135" s="41">
        <f t="shared" si="71"/>
        <v>10317790.784072746</v>
      </c>
      <c r="AM135" s="41">
        <f t="shared" si="71"/>
        <v>1812568.6007370071</v>
      </c>
      <c r="AN135" s="41">
        <f t="shared" si="71"/>
        <v>7383.0999999999995</v>
      </c>
      <c r="AO135" s="41">
        <f t="shared" si="71"/>
        <v>420674.77421731723</v>
      </c>
      <c r="AP135" s="41">
        <f t="shared" si="71"/>
        <v>413720.79134184634</v>
      </c>
      <c r="AQ135" s="41">
        <f t="shared" si="71"/>
        <v>281323.90814904618</v>
      </c>
      <c r="AR135" s="6">
        <f t="shared" si="71"/>
        <v>69689999.325893134</v>
      </c>
      <c r="AU135" s="92">
        <f t="shared" ref="AU135:AW141" si="72">+AK135/G135</f>
        <v>1807.4791362298724</v>
      </c>
      <c r="AV135" s="92">
        <f t="shared" si="72"/>
        <v>1908.0554534678279</v>
      </c>
      <c r="AW135" s="92">
        <f t="shared" si="72"/>
        <v>1895.1992897710236</v>
      </c>
    </row>
    <row r="136" spans="1:49" s="40" customFormat="1">
      <c r="A136" s="151" t="s">
        <v>117</v>
      </c>
      <c r="B136" s="41">
        <f>SUM(B20:B25)+SUM(B36:B41)+SUM(B52:B57)+SUM(B68:B73)</f>
        <v>0</v>
      </c>
      <c r="C136" s="41">
        <f t="shared" ref="C136:N136" si="73">SUM(C20:C25)+SUM(C36:C41)+SUM(C52:C57)+SUM(C68:C73)</f>
        <v>0</v>
      </c>
      <c r="D136" s="41">
        <f t="shared" si="73"/>
        <v>20.07</v>
      </c>
      <c r="E136" s="41">
        <f t="shared" si="73"/>
        <v>37.57</v>
      </c>
      <c r="F136" s="41">
        <f t="shared" si="73"/>
        <v>604.63499999999999</v>
      </c>
      <c r="G136" s="41">
        <f t="shared" si="73"/>
        <v>30387.449999999997</v>
      </c>
      <c r="H136" s="41">
        <f t="shared" si="73"/>
        <v>5407.49</v>
      </c>
      <c r="I136" s="41">
        <f t="shared" si="73"/>
        <v>956.4</v>
      </c>
      <c r="J136" s="41">
        <f t="shared" si="73"/>
        <v>3.4</v>
      </c>
      <c r="K136" s="41">
        <f t="shared" si="73"/>
        <v>220.5</v>
      </c>
      <c r="L136" s="41">
        <f t="shared" si="73"/>
        <v>252.5</v>
      </c>
      <c r="M136" s="41">
        <f t="shared" si="73"/>
        <v>154</v>
      </c>
      <c r="N136" s="6">
        <f t="shared" si="73"/>
        <v>38044.014999999999</v>
      </c>
      <c r="P136" s="151" t="s">
        <v>117</v>
      </c>
      <c r="Q136" s="41">
        <f>SUM(Q20:Q25)+SUM(Q36:Q41)+SUM(Q52:Q57)+SUM(Q68:Q73)</f>
        <v>0</v>
      </c>
      <c r="R136" s="41">
        <f t="shared" ref="R136:AC136" si="74">SUM(R20:R25)+SUM(R36:R41)+SUM(R52:R57)+SUM(R68:R73)</f>
        <v>0</v>
      </c>
      <c r="S136" s="41">
        <f t="shared" si="74"/>
        <v>3972201.98</v>
      </c>
      <c r="T136" s="41">
        <f t="shared" si="74"/>
        <v>5717245.1399999997</v>
      </c>
      <c r="U136" s="41">
        <f t="shared" si="74"/>
        <v>69857584.170000002</v>
      </c>
      <c r="V136" s="41">
        <f t="shared" si="74"/>
        <v>3331807887.6300001</v>
      </c>
      <c r="W136" s="41">
        <f t="shared" si="74"/>
        <v>626424068.30999994</v>
      </c>
      <c r="X136" s="41">
        <f t="shared" si="74"/>
        <v>109626143.47</v>
      </c>
      <c r="Y136" s="41">
        <f t="shared" si="74"/>
        <v>448154.17</v>
      </c>
      <c r="Z136" s="41">
        <f t="shared" si="74"/>
        <v>25575529.309999999</v>
      </c>
      <c r="AA136" s="41">
        <f t="shared" si="74"/>
        <v>25012530.77</v>
      </c>
      <c r="AB136" s="41">
        <f t="shared" si="74"/>
        <v>15726297.93</v>
      </c>
      <c r="AC136" s="6">
        <f t="shared" si="74"/>
        <v>4214167642.8800001</v>
      </c>
      <c r="AE136" s="151" t="s">
        <v>117</v>
      </c>
      <c r="AF136" s="41">
        <f>SUM(AF20:AF25)+SUM(AF36:AF41)+SUM(AF52:AF57)+SUM(AF68:AF73)</f>
        <v>0</v>
      </c>
      <c r="AG136" s="41">
        <f t="shared" ref="AG136:AR136" si="75">SUM(AG20:AG25)+SUM(AG36:AG41)+SUM(AG52:AG57)+SUM(AG68:AG73)</f>
        <v>0</v>
      </c>
      <c r="AH136" s="41">
        <f t="shared" si="75"/>
        <v>65439.900823723226</v>
      </c>
      <c r="AI136" s="41">
        <f t="shared" si="75"/>
        <v>93725.330163934414</v>
      </c>
      <c r="AJ136" s="41">
        <f t="shared" si="75"/>
        <v>1146207.450996751</v>
      </c>
      <c r="AK136" s="41">
        <f t="shared" si="75"/>
        <v>54924681.878228448</v>
      </c>
      <c r="AL136" s="41">
        <f t="shared" si="75"/>
        <v>10317790.784072746</v>
      </c>
      <c r="AM136" s="41">
        <f t="shared" si="75"/>
        <v>1812568.6007370069</v>
      </c>
      <c r="AN136" s="41">
        <f t="shared" si="75"/>
        <v>7383.0999999999995</v>
      </c>
      <c r="AO136" s="41">
        <f t="shared" si="75"/>
        <v>420674.77421731717</v>
      </c>
      <c r="AP136" s="41">
        <f t="shared" si="75"/>
        <v>413720.79134184634</v>
      </c>
      <c r="AQ136" s="41">
        <f t="shared" si="75"/>
        <v>258871.37465028692</v>
      </c>
      <c r="AR136" s="6">
        <f t="shared" si="75"/>
        <v>69461063.985232055</v>
      </c>
      <c r="AU136" s="92">
        <f t="shared" si="72"/>
        <v>1807.4791362298729</v>
      </c>
      <c r="AV136" s="92">
        <f t="shared" si="72"/>
        <v>1908.0554534678281</v>
      </c>
      <c r="AW136" s="92">
        <f t="shared" si="72"/>
        <v>1895.1992897710236</v>
      </c>
    </row>
    <row r="137" spans="1:49" s="40" customFormat="1">
      <c r="A137" s="151" t="s">
        <v>120</v>
      </c>
      <c r="B137" s="41">
        <f t="shared" ref="B137" si="76">SUM(B84:B89)+SUM(B100:B105)</f>
        <v>0</v>
      </c>
      <c r="C137" s="41">
        <f t="shared" ref="C137:N137" si="77">SUM(C84:C89)+SUM(C100:C105)</f>
        <v>0</v>
      </c>
      <c r="D137" s="41">
        <f t="shared" si="77"/>
        <v>18.91</v>
      </c>
      <c r="E137" s="41">
        <f t="shared" si="77"/>
        <v>57.7</v>
      </c>
      <c r="F137" s="41">
        <f t="shared" si="77"/>
        <v>0</v>
      </c>
      <c r="G137" s="41">
        <f t="shared" si="77"/>
        <v>0</v>
      </c>
      <c r="H137" s="41">
        <f t="shared" si="77"/>
        <v>0</v>
      </c>
      <c r="I137" s="41">
        <f t="shared" si="77"/>
        <v>0</v>
      </c>
      <c r="J137" s="41">
        <f t="shared" si="77"/>
        <v>0</v>
      </c>
      <c r="K137" s="41">
        <f t="shared" si="77"/>
        <v>0</v>
      </c>
      <c r="L137" s="41">
        <f t="shared" si="77"/>
        <v>0</v>
      </c>
      <c r="M137" s="41">
        <f t="shared" si="77"/>
        <v>19.129000000000001</v>
      </c>
      <c r="N137" s="6">
        <f t="shared" si="77"/>
        <v>95.739000000000004</v>
      </c>
      <c r="P137" s="151" t="s">
        <v>120</v>
      </c>
      <c r="Q137" s="41">
        <f t="shared" ref="Q137" si="78">SUM(Q84:Q89)+SUM(Q100:Q105)</f>
        <v>0</v>
      </c>
      <c r="R137" s="41">
        <f t="shared" ref="R137:AC137" si="79">SUM(R84:R89)+SUM(R100:R105)</f>
        <v>0</v>
      </c>
      <c r="S137" s="41">
        <f t="shared" si="79"/>
        <v>2552516.0700000003</v>
      </c>
      <c r="T137" s="41">
        <f t="shared" si="79"/>
        <v>9909920.0199999996</v>
      </c>
      <c r="U137" s="41">
        <f t="shared" si="79"/>
        <v>0</v>
      </c>
      <c r="V137" s="41">
        <f t="shared" si="79"/>
        <v>0</v>
      </c>
      <c r="W137" s="41">
        <f t="shared" si="79"/>
        <v>0</v>
      </c>
      <c r="X137" s="41">
        <f t="shared" si="79"/>
        <v>0</v>
      </c>
      <c r="Y137" s="41">
        <f t="shared" si="79"/>
        <v>0</v>
      </c>
      <c r="Z137" s="41">
        <f t="shared" si="79"/>
        <v>0</v>
      </c>
      <c r="AA137" s="41">
        <f t="shared" si="79"/>
        <v>0</v>
      </c>
      <c r="AB137" s="41">
        <f t="shared" si="79"/>
        <v>1357255.65</v>
      </c>
      <c r="AC137" s="6">
        <f t="shared" si="79"/>
        <v>13819691.74</v>
      </c>
      <c r="AE137" s="151" t="s">
        <v>120</v>
      </c>
      <c r="AF137" s="41">
        <f t="shared" ref="AF137" si="80">SUM(AF84:AF89)+SUM(AF100:AF105)</f>
        <v>0</v>
      </c>
      <c r="AG137" s="41">
        <f t="shared" ref="AG137:AR137" si="81">SUM(AG84:AG89)+SUM(AG100:AG105)</f>
        <v>0</v>
      </c>
      <c r="AH137" s="41">
        <f t="shared" si="81"/>
        <v>42225.245161290317</v>
      </c>
      <c r="AI137" s="41">
        <f t="shared" si="81"/>
        <v>164257.56200102117</v>
      </c>
      <c r="AJ137" s="41">
        <f t="shared" si="81"/>
        <v>0</v>
      </c>
      <c r="AK137" s="41">
        <f t="shared" si="81"/>
        <v>0</v>
      </c>
      <c r="AL137" s="41">
        <f t="shared" si="81"/>
        <v>0</v>
      </c>
      <c r="AM137" s="41">
        <f t="shared" si="81"/>
        <v>0</v>
      </c>
      <c r="AN137" s="41">
        <f t="shared" si="81"/>
        <v>0</v>
      </c>
      <c r="AO137" s="41">
        <f t="shared" si="81"/>
        <v>0</v>
      </c>
      <c r="AP137" s="41">
        <f t="shared" si="81"/>
        <v>0</v>
      </c>
      <c r="AQ137" s="41">
        <f t="shared" si="81"/>
        <v>22452.533498759301</v>
      </c>
      <c r="AR137" s="6">
        <f t="shared" si="81"/>
        <v>228935.34066107078</v>
      </c>
      <c r="AU137" s="92" t="e">
        <f t="shared" si="72"/>
        <v>#DIV/0!</v>
      </c>
      <c r="AV137" s="92" t="e">
        <f t="shared" si="72"/>
        <v>#DIV/0!</v>
      </c>
      <c r="AW137" s="92" t="e">
        <f t="shared" si="72"/>
        <v>#DIV/0!</v>
      </c>
    </row>
    <row r="138" spans="1:49" s="40" customFormat="1">
      <c r="A138" s="9" t="s">
        <v>118</v>
      </c>
      <c r="B138" s="41">
        <f t="shared" ref="B138:N138" si="82">SUM(B10:B15)</f>
        <v>0</v>
      </c>
      <c r="C138" s="41">
        <f t="shared" si="82"/>
        <v>0</v>
      </c>
      <c r="D138" s="41">
        <f t="shared" si="82"/>
        <v>0</v>
      </c>
      <c r="E138" s="41">
        <f t="shared" si="82"/>
        <v>0</v>
      </c>
      <c r="F138" s="41">
        <f t="shared" si="82"/>
        <v>764.07999999999993</v>
      </c>
      <c r="G138" s="41">
        <f t="shared" si="82"/>
        <v>23847.905999999999</v>
      </c>
      <c r="H138" s="41">
        <f t="shared" si="82"/>
        <v>5267.35</v>
      </c>
      <c r="I138" s="41">
        <f t="shared" si="82"/>
        <v>837.90000000000009</v>
      </c>
      <c r="J138" s="41">
        <f t="shared" si="82"/>
        <v>2.72</v>
      </c>
      <c r="K138" s="41">
        <f t="shared" si="82"/>
        <v>86.4</v>
      </c>
      <c r="L138" s="41">
        <f t="shared" si="82"/>
        <v>52</v>
      </c>
      <c r="M138" s="41">
        <f t="shared" si="82"/>
        <v>2.6</v>
      </c>
      <c r="N138" s="6">
        <f t="shared" si="82"/>
        <v>30860.955999999998</v>
      </c>
      <c r="P138" s="9" t="s">
        <v>118</v>
      </c>
      <c r="Q138" s="41">
        <f t="shared" ref="Q138:AC138" si="83">SUM(Q10:Q15)</f>
        <v>0</v>
      </c>
      <c r="R138" s="41">
        <f t="shared" si="83"/>
        <v>0</v>
      </c>
      <c r="S138" s="41">
        <f t="shared" si="83"/>
        <v>0</v>
      </c>
      <c r="T138" s="41">
        <f t="shared" si="83"/>
        <v>0</v>
      </c>
      <c r="U138" s="41">
        <f t="shared" si="83"/>
        <v>68344083.810000002</v>
      </c>
      <c r="V138" s="41">
        <f t="shared" si="83"/>
        <v>2045755626.5099998</v>
      </c>
      <c r="W138" s="41">
        <f t="shared" si="83"/>
        <v>477780779.03999996</v>
      </c>
      <c r="X138" s="41">
        <f t="shared" si="83"/>
        <v>76400654.209999993</v>
      </c>
      <c r="Y138" s="41">
        <f t="shared" si="83"/>
        <v>283758.28999999998</v>
      </c>
      <c r="Z138" s="41">
        <f t="shared" si="83"/>
        <v>9587116.1799999997</v>
      </c>
      <c r="AA138" s="41">
        <f t="shared" si="83"/>
        <v>4871369.83</v>
      </c>
      <c r="AB138" s="41">
        <f t="shared" si="83"/>
        <v>259903.38999999998</v>
      </c>
      <c r="AC138" s="6">
        <f t="shared" si="83"/>
        <v>2683283291.2599998</v>
      </c>
      <c r="AE138" s="9" t="s">
        <v>118</v>
      </c>
      <c r="AF138" s="41">
        <f t="shared" ref="AF138:AR138" si="84">SUM(AF10:AF15)</f>
        <v>0</v>
      </c>
      <c r="AG138" s="41">
        <f t="shared" si="84"/>
        <v>0</v>
      </c>
      <c r="AH138" s="41">
        <f t="shared" si="84"/>
        <v>0</v>
      </c>
      <c r="AI138" s="41">
        <f t="shared" si="84"/>
        <v>0</v>
      </c>
      <c r="AJ138" s="41">
        <f t="shared" si="84"/>
        <v>1088914.5061212387</v>
      </c>
      <c r="AK138" s="41">
        <f t="shared" si="84"/>
        <v>32678381.84832117</v>
      </c>
      <c r="AL138" s="41">
        <f t="shared" si="84"/>
        <v>7634688.792463609</v>
      </c>
      <c r="AM138" s="41">
        <f t="shared" si="84"/>
        <v>1222480.8652253009</v>
      </c>
      <c r="AN138" s="41">
        <f t="shared" si="84"/>
        <v>4540.1326399999998</v>
      </c>
      <c r="AO138" s="41">
        <f t="shared" si="84"/>
        <v>154156.70111370497</v>
      </c>
      <c r="AP138" s="41">
        <f t="shared" si="84"/>
        <v>77599.500299105246</v>
      </c>
      <c r="AQ138" s="41">
        <f t="shared" si="84"/>
        <v>4184.6195023430337</v>
      </c>
      <c r="AR138" s="6">
        <f t="shared" si="84"/>
        <v>42864946.965686463</v>
      </c>
      <c r="AU138" s="92">
        <f t="shared" si="72"/>
        <v>1370.2830700658235</v>
      </c>
      <c r="AV138" s="92">
        <f t="shared" si="72"/>
        <v>1449.4363944798824</v>
      </c>
      <c r="AW138" s="92">
        <f t="shared" si="72"/>
        <v>1458.9818179082238</v>
      </c>
    </row>
    <row r="139" spans="1:49" s="40" customFormat="1">
      <c r="A139" s="151" t="s">
        <v>117</v>
      </c>
      <c r="B139" s="41">
        <f>SUM(B26:B31)+SUM(B42:B47)+SUM(B58:B63)+SUM(B74:B79)</f>
        <v>0</v>
      </c>
      <c r="C139" s="41">
        <f t="shared" ref="C139:N139" si="85">SUM(C26:C31)+SUM(C42:C47)+SUM(C58:C63)+SUM(C74:C79)</f>
        <v>0</v>
      </c>
      <c r="D139" s="41">
        <f t="shared" si="85"/>
        <v>0</v>
      </c>
      <c r="E139" s="41">
        <f t="shared" si="85"/>
        <v>0</v>
      </c>
      <c r="F139" s="41">
        <f t="shared" si="85"/>
        <v>764.08</v>
      </c>
      <c r="G139" s="41">
        <f t="shared" si="85"/>
        <v>23847.300000000003</v>
      </c>
      <c r="H139" s="41">
        <f t="shared" si="85"/>
        <v>5267.35</v>
      </c>
      <c r="I139" s="41">
        <f t="shared" si="85"/>
        <v>837.9</v>
      </c>
      <c r="J139" s="41">
        <f t="shared" si="85"/>
        <v>2.72</v>
      </c>
      <c r="K139" s="41">
        <f t="shared" si="85"/>
        <v>86.4</v>
      </c>
      <c r="L139" s="41">
        <f t="shared" si="85"/>
        <v>52</v>
      </c>
      <c r="M139" s="41">
        <f t="shared" si="85"/>
        <v>2.6</v>
      </c>
      <c r="N139" s="6">
        <f t="shared" si="85"/>
        <v>30860.350000000002</v>
      </c>
      <c r="P139" s="151" t="s">
        <v>117</v>
      </c>
      <c r="Q139" s="41">
        <f>SUM(Q26:Q31)+SUM(Q42:Q47)+SUM(Q58:Q63)+SUM(Q74:Q79)</f>
        <v>0</v>
      </c>
      <c r="R139" s="41">
        <f t="shared" ref="R139:AC139" si="86">SUM(R26:R31)+SUM(R42:R47)+SUM(R58:R63)+SUM(R74:R79)</f>
        <v>0</v>
      </c>
      <c r="S139" s="41">
        <f t="shared" si="86"/>
        <v>0</v>
      </c>
      <c r="T139" s="41">
        <f t="shared" si="86"/>
        <v>0</v>
      </c>
      <c r="U139" s="41">
        <f t="shared" si="86"/>
        <v>68344083.810000002</v>
      </c>
      <c r="V139" s="41">
        <f t="shared" si="86"/>
        <v>2045716942.4099996</v>
      </c>
      <c r="W139" s="41">
        <f t="shared" si="86"/>
        <v>477780779.04000008</v>
      </c>
      <c r="X139" s="41">
        <f t="shared" si="86"/>
        <v>76400654.210000008</v>
      </c>
      <c r="Y139" s="41">
        <f t="shared" si="86"/>
        <v>283758.28999999998</v>
      </c>
      <c r="Z139" s="41">
        <f t="shared" si="86"/>
        <v>9587116.1799999997</v>
      </c>
      <c r="AA139" s="41">
        <f t="shared" si="86"/>
        <v>4871369.83</v>
      </c>
      <c r="AB139" s="41">
        <f t="shared" si="86"/>
        <v>259903.38999999998</v>
      </c>
      <c r="AC139" s="6">
        <f t="shared" si="86"/>
        <v>2683244607.1599998</v>
      </c>
      <c r="AE139" s="151" t="s">
        <v>117</v>
      </c>
      <c r="AF139" s="41">
        <f>SUM(AF26:AF31)+SUM(AF42:AF47)+SUM(AF58:AF63)+SUM(AF74:AF79)</f>
        <v>0</v>
      </c>
      <c r="AG139" s="41">
        <f t="shared" ref="AG139:AR139" si="87">SUM(AG26:AG31)+SUM(AG42:AG47)+SUM(AG58:AG63)+SUM(AG74:AG79)</f>
        <v>0</v>
      </c>
      <c r="AH139" s="41">
        <f t="shared" si="87"/>
        <v>0</v>
      </c>
      <c r="AI139" s="41">
        <f t="shared" si="87"/>
        <v>0</v>
      </c>
      <c r="AJ139" s="41">
        <f t="shared" si="87"/>
        <v>1088914.5061212387</v>
      </c>
      <c r="AK139" s="41">
        <f t="shared" si="87"/>
        <v>32677762.902721167</v>
      </c>
      <c r="AL139" s="41">
        <f t="shared" si="87"/>
        <v>7634688.792463609</v>
      </c>
      <c r="AM139" s="41">
        <f t="shared" si="87"/>
        <v>1222480.8652253009</v>
      </c>
      <c r="AN139" s="41">
        <f t="shared" si="87"/>
        <v>4540.1326399999998</v>
      </c>
      <c r="AO139" s="41">
        <f t="shared" si="87"/>
        <v>154156.70111370494</v>
      </c>
      <c r="AP139" s="41">
        <f t="shared" si="87"/>
        <v>77599.500299105246</v>
      </c>
      <c r="AQ139" s="41">
        <f t="shared" si="87"/>
        <v>4184.6195023430337</v>
      </c>
      <c r="AR139" s="6">
        <f t="shared" si="87"/>
        <v>42864328.020086467</v>
      </c>
      <c r="AU139" s="92">
        <f t="shared" si="72"/>
        <v>1370.2919367274769</v>
      </c>
      <c r="AV139" s="92">
        <f t="shared" si="72"/>
        <v>1449.4363944798824</v>
      </c>
      <c r="AW139" s="92">
        <f t="shared" si="72"/>
        <v>1458.981817908224</v>
      </c>
    </row>
    <row r="140" spans="1:49" s="40" customFormat="1">
      <c r="A140" s="151" t="s">
        <v>120</v>
      </c>
      <c r="B140" s="41">
        <f t="shared" ref="B140" si="88">SUM(B90:B95)+SUM(B106:B111)</f>
        <v>0</v>
      </c>
      <c r="C140" s="41">
        <f t="shared" ref="C140:N140" si="89">SUM(C90:C95)+SUM(C106:C111)</f>
        <v>0</v>
      </c>
      <c r="D140" s="41">
        <f t="shared" si="89"/>
        <v>0</v>
      </c>
      <c r="E140" s="41">
        <f t="shared" si="89"/>
        <v>0</v>
      </c>
      <c r="F140" s="41">
        <f t="shared" si="89"/>
        <v>0</v>
      </c>
      <c r="G140" s="41">
        <f t="shared" si="89"/>
        <v>0.60599999999999998</v>
      </c>
      <c r="H140" s="41">
        <f t="shared" si="89"/>
        <v>0</v>
      </c>
      <c r="I140" s="41">
        <f t="shared" si="89"/>
        <v>0</v>
      </c>
      <c r="J140" s="41">
        <f t="shared" si="89"/>
        <v>0</v>
      </c>
      <c r="K140" s="41">
        <f t="shared" si="89"/>
        <v>0</v>
      </c>
      <c r="L140" s="41">
        <f t="shared" si="89"/>
        <v>0</v>
      </c>
      <c r="M140" s="41">
        <f t="shared" si="89"/>
        <v>0</v>
      </c>
      <c r="N140" s="6">
        <f t="shared" si="89"/>
        <v>0.60599999999999998</v>
      </c>
      <c r="P140" s="151" t="s">
        <v>120</v>
      </c>
      <c r="Q140" s="41">
        <f t="shared" ref="Q140" si="90">SUM(Q90:Q95)+SUM(Q106:Q111)</f>
        <v>0</v>
      </c>
      <c r="R140" s="41">
        <f t="shared" ref="R140:AC140" si="91">SUM(R90:R95)+SUM(R106:R111)</f>
        <v>0</v>
      </c>
      <c r="S140" s="41">
        <f t="shared" si="91"/>
        <v>0</v>
      </c>
      <c r="T140" s="41">
        <f t="shared" si="91"/>
        <v>0</v>
      </c>
      <c r="U140" s="41">
        <f t="shared" si="91"/>
        <v>0</v>
      </c>
      <c r="V140" s="41">
        <f t="shared" si="91"/>
        <v>38684.1</v>
      </c>
      <c r="W140" s="41">
        <f t="shared" si="91"/>
        <v>0</v>
      </c>
      <c r="X140" s="41">
        <f t="shared" si="91"/>
        <v>0</v>
      </c>
      <c r="Y140" s="41">
        <f t="shared" si="91"/>
        <v>0</v>
      </c>
      <c r="Z140" s="41">
        <f t="shared" si="91"/>
        <v>0</v>
      </c>
      <c r="AA140" s="41">
        <f t="shared" si="91"/>
        <v>0</v>
      </c>
      <c r="AB140" s="41">
        <f t="shared" si="91"/>
        <v>0</v>
      </c>
      <c r="AC140" s="6">
        <f t="shared" si="91"/>
        <v>38684.1</v>
      </c>
      <c r="AE140" s="151" t="s">
        <v>120</v>
      </c>
      <c r="AF140" s="41">
        <f t="shared" ref="AF140" si="92">SUM(AF90:AF95)+SUM(AF106:AF111)</f>
        <v>0</v>
      </c>
      <c r="AG140" s="41">
        <f t="shared" ref="AG140:AR140" si="93">SUM(AG90:AG95)+SUM(AG106:AG111)</f>
        <v>0</v>
      </c>
      <c r="AH140" s="41">
        <f t="shared" si="93"/>
        <v>0</v>
      </c>
      <c r="AI140" s="41">
        <f t="shared" si="93"/>
        <v>0</v>
      </c>
      <c r="AJ140" s="41">
        <f t="shared" si="93"/>
        <v>0</v>
      </c>
      <c r="AK140" s="41">
        <f t="shared" si="93"/>
        <v>618.94560000000001</v>
      </c>
      <c r="AL140" s="41">
        <f t="shared" si="93"/>
        <v>0</v>
      </c>
      <c r="AM140" s="41">
        <f t="shared" si="93"/>
        <v>0</v>
      </c>
      <c r="AN140" s="41">
        <f t="shared" si="93"/>
        <v>0</v>
      </c>
      <c r="AO140" s="41">
        <f t="shared" si="93"/>
        <v>0</v>
      </c>
      <c r="AP140" s="41">
        <f t="shared" si="93"/>
        <v>0</v>
      </c>
      <c r="AQ140" s="41">
        <f t="shared" si="93"/>
        <v>0</v>
      </c>
      <c r="AR140" s="6">
        <f t="shared" si="93"/>
        <v>618.94560000000001</v>
      </c>
      <c r="AU140" s="92">
        <f t="shared" si="72"/>
        <v>1021.3623762376238</v>
      </c>
      <c r="AV140" s="92" t="e">
        <f t="shared" si="72"/>
        <v>#DIV/0!</v>
      </c>
      <c r="AW140" s="92" t="e">
        <f t="shared" si="72"/>
        <v>#DIV/0!</v>
      </c>
    </row>
    <row r="141" spans="1:49" s="40" customFormat="1">
      <c r="A141" s="28" t="s">
        <v>4</v>
      </c>
      <c r="B141" s="4">
        <f t="shared" ref="B141:N141" si="94">B135+B138</f>
        <v>0</v>
      </c>
      <c r="C141" s="4">
        <f t="shared" si="94"/>
        <v>0</v>
      </c>
      <c r="D141" s="4">
        <f t="shared" si="94"/>
        <v>38.980000000000004</v>
      </c>
      <c r="E141" s="4">
        <f t="shared" si="94"/>
        <v>95.27000000000001</v>
      </c>
      <c r="F141" s="4">
        <f t="shared" si="94"/>
        <v>1368.7149999999999</v>
      </c>
      <c r="G141" s="4">
        <f t="shared" si="94"/>
        <v>54235.356</v>
      </c>
      <c r="H141" s="4">
        <f t="shared" si="94"/>
        <v>10674.84</v>
      </c>
      <c r="I141" s="4">
        <f t="shared" si="94"/>
        <v>1794.3000000000002</v>
      </c>
      <c r="J141" s="4">
        <f t="shared" si="94"/>
        <v>6.12</v>
      </c>
      <c r="K141" s="4">
        <f t="shared" si="94"/>
        <v>306.89999999999998</v>
      </c>
      <c r="L141" s="4">
        <f t="shared" si="94"/>
        <v>304.5</v>
      </c>
      <c r="M141" s="4">
        <f t="shared" si="94"/>
        <v>175.72900000000001</v>
      </c>
      <c r="N141" s="7">
        <f t="shared" si="94"/>
        <v>69000.709999999992</v>
      </c>
      <c r="P141" s="28" t="s">
        <v>4</v>
      </c>
      <c r="Q141" s="4">
        <f t="shared" ref="Q141:AC141" si="95">Q135+Q138</f>
        <v>0</v>
      </c>
      <c r="R141" s="4">
        <f t="shared" si="95"/>
        <v>0</v>
      </c>
      <c r="S141" s="4">
        <f t="shared" si="95"/>
        <v>6524718.0500000007</v>
      </c>
      <c r="T141" s="4">
        <f t="shared" si="95"/>
        <v>15627165.16</v>
      </c>
      <c r="U141" s="4">
        <f t="shared" si="95"/>
        <v>138201667.98000002</v>
      </c>
      <c r="V141" s="4">
        <f t="shared" si="95"/>
        <v>5377563514.1400003</v>
      </c>
      <c r="W141" s="4">
        <f t="shared" si="95"/>
        <v>1104204847.3499999</v>
      </c>
      <c r="X141" s="4">
        <f t="shared" si="95"/>
        <v>186026797.68000001</v>
      </c>
      <c r="Y141" s="4">
        <f t="shared" si="95"/>
        <v>731912.46</v>
      </c>
      <c r="Z141" s="4">
        <f t="shared" si="95"/>
        <v>35162645.490000002</v>
      </c>
      <c r="AA141" s="4">
        <f t="shared" si="95"/>
        <v>29883900.600000001</v>
      </c>
      <c r="AB141" s="4">
        <f t="shared" si="95"/>
        <v>17343456.969999999</v>
      </c>
      <c r="AC141" s="7">
        <f t="shared" si="95"/>
        <v>6911270625.8799992</v>
      </c>
      <c r="AE141" s="28" t="s">
        <v>4</v>
      </c>
      <c r="AF141" s="4">
        <f t="shared" ref="AF141:AR141" si="96">AF135+AF138</f>
        <v>0</v>
      </c>
      <c r="AG141" s="4">
        <f t="shared" si="96"/>
        <v>0</v>
      </c>
      <c r="AH141" s="4">
        <f t="shared" si="96"/>
        <v>107665.14598501354</v>
      </c>
      <c r="AI141" s="4">
        <f t="shared" si="96"/>
        <v>257982.89216495559</v>
      </c>
      <c r="AJ141" s="4">
        <f t="shared" si="96"/>
        <v>2235121.9571179897</v>
      </c>
      <c r="AK141" s="4">
        <f t="shared" si="96"/>
        <v>87603063.726549596</v>
      </c>
      <c r="AL141" s="4">
        <f t="shared" si="96"/>
        <v>17952479.576536354</v>
      </c>
      <c r="AM141" s="4">
        <f t="shared" si="96"/>
        <v>3035049.465962308</v>
      </c>
      <c r="AN141" s="4">
        <f t="shared" si="96"/>
        <v>11923.232639999998</v>
      </c>
      <c r="AO141" s="4">
        <f t="shared" si="96"/>
        <v>574831.47533102217</v>
      </c>
      <c r="AP141" s="4">
        <f t="shared" si="96"/>
        <v>491320.29164095159</v>
      </c>
      <c r="AQ141" s="4">
        <f t="shared" si="96"/>
        <v>285508.52765138925</v>
      </c>
      <c r="AR141" s="7">
        <f t="shared" si="96"/>
        <v>112554946.2915796</v>
      </c>
      <c r="AU141" s="92">
        <f t="shared" si="72"/>
        <v>1615.2390283295936</v>
      </c>
      <c r="AV141" s="92">
        <f t="shared" si="72"/>
        <v>1681.7563145242789</v>
      </c>
      <c r="AW141" s="92">
        <f t="shared" si="72"/>
        <v>1691.4949930124883</v>
      </c>
    </row>
    <row r="150" spans="1:49" s="40" customFormat="1">
      <c r="A150" s="25" t="s">
        <v>109</v>
      </c>
      <c r="B150" s="16" t="s">
        <v>133</v>
      </c>
      <c r="C150" s="16" t="s">
        <v>19</v>
      </c>
      <c r="D150" s="159" t="s">
        <v>17</v>
      </c>
      <c r="E150" s="159" t="s">
        <v>134</v>
      </c>
      <c r="F150" s="387" t="s">
        <v>10</v>
      </c>
      <c r="G150" s="387" t="s">
        <v>11</v>
      </c>
      <c r="H150" s="387" t="s">
        <v>12</v>
      </c>
      <c r="I150" s="387" t="s">
        <v>13</v>
      </c>
      <c r="J150" s="387" t="s">
        <v>14</v>
      </c>
      <c r="K150" s="387" t="s">
        <v>18</v>
      </c>
      <c r="L150" s="387" t="s">
        <v>15</v>
      </c>
      <c r="M150" s="387" t="s">
        <v>16</v>
      </c>
      <c r="N150" s="27" t="s">
        <v>20</v>
      </c>
      <c r="P150" s="25" t="s">
        <v>109</v>
      </c>
      <c r="Q150" s="387" t="s">
        <v>133</v>
      </c>
      <c r="R150" s="387" t="s">
        <v>19</v>
      </c>
      <c r="S150" s="387" t="s">
        <v>17</v>
      </c>
      <c r="T150" s="387" t="s">
        <v>134</v>
      </c>
      <c r="U150" s="387" t="s">
        <v>10</v>
      </c>
      <c r="V150" s="387" t="s">
        <v>11</v>
      </c>
      <c r="W150" s="387" t="s">
        <v>12</v>
      </c>
      <c r="X150" s="387" t="s">
        <v>13</v>
      </c>
      <c r="Y150" s="387" t="s">
        <v>14</v>
      </c>
      <c r="Z150" s="387" t="s">
        <v>18</v>
      </c>
      <c r="AA150" s="387" t="s">
        <v>15</v>
      </c>
      <c r="AB150" s="387" t="s">
        <v>16</v>
      </c>
      <c r="AC150" s="27" t="s">
        <v>20</v>
      </c>
      <c r="AE150" s="25" t="s">
        <v>22</v>
      </c>
      <c r="AF150" s="387" t="s">
        <v>133</v>
      </c>
      <c r="AG150" s="387" t="s">
        <v>19</v>
      </c>
      <c r="AH150" s="387" t="s">
        <v>17</v>
      </c>
      <c r="AI150" s="387" t="s">
        <v>134</v>
      </c>
      <c r="AJ150" s="387" t="s">
        <v>10</v>
      </c>
      <c r="AK150" s="387" t="s">
        <v>11</v>
      </c>
      <c r="AL150" s="387" t="s">
        <v>12</v>
      </c>
      <c r="AM150" s="387" t="s">
        <v>13</v>
      </c>
      <c r="AN150" s="387" t="s">
        <v>14</v>
      </c>
      <c r="AO150" s="387" t="s">
        <v>18</v>
      </c>
      <c r="AP150" s="387" t="s">
        <v>15</v>
      </c>
      <c r="AQ150" s="387" t="s">
        <v>16</v>
      </c>
      <c r="AR150" s="27" t="s">
        <v>20</v>
      </c>
      <c r="AU150" s="387" t="s">
        <v>11</v>
      </c>
      <c r="AV150" s="387" t="s">
        <v>12</v>
      </c>
      <c r="AW150" s="387" t="s">
        <v>13</v>
      </c>
    </row>
    <row r="151" spans="1:49" s="40" customFormat="1">
      <c r="A151" s="9">
        <v>41365</v>
      </c>
      <c r="B151" s="41">
        <f>B20+B36+B52</f>
        <v>0</v>
      </c>
      <c r="C151" s="41">
        <f t="shared" ref="C151:M151" si="97">C20+C36+C52</f>
        <v>0</v>
      </c>
      <c r="D151" s="41">
        <f t="shared" si="97"/>
        <v>0</v>
      </c>
      <c r="E151" s="41">
        <f t="shared" si="97"/>
        <v>0</v>
      </c>
      <c r="F151" s="41">
        <f t="shared" si="97"/>
        <v>52.160000000000004</v>
      </c>
      <c r="G151" s="41">
        <f t="shared" si="97"/>
        <v>5022.21</v>
      </c>
      <c r="H151" s="41">
        <f t="shared" si="97"/>
        <v>1061.5900000000001</v>
      </c>
      <c r="I151" s="41">
        <f t="shared" si="97"/>
        <v>132.12</v>
      </c>
      <c r="J151" s="41">
        <f t="shared" si="97"/>
        <v>0</v>
      </c>
      <c r="K151" s="41">
        <f t="shared" si="97"/>
        <v>12</v>
      </c>
      <c r="L151" s="41">
        <f t="shared" si="97"/>
        <v>0</v>
      </c>
      <c r="M151" s="41">
        <f t="shared" si="97"/>
        <v>32</v>
      </c>
      <c r="N151" s="6">
        <f>SUM(B151:M151)</f>
        <v>6312.08</v>
      </c>
      <c r="P151" s="9">
        <v>41365</v>
      </c>
      <c r="Q151" s="41">
        <f>Q20+Q36+Q52</f>
        <v>0</v>
      </c>
      <c r="R151" s="41">
        <f t="shared" ref="R151:AB151" si="98">R20+R36+R52</f>
        <v>0</v>
      </c>
      <c r="S151" s="41">
        <f t="shared" si="98"/>
        <v>0</v>
      </c>
      <c r="T151" s="41">
        <f t="shared" si="98"/>
        <v>0</v>
      </c>
      <c r="U151" s="41">
        <f t="shared" si="98"/>
        <v>6280275.9499999993</v>
      </c>
      <c r="V151" s="41">
        <f t="shared" si="98"/>
        <v>561901606.31000006</v>
      </c>
      <c r="W151" s="41">
        <f t="shared" si="98"/>
        <v>134103839.67</v>
      </c>
      <c r="X151" s="41">
        <f t="shared" si="98"/>
        <v>15860925.140000001</v>
      </c>
      <c r="Y151" s="41">
        <f t="shared" si="98"/>
        <v>0</v>
      </c>
      <c r="Z151" s="41">
        <f t="shared" si="98"/>
        <v>1392042.6</v>
      </c>
      <c r="AA151" s="41">
        <f t="shared" si="98"/>
        <v>0</v>
      </c>
      <c r="AB151" s="41">
        <f t="shared" si="98"/>
        <v>3242342.3999999999</v>
      </c>
      <c r="AC151" s="6">
        <f>SUM(Q151:AB151)</f>
        <v>722781032.07000005</v>
      </c>
      <c r="AE151" s="9">
        <v>41365</v>
      </c>
      <c r="AF151" s="41">
        <f>AF20+AF36+AF52</f>
        <v>0</v>
      </c>
      <c r="AG151" s="41">
        <f t="shared" ref="AG151:AQ151" si="99">AG20+AG36+AG52</f>
        <v>0</v>
      </c>
      <c r="AH151" s="41">
        <f t="shared" si="99"/>
        <v>0</v>
      </c>
      <c r="AI151" s="41">
        <f t="shared" si="99"/>
        <v>0</v>
      </c>
      <c r="AJ151" s="41">
        <f t="shared" si="99"/>
        <v>103242.19999999998</v>
      </c>
      <c r="AK151" s="41">
        <f t="shared" si="99"/>
        <v>9253429.016839603</v>
      </c>
      <c r="AL151" s="41">
        <f t="shared" si="99"/>
        <v>2212220.9125155089</v>
      </c>
      <c r="AM151" s="41">
        <f t="shared" si="99"/>
        <v>260870.4792763158</v>
      </c>
      <c r="AN151" s="41">
        <f t="shared" si="99"/>
        <v>0</v>
      </c>
      <c r="AO151" s="41">
        <f t="shared" si="99"/>
        <v>23028</v>
      </c>
      <c r="AP151" s="41">
        <f t="shared" si="99"/>
        <v>0</v>
      </c>
      <c r="AQ151" s="41">
        <f t="shared" si="99"/>
        <v>53328</v>
      </c>
      <c r="AR151" s="6">
        <f>SUM(AF151:AQ151)</f>
        <v>11906118.608631426</v>
      </c>
      <c r="AU151" s="92">
        <f t="shared" ref="AU151:AW162" si="100">+AK151/G151</f>
        <v>1842.5014120953929</v>
      </c>
      <c r="AV151" s="92">
        <f t="shared" si="100"/>
        <v>2083.8750482912506</v>
      </c>
      <c r="AW151" s="92">
        <f t="shared" si="100"/>
        <v>1974.4965128392053</v>
      </c>
    </row>
    <row r="152" spans="1:49" s="40" customFormat="1">
      <c r="A152" s="9">
        <v>41395</v>
      </c>
      <c r="B152" s="41">
        <f t="shared" ref="B152:M162" si="101">B21+B37+B53</f>
        <v>0</v>
      </c>
      <c r="C152" s="41">
        <f t="shared" si="101"/>
        <v>0</v>
      </c>
      <c r="D152" s="41">
        <f t="shared" si="101"/>
        <v>0</v>
      </c>
      <c r="E152" s="41">
        <f t="shared" si="101"/>
        <v>0</v>
      </c>
      <c r="F152" s="41">
        <f t="shared" si="101"/>
        <v>77.400000000000006</v>
      </c>
      <c r="G152" s="41">
        <f t="shared" si="101"/>
        <v>5745.41</v>
      </c>
      <c r="H152" s="41">
        <f t="shared" si="101"/>
        <v>1136.73</v>
      </c>
      <c r="I152" s="41">
        <f t="shared" si="101"/>
        <v>132.34</v>
      </c>
      <c r="J152" s="41">
        <f t="shared" si="101"/>
        <v>0</v>
      </c>
      <c r="K152" s="41">
        <f t="shared" si="101"/>
        <v>30</v>
      </c>
      <c r="L152" s="41">
        <f t="shared" si="101"/>
        <v>58</v>
      </c>
      <c r="M152" s="41">
        <f t="shared" si="101"/>
        <v>0</v>
      </c>
      <c r="N152" s="6">
        <f t="shared" ref="N152:N163" si="102">SUM(B152:M152)</f>
        <v>7179.8799999999992</v>
      </c>
      <c r="P152" s="9">
        <v>41395</v>
      </c>
      <c r="Q152" s="41">
        <f t="shared" ref="Q152:AB162" si="103">Q21+Q37+Q53</f>
        <v>0</v>
      </c>
      <c r="R152" s="41">
        <f t="shared" si="103"/>
        <v>0</v>
      </c>
      <c r="S152" s="41">
        <f t="shared" si="103"/>
        <v>0</v>
      </c>
      <c r="T152" s="41">
        <f t="shared" si="103"/>
        <v>0</v>
      </c>
      <c r="U152" s="41">
        <f t="shared" si="103"/>
        <v>8734537.5199999996</v>
      </c>
      <c r="V152" s="41">
        <f t="shared" si="103"/>
        <v>642021573.54000008</v>
      </c>
      <c r="W152" s="41">
        <f t="shared" si="103"/>
        <v>141215944.88999999</v>
      </c>
      <c r="X152" s="41">
        <f t="shared" si="103"/>
        <v>15865715.949999999</v>
      </c>
      <c r="Y152" s="41">
        <f t="shared" si="103"/>
        <v>0</v>
      </c>
      <c r="Z152" s="41">
        <f t="shared" si="103"/>
        <v>3573945.6</v>
      </c>
      <c r="AA152" s="41">
        <f t="shared" si="103"/>
        <v>5897299.370000001</v>
      </c>
      <c r="AB152" s="41">
        <f t="shared" si="103"/>
        <v>0</v>
      </c>
      <c r="AC152" s="6">
        <f t="shared" ref="AC152:AC163" si="104">SUM(Q152:AB152)</f>
        <v>817309016.87000012</v>
      </c>
      <c r="AE152" s="9">
        <v>41395</v>
      </c>
      <c r="AF152" s="41">
        <f t="shared" ref="AF152:AQ162" si="105">AF21+AF37+AF53</f>
        <v>0</v>
      </c>
      <c r="AG152" s="41">
        <f t="shared" si="105"/>
        <v>0</v>
      </c>
      <c r="AH152" s="41">
        <f t="shared" si="105"/>
        <v>0</v>
      </c>
      <c r="AI152" s="41">
        <f t="shared" si="105"/>
        <v>0</v>
      </c>
      <c r="AJ152" s="41">
        <f t="shared" si="105"/>
        <v>143542.11207888252</v>
      </c>
      <c r="AK152" s="41">
        <f t="shared" si="105"/>
        <v>10624625.447650656</v>
      </c>
      <c r="AL152" s="41">
        <f t="shared" si="105"/>
        <v>2333838.969657938</v>
      </c>
      <c r="AM152" s="41">
        <f t="shared" si="105"/>
        <v>261659.79534588341</v>
      </c>
      <c r="AN152" s="41">
        <f t="shared" si="105"/>
        <v>0</v>
      </c>
      <c r="AO152" s="41">
        <f t="shared" si="105"/>
        <v>58733.699260476584</v>
      </c>
      <c r="AP152" s="41">
        <f t="shared" si="105"/>
        <v>97792.036106489177</v>
      </c>
      <c r="AQ152" s="41">
        <f t="shared" si="105"/>
        <v>0</v>
      </c>
      <c r="AR152" s="6">
        <f t="shared" ref="AR152:AR163" si="106">SUM(AF152:AQ152)</f>
        <v>13520192.060100328</v>
      </c>
      <c r="AU152" s="92">
        <f t="shared" si="100"/>
        <v>1849.237121049787</v>
      </c>
      <c r="AV152" s="92">
        <f t="shared" si="100"/>
        <v>2053.1163685817546</v>
      </c>
      <c r="AW152" s="92">
        <f t="shared" si="100"/>
        <v>1977.1784445056928</v>
      </c>
    </row>
    <row r="153" spans="1:49" s="40" customFormat="1">
      <c r="A153" s="9">
        <v>41426</v>
      </c>
      <c r="B153" s="41">
        <f t="shared" si="101"/>
        <v>0</v>
      </c>
      <c r="C153" s="41">
        <f t="shared" si="101"/>
        <v>0</v>
      </c>
      <c r="D153" s="41">
        <f t="shared" si="101"/>
        <v>0</v>
      </c>
      <c r="E153" s="41">
        <f t="shared" si="101"/>
        <v>0</v>
      </c>
      <c r="F153" s="41">
        <f t="shared" si="101"/>
        <v>79.759999999999991</v>
      </c>
      <c r="G153" s="41">
        <f t="shared" si="101"/>
        <v>5179.33</v>
      </c>
      <c r="H153" s="41">
        <f t="shared" si="101"/>
        <v>877.72</v>
      </c>
      <c r="I153" s="41">
        <f t="shared" si="101"/>
        <v>134.64000000000001</v>
      </c>
      <c r="J153" s="41">
        <f t="shared" si="101"/>
        <v>0</v>
      </c>
      <c r="K153" s="41">
        <f t="shared" si="101"/>
        <v>5.5</v>
      </c>
      <c r="L153" s="41">
        <f t="shared" si="101"/>
        <v>76.5</v>
      </c>
      <c r="M153" s="41">
        <f t="shared" si="101"/>
        <v>15</v>
      </c>
      <c r="N153" s="6">
        <f t="shared" si="102"/>
        <v>6368.4500000000007</v>
      </c>
      <c r="O153" s="42">
        <f>N151+N152+N153</f>
        <v>19860.41</v>
      </c>
      <c r="P153" s="9">
        <v>41426</v>
      </c>
      <c r="Q153" s="41">
        <f t="shared" si="103"/>
        <v>0</v>
      </c>
      <c r="R153" s="41">
        <f t="shared" si="103"/>
        <v>0</v>
      </c>
      <c r="S153" s="41">
        <f t="shared" si="103"/>
        <v>0</v>
      </c>
      <c r="T153" s="41">
        <f t="shared" si="103"/>
        <v>0</v>
      </c>
      <c r="U153" s="41">
        <f t="shared" si="103"/>
        <v>9515916.6099999994</v>
      </c>
      <c r="V153" s="41">
        <f t="shared" si="103"/>
        <v>578867412.62</v>
      </c>
      <c r="W153" s="41">
        <f t="shared" si="103"/>
        <v>101348361.53</v>
      </c>
      <c r="X153" s="41">
        <f t="shared" si="103"/>
        <v>15170375.390000001</v>
      </c>
      <c r="Y153" s="41">
        <f t="shared" si="103"/>
        <v>0</v>
      </c>
      <c r="Z153" s="41">
        <f t="shared" si="103"/>
        <v>595932.06000000006</v>
      </c>
      <c r="AA153" s="41">
        <f t="shared" si="103"/>
        <v>7788308.5199999996</v>
      </c>
      <c r="AB153" s="41">
        <f t="shared" si="103"/>
        <v>1496100.38</v>
      </c>
      <c r="AC153" s="6">
        <f t="shared" si="104"/>
        <v>714782407.1099999</v>
      </c>
      <c r="AE153" s="9">
        <v>41426</v>
      </c>
      <c r="AF153" s="41">
        <f t="shared" si="105"/>
        <v>0</v>
      </c>
      <c r="AG153" s="41">
        <f t="shared" si="105"/>
        <v>0</v>
      </c>
      <c r="AH153" s="41">
        <f t="shared" si="105"/>
        <v>0</v>
      </c>
      <c r="AI153" s="41">
        <f t="shared" si="105"/>
        <v>0</v>
      </c>
      <c r="AJ153" s="41">
        <f t="shared" si="105"/>
        <v>158416.92782369629</v>
      </c>
      <c r="AK153" s="41">
        <f t="shared" si="105"/>
        <v>9650005.2870862652</v>
      </c>
      <c r="AL153" s="41">
        <f t="shared" si="105"/>
        <v>1684429.7201583143</v>
      </c>
      <c r="AM153" s="41">
        <f t="shared" si="105"/>
        <v>253019.8969293728</v>
      </c>
      <c r="AN153" s="41">
        <f t="shared" si="105"/>
        <v>0</v>
      </c>
      <c r="AO153" s="41">
        <f t="shared" si="105"/>
        <v>9915.6748752079875</v>
      </c>
      <c r="AP153" s="41">
        <f t="shared" si="105"/>
        <v>129795.60507439352</v>
      </c>
      <c r="AQ153" s="41">
        <f t="shared" si="105"/>
        <v>24997.500083542185</v>
      </c>
      <c r="AR153" s="6">
        <f t="shared" si="106"/>
        <v>11910580.612030789</v>
      </c>
      <c r="AU153" s="92">
        <f t="shared" si="100"/>
        <v>1863.176373601656</v>
      </c>
      <c r="AV153" s="92">
        <f t="shared" si="100"/>
        <v>1919.0968875704259</v>
      </c>
      <c r="AW153" s="92">
        <f t="shared" si="100"/>
        <v>1879.2327460589183</v>
      </c>
    </row>
    <row r="154" spans="1:49" s="40" customFormat="1">
      <c r="A154" s="9">
        <v>41456</v>
      </c>
      <c r="B154" s="41">
        <f t="shared" si="101"/>
        <v>0</v>
      </c>
      <c r="C154" s="41">
        <f t="shared" si="101"/>
        <v>0</v>
      </c>
      <c r="D154" s="41">
        <f t="shared" si="101"/>
        <v>0</v>
      </c>
      <c r="E154" s="41">
        <f t="shared" si="101"/>
        <v>0</v>
      </c>
      <c r="F154" s="41">
        <f t="shared" si="101"/>
        <v>48.36</v>
      </c>
      <c r="G154" s="41">
        <f t="shared" si="101"/>
        <v>5389.68</v>
      </c>
      <c r="H154" s="41">
        <f t="shared" si="101"/>
        <v>497.67</v>
      </c>
      <c r="I154" s="41">
        <f t="shared" si="101"/>
        <v>458.59999999999997</v>
      </c>
      <c r="J154" s="41">
        <f t="shared" si="101"/>
        <v>3.4</v>
      </c>
      <c r="K154" s="41">
        <f t="shared" si="101"/>
        <v>41</v>
      </c>
      <c r="L154" s="41">
        <f t="shared" si="101"/>
        <v>28</v>
      </c>
      <c r="M154" s="41">
        <f t="shared" si="101"/>
        <v>17</v>
      </c>
      <c r="N154" s="6">
        <f t="shared" si="102"/>
        <v>6483.71</v>
      </c>
      <c r="P154" s="9">
        <v>41456</v>
      </c>
      <c r="Q154" s="41">
        <f t="shared" si="103"/>
        <v>0</v>
      </c>
      <c r="R154" s="41">
        <f t="shared" si="103"/>
        <v>0</v>
      </c>
      <c r="S154" s="41">
        <f t="shared" si="103"/>
        <v>0</v>
      </c>
      <c r="T154" s="41">
        <f t="shared" si="103"/>
        <v>0</v>
      </c>
      <c r="U154" s="41">
        <f t="shared" si="103"/>
        <v>5656352.4900000002</v>
      </c>
      <c r="V154" s="41">
        <f t="shared" si="103"/>
        <v>603089628.07000005</v>
      </c>
      <c r="W154" s="41">
        <f t="shared" si="103"/>
        <v>58407543.75</v>
      </c>
      <c r="X154" s="41">
        <f t="shared" si="103"/>
        <v>52931949.860000007</v>
      </c>
      <c r="Y154" s="41">
        <f t="shared" si="103"/>
        <v>448154.17</v>
      </c>
      <c r="Z154" s="41">
        <f t="shared" si="103"/>
        <v>4781973.2700000005</v>
      </c>
      <c r="AA154" s="41">
        <f t="shared" si="103"/>
        <v>2751818.35</v>
      </c>
      <c r="AB154" s="41">
        <f t="shared" si="103"/>
        <v>1750483.52</v>
      </c>
      <c r="AC154" s="6">
        <f t="shared" si="104"/>
        <v>729817903.48000002</v>
      </c>
      <c r="AE154" s="9">
        <v>41456</v>
      </c>
      <c r="AF154" s="41">
        <f t="shared" si="105"/>
        <v>0</v>
      </c>
      <c r="AG154" s="41">
        <f t="shared" si="105"/>
        <v>0</v>
      </c>
      <c r="AH154" s="41">
        <f t="shared" si="105"/>
        <v>0</v>
      </c>
      <c r="AI154" s="41">
        <f t="shared" si="105"/>
        <v>0</v>
      </c>
      <c r="AJ154" s="41">
        <f t="shared" si="105"/>
        <v>93185.378747940689</v>
      </c>
      <c r="AK154" s="41">
        <f t="shared" si="105"/>
        <v>9972123.8268400542</v>
      </c>
      <c r="AL154" s="41">
        <f t="shared" si="105"/>
        <v>966189.63101996388</v>
      </c>
      <c r="AM154" s="41">
        <f t="shared" si="105"/>
        <v>876408.968037894</v>
      </c>
      <c r="AN154" s="41">
        <f t="shared" si="105"/>
        <v>7383.0999999999995</v>
      </c>
      <c r="AO154" s="41">
        <f t="shared" si="105"/>
        <v>79446.600000000006</v>
      </c>
      <c r="AP154" s="41">
        <f t="shared" si="105"/>
        <v>45557.666062602962</v>
      </c>
      <c r="AQ154" s="41">
        <f t="shared" si="105"/>
        <v>28845.599999999999</v>
      </c>
      <c r="AR154" s="6">
        <f t="shared" si="106"/>
        <v>12069140.770708455</v>
      </c>
      <c r="AU154" s="92">
        <f t="shared" si="100"/>
        <v>1850.2255842350667</v>
      </c>
      <c r="AV154" s="92">
        <f t="shared" si="100"/>
        <v>1941.4263086381816</v>
      </c>
      <c r="AW154" s="92">
        <f t="shared" si="100"/>
        <v>1911.0531357128086</v>
      </c>
    </row>
    <row r="155" spans="1:49" s="40" customFormat="1">
      <c r="A155" s="9">
        <v>41487</v>
      </c>
      <c r="B155" s="41">
        <f t="shared" si="101"/>
        <v>0</v>
      </c>
      <c r="C155" s="41">
        <f t="shared" si="101"/>
        <v>0</v>
      </c>
      <c r="D155" s="41">
        <f t="shared" si="101"/>
        <v>20.07</v>
      </c>
      <c r="E155" s="41">
        <f t="shared" si="101"/>
        <v>0</v>
      </c>
      <c r="F155" s="41">
        <f t="shared" si="101"/>
        <v>10.199999999999999</v>
      </c>
      <c r="G155" s="41">
        <f t="shared" si="101"/>
        <v>3295.46</v>
      </c>
      <c r="H155" s="41">
        <f t="shared" si="101"/>
        <v>837.48</v>
      </c>
      <c r="I155" s="41">
        <f t="shared" si="101"/>
        <v>0</v>
      </c>
      <c r="J155" s="41">
        <f t="shared" si="101"/>
        <v>0</v>
      </c>
      <c r="K155" s="41">
        <f t="shared" si="101"/>
        <v>30</v>
      </c>
      <c r="L155" s="41">
        <f t="shared" si="101"/>
        <v>0</v>
      </c>
      <c r="M155" s="41">
        <f t="shared" si="101"/>
        <v>60</v>
      </c>
      <c r="N155" s="6">
        <f t="shared" si="102"/>
        <v>4253.21</v>
      </c>
      <c r="P155" s="9">
        <v>41487</v>
      </c>
      <c r="Q155" s="41">
        <f t="shared" si="103"/>
        <v>0</v>
      </c>
      <c r="R155" s="41">
        <f t="shared" si="103"/>
        <v>0</v>
      </c>
      <c r="S155" s="41">
        <f t="shared" si="103"/>
        <v>3972201.98</v>
      </c>
      <c r="T155" s="41">
        <f t="shared" si="103"/>
        <v>0</v>
      </c>
      <c r="U155" s="41">
        <f t="shared" si="103"/>
        <v>1188129.6599999999</v>
      </c>
      <c r="V155" s="41">
        <f t="shared" si="103"/>
        <v>368885144.16999996</v>
      </c>
      <c r="W155" s="41">
        <f t="shared" si="103"/>
        <v>91041078.300000012</v>
      </c>
      <c r="X155" s="41">
        <f t="shared" si="103"/>
        <v>0</v>
      </c>
      <c r="Y155" s="41">
        <f t="shared" si="103"/>
        <v>0</v>
      </c>
      <c r="Z155" s="41">
        <f t="shared" si="103"/>
        <v>3568067.4</v>
      </c>
      <c r="AA155" s="41">
        <f t="shared" si="103"/>
        <v>0</v>
      </c>
      <c r="AB155" s="41">
        <f t="shared" si="103"/>
        <v>6181427.25</v>
      </c>
      <c r="AC155" s="6">
        <f t="shared" si="104"/>
        <v>474836048.75999993</v>
      </c>
      <c r="AE155" s="9">
        <v>41487</v>
      </c>
      <c r="AF155" s="41">
        <f t="shared" si="105"/>
        <v>0</v>
      </c>
      <c r="AG155" s="41">
        <f t="shared" si="105"/>
        <v>0</v>
      </c>
      <c r="AH155" s="41">
        <f t="shared" si="105"/>
        <v>65439.900823723226</v>
      </c>
      <c r="AI155" s="41">
        <f t="shared" si="105"/>
        <v>0</v>
      </c>
      <c r="AJ155" s="41">
        <f t="shared" si="105"/>
        <v>19209.857073565076</v>
      </c>
      <c r="AK155" s="41">
        <f t="shared" si="105"/>
        <v>6019773.2955714054</v>
      </c>
      <c r="AL155" s="41">
        <f t="shared" si="105"/>
        <v>1483463.8025661346</v>
      </c>
      <c r="AM155" s="41">
        <f t="shared" si="105"/>
        <v>0</v>
      </c>
      <c r="AN155" s="41">
        <f t="shared" si="105"/>
        <v>0</v>
      </c>
      <c r="AO155" s="41">
        <f t="shared" si="105"/>
        <v>58781.999999999993</v>
      </c>
      <c r="AP155" s="41">
        <f t="shared" si="105"/>
        <v>0</v>
      </c>
      <c r="AQ155" s="41">
        <f t="shared" si="105"/>
        <v>101602.82571428572</v>
      </c>
      <c r="AR155" s="6">
        <f t="shared" si="106"/>
        <v>7748271.6817491138</v>
      </c>
      <c r="AU155" s="92">
        <f t="shared" si="100"/>
        <v>1826.686804140061</v>
      </c>
      <c r="AV155" s="92">
        <f t="shared" si="100"/>
        <v>1771.3423634786916</v>
      </c>
      <c r="AW155" s="92" t="e">
        <f t="shared" si="100"/>
        <v>#DIV/0!</v>
      </c>
    </row>
    <row r="156" spans="1:49" s="40" customFormat="1">
      <c r="A156" s="9">
        <v>41518</v>
      </c>
      <c r="B156" s="41">
        <f t="shared" si="101"/>
        <v>0</v>
      </c>
      <c r="C156" s="41">
        <f t="shared" si="101"/>
        <v>0</v>
      </c>
      <c r="D156" s="41">
        <f t="shared" si="101"/>
        <v>0</v>
      </c>
      <c r="E156" s="41">
        <f t="shared" si="101"/>
        <v>37.57</v>
      </c>
      <c r="F156" s="41">
        <f t="shared" si="101"/>
        <v>336.755</v>
      </c>
      <c r="G156" s="41">
        <f t="shared" si="101"/>
        <v>5755.3599999999988</v>
      </c>
      <c r="H156" s="41">
        <f t="shared" si="101"/>
        <v>996.3</v>
      </c>
      <c r="I156" s="41">
        <f t="shared" si="101"/>
        <v>98.699999999999989</v>
      </c>
      <c r="J156" s="41">
        <f t="shared" si="101"/>
        <v>0</v>
      </c>
      <c r="K156" s="41">
        <f t="shared" si="101"/>
        <v>102</v>
      </c>
      <c r="L156" s="41">
        <f t="shared" si="101"/>
        <v>90</v>
      </c>
      <c r="M156" s="41">
        <f t="shared" si="101"/>
        <v>30</v>
      </c>
      <c r="N156" s="6">
        <f t="shared" si="102"/>
        <v>7446.6849999999986</v>
      </c>
      <c r="O156" s="42">
        <f>N154+N155+N156</f>
        <v>18183.605</v>
      </c>
      <c r="P156" s="9">
        <v>41518</v>
      </c>
      <c r="Q156" s="41">
        <f t="shared" si="103"/>
        <v>0</v>
      </c>
      <c r="R156" s="41">
        <f t="shared" si="103"/>
        <v>0</v>
      </c>
      <c r="S156" s="41">
        <f t="shared" si="103"/>
        <v>0</v>
      </c>
      <c r="T156" s="41">
        <f t="shared" si="103"/>
        <v>5717245.1399999997</v>
      </c>
      <c r="U156" s="41">
        <f t="shared" si="103"/>
        <v>38482371.939999998</v>
      </c>
      <c r="V156" s="41">
        <f t="shared" si="103"/>
        <v>577042522.9200002</v>
      </c>
      <c r="W156" s="41">
        <f t="shared" si="103"/>
        <v>100307300.16999999</v>
      </c>
      <c r="X156" s="41">
        <f t="shared" si="103"/>
        <v>9797177.129999999</v>
      </c>
      <c r="Y156" s="41">
        <f t="shared" si="103"/>
        <v>0</v>
      </c>
      <c r="Z156" s="41">
        <f t="shared" si="103"/>
        <v>11663568.379999999</v>
      </c>
      <c r="AA156" s="41">
        <f t="shared" si="103"/>
        <v>8575104.5300000012</v>
      </c>
      <c r="AB156" s="41">
        <f t="shared" si="103"/>
        <v>3055944.38</v>
      </c>
      <c r="AC156" s="6">
        <f t="shared" si="104"/>
        <v>754641234.59000015</v>
      </c>
      <c r="AE156" s="9">
        <v>41518</v>
      </c>
      <c r="AF156" s="41">
        <f t="shared" si="105"/>
        <v>0</v>
      </c>
      <c r="AG156" s="41">
        <f t="shared" si="105"/>
        <v>0</v>
      </c>
      <c r="AH156" s="41">
        <f t="shared" si="105"/>
        <v>0</v>
      </c>
      <c r="AI156" s="41">
        <f t="shared" si="105"/>
        <v>93725.330163934414</v>
      </c>
      <c r="AJ156" s="41">
        <f t="shared" si="105"/>
        <v>628610.97527266643</v>
      </c>
      <c r="AK156" s="41">
        <f t="shared" si="105"/>
        <v>9404725.0042404607</v>
      </c>
      <c r="AL156" s="41">
        <f t="shared" si="105"/>
        <v>1637647.7481548865</v>
      </c>
      <c r="AM156" s="41">
        <f t="shared" si="105"/>
        <v>160609.46114754098</v>
      </c>
      <c r="AN156" s="41">
        <f t="shared" si="105"/>
        <v>0</v>
      </c>
      <c r="AO156" s="41">
        <f t="shared" si="105"/>
        <v>190768.80008163262</v>
      </c>
      <c r="AP156" s="41">
        <f t="shared" si="105"/>
        <v>140575.48409836067</v>
      </c>
      <c r="AQ156" s="41">
        <f t="shared" si="105"/>
        <v>50097.448852459012</v>
      </c>
      <c r="AR156" s="6">
        <f t="shared" si="106"/>
        <v>12306760.25201194</v>
      </c>
      <c r="AU156" s="92">
        <f t="shared" si="100"/>
        <v>1634.0811007896052</v>
      </c>
      <c r="AV156" s="92">
        <f t="shared" si="100"/>
        <v>1643.7295474805646</v>
      </c>
      <c r="AW156" s="92">
        <f t="shared" si="100"/>
        <v>1627.2488464796454</v>
      </c>
    </row>
    <row r="157" spans="1:49" s="40" customFormat="1">
      <c r="A157" s="9">
        <v>41548</v>
      </c>
      <c r="B157" s="41">
        <f t="shared" si="101"/>
        <v>0</v>
      </c>
      <c r="C157" s="41">
        <f t="shared" si="101"/>
        <v>0</v>
      </c>
      <c r="D157" s="41">
        <f t="shared" si="101"/>
        <v>0</v>
      </c>
      <c r="E157" s="41">
        <f t="shared" si="101"/>
        <v>0</v>
      </c>
      <c r="F157" s="41">
        <f t="shared" si="101"/>
        <v>42.98</v>
      </c>
      <c r="G157" s="41">
        <f t="shared" si="101"/>
        <v>5021.3900000000003</v>
      </c>
      <c r="H157" s="41">
        <f t="shared" si="101"/>
        <v>1055.99</v>
      </c>
      <c r="I157" s="41">
        <f t="shared" si="101"/>
        <v>215.04</v>
      </c>
      <c r="J157" s="41">
        <f t="shared" si="101"/>
        <v>0</v>
      </c>
      <c r="K157" s="41">
        <f t="shared" si="101"/>
        <v>0</v>
      </c>
      <c r="L157" s="41">
        <f t="shared" si="101"/>
        <v>20</v>
      </c>
      <c r="M157" s="41">
        <f t="shared" si="101"/>
        <v>2</v>
      </c>
      <c r="N157" s="6">
        <f t="shared" si="102"/>
        <v>6357.4</v>
      </c>
      <c r="P157" s="9">
        <v>41548</v>
      </c>
      <c r="Q157" s="41">
        <f t="shared" si="103"/>
        <v>0</v>
      </c>
      <c r="R157" s="41">
        <f t="shared" si="103"/>
        <v>0</v>
      </c>
      <c r="S157" s="41">
        <f t="shared" si="103"/>
        <v>0</v>
      </c>
      <c r="T157" s="41">
        <f t="shared" si="103"/>
        <v>0</v>
      </c>
      <c r="U157" s="41">
        <f t="shared" si="103"/>
        <v>5088155.1100000003</v>
      </c>
      <c r="V157" s="41">
        <f t="shared" si="103"/>
        <v>449287331.95999992</v>
      </c>
      <c r="W157" s="41">
        <f t="shared" si="103"/>
        <v>96280470.050000012</v>
      </c>
      <c r="X157" s="41">
        <f t="shared" si="103"/>
        <v>20932866.18</v>
      </c>
      <c r="Y157" s="41">
        <f t="shared" si="103"/>
        <v>0</v>
      </c>
      <c r="Z157" s="41">
        <f t="shared" si="103"/>
        <v>0</v>
      </c>
      <c r="AA157" s="41">
        <f t="shared" si="103"/>
        <v>2053518.31</v>
      </c>
      <c r="AB157" s="41">
        <f t="shared" si="103"/>
        <v>198164.12</v>
      </c>
      <c r="AC157" s="6">
        <f t="shared" si="104"/>
        <v>573840505.72999978</v>
      </c>
      <c r="AE157" s="9">
        <v>41548</v>
      </c>
      <c r="AF157" s="41">
        <f t="shared" si="105"/>
        <v>0</v>
      </c>
      <c r="AG157" s="41">
        <f t="shared" si="105"/>
        <v>0</v>
      </c>
      <c r="AH157" s="41">
        <f t="shared" si="105"/>
        <v>0</v>
      </c>
      <c r="AI157" s="41">
        <f t="shared" si="105"/>
        <v>0</v>
      </c>
      <c r="AJ157" s="41">
        <f t="shared" si="105"/>
        <v>82000.888154713946</v>
      </c>
      <c r="AK157" s="41">
        <f t="shared" si="105"/>
        <v>7228891.2391869277</v>
      </c>
      <c r="AL157" s="41">
        <f t="shared" si="105"/>
        <v>1550257.2642467176</v>
      </c>
      <c r="AM157" s="41">
        <f t="shared" si="105"/>
        <v>336666.47566853743</v>
      </c>
      <c r="AN157" s="41">
        <f t="shared" si="105"/>
        <v>0</v>
      </c>
      <c r="AO157" s="41">
        <f t="shared" si="105"/>
        <v>0</v>
      </c>
      <c r="AP157" s="41">
        <f t="shared" si="105"/>
        <v>33001.712489927479</v>
      </c>
      <c r="AQ157" s="41">
        <f t="shared" si="105"/>
        <v>3193.6199838839648</v>
      </c>
      <c r="AR157" s="6">
        <f t="shared" si="106"/>
        <v>9234011.1997307092</v>
      </c>
      <c r="AU157" s="92">
        <f t="shared" si="100"/>
        <v>1439.6195553794721</v>
      </c>
      <c r="AV157" s="92">
        <f t="shared" si="100"/>
        <v>1468.0605538373636</v>
      </c>
      <c r="AW157" s="92">
        <f t="shared" si="100"/>
        <v>1565.5993102145528</v>
      </c>
    </row>
    <row r="158" spans="1:49" s="40" customFormat="1">
      <c r="A158" s="9">
        <v>41579</v>
      </c>
      <c r="B158" s="41">
        <f t="shared" si="101"/>
        <v>0</v>
      </c>
      <c r="C158" s="41">
        <f t="shared" si="101"/>
        <v>0</v>
      </c>
      <c r="D158" s="41">
        <f t="shared" si="101"/>
        <v>0</v>
      </c>
      <c r="E158" s="41">
        <f t="shared" si="101"/>
        <v>0</v>
      </c>
      <c r="F158" s="41">
        <f t="shared" si="101"/>
        <v>19.579999999999998</v>
      </c>
      <c r="G158" s="41">
        <f t="shared" si="101"/>
        <v>3464.3899999999994</v>
      </c>
      <c r="H158" s="41">
        <f t="shared" si="101"/>
        <v>739.48</v>
      </c>
      <c r="I158" s="41">
        <f t="shared" si="101"/>
        <v>272.27</v>
      </c>
      <c r="J158" s="41">
        <f t="shared" si="101"/>
        <v>0</v>
      </c>
      <c r="K158" s="41">
        <f t="shared" si="101"/>
        <v>45</v>
      </c>
      <c r="L158" s="41">
        <f t="shared" si="101"/>
        <v>0</v>
      </c>
      <c r="M158" s="41">
        <f t="shared" si="101"/>
        <v>0</v>
      </c>
      <c r="N158" s="6">
        <f t="shared" si="102"/>
        <v>4540.7199999999993</v>
      </c>
      <c r="P158" s="9">
        <v>41579</v>
      </c>
      <c r="Q158" s="41">
        <f t="shared" si="103"/>
        <v>0</v>
      </c>
      <c r="R158" s="41">
        <f t="shared" si="103"/>
        <v>0</v>
      </c>
      <c r="S158" s="41">
        <f t="shared" si="103"/>
        <v>0</v>
      </c>
      <c r="T158" s="41">
        <f t="shared" si="103"/>
        <v>0</v>
      </c>
      <c r="U158" s="41">
        <f t="shared" si="103"/>
        <v>1782669.72</v>
      </c>
      <c r="V158" s="41">
        <f t="shared" si="103"/>
        <v>288090923.43000001</v>
      </c>
      <c r="W158" s="41">
        <f t="shared" si="103"/>
        <v>62126803.629999995</v>
      </c>
      <c r="X158" s="41">
        <f t="shared" si="103"/>
        <v>24060321.210000001</v>
      </c>
      <c r="Y158" s="41">
        <f t="shared" si="103"/>
        <v>0</v>
      </c>
      <c r="Z158" s="41">
        <f t="shared" si="103"/>
        <v>5217319.13</v>
      </c>
      <c r="AA158" s="41">
        <f t="shared" si="103"/>
        <v>0</v>
      </c>
      <c r="AB158" s="41">
        <f t="shared" si="103"/>
        <v>0</v>
      </c>
      <c r="AC158" s="6">
        <f t="shared" si="104"/>
        <v>381278037.12</v>
      </c>
      <c r="AE158" s="9">
        <v>41579</v>
      </c>
      <c r="AF158" s="41">
        <f t="shared" si="105"/>
        <v>0</v>
      </c>
      <c r="AG158" s="41">
        <f t="shared" si="105"/>
        <v>0</v>
      </c>
      <c r="AH158" s="41">
        <f t="shared" si="105"/>
        <v>0</v>
      </c>
      <c r="AI158" s="41">
        <f t="shared" si="105"/>
        <v>0</v>
      </c>
      <c r="AJ158" s="41">
        <f t="shared" si="105"/>
        <v>28477.152076677314</v>
      </c>
      <c r="AK158" s="41">
        <f t="shared" si="105"/>
        <v>4640188.5227106996</v>
      </c>
      <c r="AL158" s="41">
        <f t="shared" si="105"/>
        <v>998851.84427263762</v>
      </c>
      <c r="AM158" s="41">
        <f t="shared" si="105"/>
        <v>385266.17143904162</v>
      </c>
      <c r="AN158" s="41">
        <f t="shared" si="105"/>
        <v>0</v>
      </c>
      <c r="AO158" s="41">
        <f t="shared" si="105"/>
        <v>84286.254119547651</v>
      </c>
      <c r="AP158" s="41">
        <f t="shared" si="105"/>
        <v>0</v>
      </c>
      <c r="AQ158" s="41">
        <f t="shared" si="105"/>
        <v>0</v>
      </c>
      <c r="AR158" s="6">
        <f t="shared" si="106"/>
        <v>6137069.9446186041</v>
      </c>
      <c r="AU158" s="92">
        <f t="shared" si="100"/>
        <v>1339.3955422774861</v>
      </c>
      <c r="AV158" s="92">
        <f t="shared" si="100"/>
        <v>1350.7489645056494</v>
      </c>
      <c r="AW158" s="92">
        <f t="shared" si="100"/>
        <v>1415.0151373233982</v>
      </c>
    </row>
    <row r="159" spans="1:49" s="40" customFormat="1">
      <c r="A159" s="9">
        <v>41609</v>
      </c>
      <c r="B159" s="41">
        <f t="shared" si="101"/>
        <v>0</v>
      </c>
      <c r="C159" s="41">
        <f t="shared" si="101"/>
        <v>0</v>
      </c>
      <c r="D159" s="41">
        <f t="shared" si="101"/>
        <v>0</v>
      </c>
      <c r="E159" s="41">
        <f t="shared" si="101"/>
        <v>0</v>
      </c>
      <c r="F159" s="41">
        <f t="shared" si="101"/>
        <v>406.29</v>
      </c>
      <c r="G159" s="41">
        <f t="shared" si="101"/>
        <v>4440.1600000000008</v>
      </c>
      <c r="H159" s="41">
        <f t="shared" si="101"/>
        <v>757.91000000000008</v>
      </c>
      <c r="I159" s="41">
        <f t="shared" si="101"/>
        <v>98.69</v>
      </c>
      <c r="J159" s="41">
        <f t="shared" si="101"/>
        <v>2.72</v>
      </c>
      <c r="K159" s="41">
        <f t="shared" si="101"/>
        <v>13</v>
      </c>
      <c r="L159" s="41">
        <f t="shared" si="101"/>
        <v>16</v>
      </c>
      <c r="M159" s="41">
        <f t="shared" si="101"/>
        <v>0</v>
      </c>
      <c r="N159" s="6">
        <f t="shared" si="102"/>
        <v>5734.77</v>
      </c>
      <c r="O159" s="42">
        <f>N157+N158+N159</f>
        <v>16632.89</v>
      </c>
      <c r="P159" s="9">
        <v>41609</v>
      </c>
      <c r="Q159" s="41">
        <f t="shared" si="103"/>
        <v>0</v>
      </c>
      <c r="R159" s="41">
        <f t="shared" si="103"/>
        <v>0</v>
      </c>
      <c r="S159" s="41">
        <f t="shared" si="103"/>
        <v>0</v>
      </c>
      <c r="T159" s="41">
        <f t="shared" si="103"/>
        <v>0</v>
      </c>
      <c r="U159" s="41">
        <f t="shared" si="103"/>
        <v>33996267.280000001</v>
      </c>
      <c r="V159" s="41">
        <f t="shared" si="103"/>
        <v>361448118.69999993</v>
      </c>
      <c r="W159" s="41">
        <f t="shared" si="103"/>
        <v>68613728.430000007</v>
      </c>
      <c r="X159" s="41">
        <f t="shared" si="103"/>
        <v>8401421.1500000004</v>
      </c>
      <c r="Y159" s="41">
        <f t="shared" si="103"/>
        <v>283758.28999999998</v>
      </c>
      <c r="Z159" s="41">
        <f t="shared" si="103"/>
        <v>1424633.5199999998</v>
      </c>
      <c r="AA159" s="41">
        <f t="shared" si="103"/>
        <v>1375797.76</v>
      </c>
      <c r="AB159" s="41">
        <f t="shared" si="103"/>
        <v>0</v>
      </c>
      <c r="AC159" s="6">
        <f t="shared" si="104"/>
        <v>475543725.12999988</v>
      </c>
      <c r="AE159" s="9">
        <v>41609</v>
      </c>
      <c r="AF159" s="41">
        <f t="shared" si="105"/>
        <v>0</v>
      </c>
      <c r="AG159" s="41">
        <f t="shared" si="105"/>
        <v>0</v>
      </c>
      <c r="AH159" s="41">
        <f t="shared" si="105"/>
        <v>0</v>
      </c>
      <c r="AI159" s="41">
        <f t="shared" si="105"/>
        <v>0</v>
      </c>
      <c r="AJ159" s="41">
        <f t="shared" si="105"/>
        <v>540526.4120813132</v>
      </c>
      <c r="AK159" s="41">
        <f t="shared" si="105"/>
        <v>5764021.7722646128</v>
      </c>
      <c r="AL159" s="41">
        <f t="shared" si="105"/>
        <v>1097819.65488</v>
      </c>
      <c r="AM159" s="41">
        <f t="shared" si="105"/>
        <v>134422.7384</v>
      </c>
      <c r="AN159" s="41">
        <f t="shared" si="105"/>
        <v>4540.1326399999998</v>
      </c>
      <c r="AO159" s="41">
        <f t="shared" si="105"/>
        <v>22794.136319999998</v>
      </c>
      <c r="AP159" s="41">
        <f t="shared" si="105"/>
        <v>22012.764159999999</v>
      </c>
      <c r="AQ159" s="41">
        <f t="shared" si="105"/>
        <v>0</v>
      </c>
      <c r="AR159" s="6">
        <f t="shared" si="106"/>
        <v>7586137.6107459264</v>
      </c>
      <c r="AU159" s="92">
        <f t="shared" si="100"/>
        <v>1298.1563214534187</v>
      </c>
      <c r="AV159" s="92">
        <f t="shared" si="100"/>
        <v>1448.4828737976804</v>
      </c>
      <c r="AW159" s="92">
        <f t="shared" si="100"/>
        <v>1362.0705076502179</v>
      </c>
    </row>
    <row r="160" spans="1:49" s="40" customFormat="1">
      <c r="A160" s="9">
        <v>41640</v>
      </c>
      <c r="B160" s="41">
        <f t="shared" si="101"/>
        <v>0</v>
      </c>
      <c r="C160" s="41">
        <f t="shared" si="101"/>
        <v>0</v>
      </c>
      <c r="D160" s="41">
        <f t="shared" si="101"/>
        <v>0</v>
      </c>
      <c r="E160" s="41">
        <f t="shared" si="101"/>
        <v>0</v>
      </c>
      <c r="F160" s="41">
        <f t="shared" si="101"/>
        <v>26.45</v>
      </c>
      <c r="G160" s="41">
        <f t="shared" si="101"/>
        <v>3727.2200000000007</v>
      </c>
      <c r="H160" s="41">
        <f t="shared" si="101"/>
        <v>916.73</v>
      </c>
      <c r="I160" s="41">
        <f t="shared" si="101"/>
        <v>77.959999999999994</v>
      </c>
      <c r="J160" s="41">
        <f t="shared" si="101"/>
        <v>0</v>
      </c>
      <c r="K160" s="41">
        <f t="shared" si="101"/>
        <v>13.4</v>
      </c>
      <c r="L160" s="41">
        <f t="shared" si="101"/>
        <v>16</v>
      </c>
      <c r="M160" s="41">
        <f t="shared" si="101"/>
        <v>0.6</v>
      </c>
      <c r="N160" s="6">
        <f t="shared" si="102"/>
        <v>4778.3600000000006</v>
      </c>
      <c r="P160" s="9">
        <v>41640</v>
      </c>
      <c r="Q160" s="41">
        <f t="shared" si="103"/>
        <v>0</v>
      </c>
      <c r="R160" s="41">
        <f t="shared" si="103"/>
        <v>0</v>
      </c>
      <c r="S160" s="41">
        <f t="shared" si="103"/>
        <v>0</v>
      </c>
      <c r="T160" s="41">
        <f t="shared" si="103"/>
        <v>0</v>
      </c>
      <c r="U160" s="41">
        <f t="shared" si="103"/>
        <v>2525852.04</v>
      </c>
      <c r="V160" s="41">
        <f t="shared" si="103"/>
        <v>319744805.74999994</v>
      </c>
      <c r="W160" s="41">
        <f t="shared" si="103"/>
        <v>84119604.709999993</v>
      </c>
      <c r="X160" s="41">
        <f t="shared" si="103"/>
        <v>7605709.9299999997</v>
      </c>
      <c r="Y160" s="41">
        <f t="shared" si="103"/>
        <v>0</v>
      </c>
      <c r="Z160" s="41">
        <f t="shared" si="103"/>
        <v>1399106.0299999998</v>
      </c>
      <c r="AA160" s="41">
        <f t="shared" si="103"/>
        <v>1442053.76</v>
      </c>
      <c r="AB160" s="41">
        <f t="shared" si="103"/>
        <v>61739.27</v>
      </c>
      <c r="AC160" s="6">
        <f t="shared" si="104"/>
        <v>416898871.48999989</v>
      </c>
      <c r="AE160" s="9">
        <v>41640</v>
      </c>
      <c r="AF160" s="41">
        <f t="shared" si="105"/>
        <v>0</v>
      </c>
      <c r="AG160" s="41">
        <f t="shared" si="105"/>
        <v>0</v>
      </c>
      <c r="AH160" s="41">
        <f t="shared" si="105"/>
        <v>0</v>
      </c>
      <c r="AI160" s="41">
        <f t="shared" si="105"/>
        <v>0</v>
      </c>
      <c r="AJ160" s="41">
        <f t="shared" si="105"/>
        <v>39832.337911764007</v>
      </c>
      <c r="AK160" s="41">
        <f t="shared" si="105"/>
        <v>5048886.6980486978</v>
      </c>
      <c r="AL160" s="41">
        <f t="shared" si="105"/>
        <v>1329396.4279018466</v>
      </c>
      <c r="AM160" s="41">
        <f t="shared" si="105"/>
        <v>119118.40140955364</v>
      </c>
      <c r="AN160" s="41">
        <f t="shared" si="105"/>
        <v>0</v>
      </c>
      <c r="AO160" s="41">
        <f t="shared" si="105"/>
        <v>22457.560674157306</v>
      </c>
      <c r="AP160" s="41">
        <f t="shared" si="105"/>
        <v>22585.023649177761</v>
      </c>
      <c r="AQ160" s="41">
        <f t="shared" si="105"/>
        <v>990.99951845906901</v>
      </c>
      <c r="AR160" s="6">
        <f t="shared" si="106"/>
        <v>6583267.4491136549</v>
      </c>
      <c r="AU160" s="92">
        <f t="shared" si="100"/>
        <v>1354.5985206262835</v>
      </c>
      <c r="AV160" s="92">
        <f t="shared" si="100"/>
        <v>1450.1504564068446</v>
      </c>
      <c r="AW160" s="92">
        <f t="shared" si="100"/>
        <v>1527.9425527136179</v>
      </c>
    </row>
    <row r="161" spans="1:49" s="40" customFormat="1">
      <c r="A161" s="9">
        <v>41671</v>
      </c>
      <c r="B161" s="41">
        <f t="shared" si="101"/>
        <v>0</v>
      </c>
      <c r="C161" s="41">
        <f t="shared" si="101"/>
        <v>0</v>
      </c>
      <c r="D161" s="41">
        <f t="shared" si="101"/>
        <v>0</v>
      </c>
      <c r="E161" s="41">
        <f t="shared" si="101"/>
        <v>0</v>
      </c>
      <c r="F161" s="41">
        <f t="shared" si="101"/>
        <v>131</v>
      </c>
      <c r="G161" s="41">
        <f t="shared" si="101"/>
        <v>3452.59</v>
      </c>
      <c r="H161" s="41">
        <f t="shared" si="101"/>
        <v>1017.8300000000002</v>
      </c>
      <c r="I161" s="41">
        <f t="shared" si="101"/>
        <v>173.94</v>
      </c>
      <c r="J161" s="41">
        <f t="shared" si="101"/>
        <v>0</v>
      </c>
      <c r="K161" s="41">
        <f t="shared" si="101"/>
        <v>0</v>
      </c>
      <c r="L161" s="41">
        <f t="shared" si="101"/>
        <v>0</v>
      </c>
      <c r="M161" s="41">
        <f t="shared" si="101"/>
        <v>0</v>
      </c>
      <c r="N161" s="6">
        <f t="shared" si="102"/>
        <v>4775.3599999999997</v>
      </c>
      <c r="P161" s="9">
        <v>41671</v>
      </c>
      <c r="Q161" s="41">
        <f t="shared" si="103"/>
        <v>0</v>
      </c>
      <c r="R161" s="41">
        <f t="shared" si="103"/>
        <v>0</v>
      </c>
      <c r="S161" s="41">
        <f t="shared" si="103"/>
        <v>0</v>
      </c>
      <c r="T161" s="41">
        <f t="shared" si="103"/>
        <v>0</v>
      </c>
      <c r="U161" s="41">
        <f t="shared" si="103"/>
        <v>12165380.500000002</v>
      </c>
      <c r="V161" s="41">
        <f t="shared" si="103"/>
        <v>297554558.17999995</v>
      </c>
      <c r="W161" s="41">
        <f t="shared" si="103"/>
        <v>90527639.379999995</v>
      </c>
      <c r="X161" s="41">
        <f t="shared" si="103"/>
        <v>15400335.74</v>
      </c>
      <c r="Y161" s="41">
        <f t="shared" si="103"/>
        <v>0</v>
      </c>
      <c r="Z161" s="41">
        <f t="shared" si="103"/>
        <v>0</v>
      </c>
      <c r="AA161" s="41">
        <f t="shared" si="103"/>
        <v>0</v>
      </c>
      <c r="AB161" s="41">
        <f t="shared" si="103"/>
        <v>0</v>
      </c>
      <c r="AC161" s="6">
        <f t="shared" si="104"/>
        <v>415647913.79999995</v>
      </c>
      <c r="AE161" s="9">
        <v>41671</v>
      </c>
      <c r="AF161" s="41">
        <f t="shared" si="105"/>
        <v>0</v>
      </c>
      <c r="AG161" s="41">
        <f t="shared" si="105"/>
        <v>0</v>
      </c>
      <c r="AH161" s="41">
        <f t="shared" si="105"/>
        <v>0</v>
      </c>
      <c r="AI161" s="41">
        <f t="shared" si="105"/>
        <v>0</v>
      </c>
      <c r="AJ161" s="41">
        <f t="shared" si="105"/>
        <v>194576.80290920573</v>
      </c>
      <c r="AK161" s="41">
        <f t="shared" si="105"/>
        <v>4755259.0940472838</v>
      </c>
      <c r="AL161" s="41">
        <f t="shared" si="105"/>
        <v>1448360.4916411252</v>
      </c>
      <c r="AM161" s="41">
        <f t="shared" si="105"/>
        <v>247007.07830816822</v>
      </c>
      <c r="AN161" s="41">
        <f t="shared" si="105"/>
        <v>0</v>
      </c>
      <c r="AO161" s="41">
        <f t="shared" si="105"/>
        <v>0</v>
      </c>
      <c r="AP161" s="41">
        <f t="shared" si="105"/>
        <v>0</v>
      </c>
      <c r="AQ161" s="41">
        <f t="shared" si="105"/>
        <v>0</v>
      </c>
      <c r="AR161" s="6">
        <f t="shared" si="106"/>
        <v>6645203.4669057829</v>
      </c>
      <c r="AU161" s="92">
        <f t="shared" si="100"/>
        <v>1377.301994748083</v>
      </c>
      <c r="AV161" s="92">
        <f t="shared" si="100"/>
        <v>1422.9886048172336</v>
      </c>
      <c r="AW161" s="92">
        <f t="shared" si="100"/>
        <v>1420.070589330621</v>
      </c>
    </row>
    <row r="162" spans="1:49" s="40" customFormat="1">
      <c r="A162" s="9">
        <v>41699</v>
      </c>
      <c r="B162" s="41">
        <f t="shared" si="101"/>
        <v>0</v>
      </c>
      <c r="C162" s="41">
        <f t="shared" si="101"/>
        <v>0</v>
      </c>
      <c r="D162" s="41">
        <f t="shared" si="101"/>
        <v>0</v>
      </c>
      <c r="E162" s="41">
        <f t="shared" si="101"/>
        <v>0</v>
      </c>
      <c r="F162" s="41">
        <f t="shared" si="101"/>
        <v>137.78</v>
      </c>
      <c r="G162" s="41">
        <f t="shared" si="101"/>
        <v>3741.5499999999997</v>
      </c>
      <c r="H162" s="41">
        <f t="shared" si="101"/>
        <v>779.41000000000008</v>
      </c>
      <c r="I162" s="41">
        <f t="shared" si="101"/>
        <v>0</v>
      </c>
      <c r="J162" s="41">
        <f t="shared" si="101"/>
        <v>0</v>
      </c>
      <c r="K162" s="41">
        <f t="shared" si="101"/>
        <v>15</v>
      </c>
      <c r="L162" s="41">
        <f t="shared" si="101"/>
        <v>0</v>
      </c>
      <c r="M162" s="41">
        <f t="shared" si="101"/>
        <v>0</v>
      </c>
      <c r="N162" s="6">
        <f t="shared" si="102"/>
        <v>4673.74</v>
      </c>
      <c r="O162" s="42">
        <f>N160+N161+N162</f>
        <v>14227.460000000001</v>
      </c>
      <c r="P162" s="9">
        <v>41699</v>
      </c>
      <c r="Q162" s="41">
        <f t="shared" si="103"/>
        <v>0</v>
      </c>
      <c r="R162" s="41">
        <f t="shared" si="103"/>
        <v>0</v>
      </c>
      <c r="S162" s="41">
        <f t="shared" si="103"/>
        <v>0</v>
      </c>
      <c r="T162" s="41">
        <f t="shared" si="103"/>
        <v>0</v>
      </c>
      <c r="U162" s="41">
        <f t="shared" si="103"/>
        <v>12785759.16</v>
      </c>
      <c r="V162" s="41">
        <f t="shared" si="103"/>
        <v>329591204.38999999</v>
      </c>
      <c r="W162" s="41">
        <f t="shared" si="103"/>
        <v>76112532.840000004</v>
      </c>
      <c r="X162" s="41">
        <f t="shared" si="103"/>
        <v>0</v>
      </c>
      <c r="Y162" s="41">
        <f t="shared" si="103"/>
        <v>0</v>
      </c>
      <c r="Z162" s="41">
        <f t="shared" si="103"/>
        <v>1546057.5</v>
      </c>
      <c r="AA162" s="41">
        <f t="shared" si="103"/>
        <v>0</v>
      </c>
      <c r="AB162" s="41">
        <f t="shared" si="103"/>
        <v>0</v>
      </c>
      <c r="AC162" s="6">
        <f t="shared" si="104"/>
        <v>420035553.88999999</v>
      </c>
      <c r="AE162" s="9">
        <v>41699</v>
      </c>
      <c r="AF162" s="41">
        <f t="shared" si="105"/>
        <v>0</v>
      </c>
      <c r="AG162" s="41">
        <f t="shared" si="105"/>
        <v>0</v>
      </c>
      <c r="AH162" s="41">
        <f t="shared" si="105"/>
        <v>0</v>
      </c>
      <c r="AI162" s="41">
        <f t="shared" si="105"/>
        <v>0</v>
      </c>
      <c r="AJ162" s="41">
        <f t="shared" si="105"/>
        <v>203500.91298756446</v>
      </c>
      <c r="AK162" s="41">
        <f t="shared" si="105"/>
        <v>5240515.5764629468</v>
      </c>
      <c r="AL162" s="41">
        <f t="shared" si="105"/>
        <v>1210003.1095212819</v>
      </c>
      <c r="AM162" s="41">
        <f t="shared" si="105"/>
        <v>0</v>
      </c>
      <c r="AN162" s="41">
        <f t="shared" si="105"/>
        <v>0</v>
      </c>
      <c r="AO162" s="41">
        <f t="shared" si="105"/>
        <v>24618.75</v>
      </c>
      <c r="AP162" s="41">
        <f t="shared" si="105"/>
        <v>0</v>
      </c>
      <c r="AQ162" s="41">
        <f t="shared" si="105"/>
        <v>0</v>
      </c>
      <c r="AR162" s="6">
        <f t="shared" si="106"/>
        <v>6678638.3489717934</v>
      </c>
      <c r="AU162" s="92">
        <f t="shared" si="100"/>
        <v>1400.6268996707106</v>
      </c>
      <c r="AV162" s="92">
        <f t="shared" si="100"/>
        <v>1552.4603347676855</v>
      </c>
      <c r="AW162" s="92" t="e">
        <f t="shared" si="100"/>
        <v>#DIV/0!</v>
      </c>
    </row>
    <row r="163" spans="1:49" s="40" customFormat="1">
      <c r="A163" s="28" t="s">
        <v>4</v>
      </c>
      <c r="B163" s="91">
        <f>SUM(B151:B162)</f>
        <v>0</v>
      </c>
      <c r="C163" s="91">
        <f t="shared" ref="C163:M163" si="107">SUM(C151:C162)</f>
        <v>0</v>
      </c>
      <c r="D163" s="91">
        <f t="shared" si="107"/>
        <v>20.07</v>
      </c>
      <c r="E163" s="91">
        <f t="shared" si="107"/>
        <v>37.57</v>
      </c>
      <c r="F163" s="91">
        <f t="shared" si="107"/>
        <v>1368.7150000000001</v>
      </c>
      <c r="G163" s="91">
        <f t="shared" si="107"/>
        <v>54234.75</v>
      </c>
      <c r="H163" s="91">
        <f t="shared" si="107"/>
        <v>10674.84</v>
      </c>
      <c r="I163" s="91">
        <f t="shared" si="107"/>
        <v>1794.3000000000002</v>
      </c>
      <c r="J163" s="91">
        <f t="shared" si="107"/>
        <v>6.12</v>
      </c>
      <c r="K163" s="91">
        <f t="shared" si="107"/>
        <v>306.89999999999998</v>
      </c>
      <c r="L163" s="91">
        <f t="shared" si="107"/>
        <v>304.5</v>
      </c>
      <c r="M163" s="91">
        <f t="shared" si="107"/>
        <v>156.6</v>
      </c>
      <c r="N163" s="127">
        <f t="shared" si="102"/>
        <v>68904.365000000005</v>
      </c>
      <c r="P163" s="128" t="s">
        <v>4</v>
      </c>
      <c r="Q163" s="91">
        <f>SUM(Q151:Q162)</f>
        <v>0</v>
      </c>
      <c r="R163" s="91">
        <f t="shared" ref="R163:AB163" si="108">SUM(R151:R162)</f>
        <v>0</v>
      </c>
      <c r="S163" s="91">
        <f t="shared" si="108"/>
        <v>3972201.98</v>
      </c>
      <c r="T163" s="91">
        <f t="shared" si="108"/>
        <v>5717245.1399999997</v>
      </c>
      <c r="U163" s="91">
        <f t="shared" si="108"/>
        <v>138201667.98000002</v>
      </c>
      <c r="V163" s="91">
        <f t="shared" si="108"/>
        <v>5377524830.0400009</v>
      </c>
      <c r="W163" s="91">
        <f t="shared" si="108"/>
        <v>1104204847.3500001</v>
      </c>
      <c r="X163" s="91">
        <f t="shared" si="108"/>
        <v>186026797.68000004</v>
      </c>
      <c r="Y163" s="91">
        <f t="shared" si="108"/>
        <v>731912.46</v>
      </c>
      <c r="Z163" s="91">
        <f t="shared" si="108"/>
        <v>35162645.490000002</v>
      </c>
      <c r="AA163" s="91">
        <f t="shared" si="108"/>
        <v>29883900.600000005</v>
      </c>
      <c r="AB163" s="91">
        <f t="shared" si="108"/>
        <v>15986201.319999998</v>
      </c>
      <c r="AC163" s="127">
        <f t="shared" si="104"/>
        <v>6897412250.0400019</v>
      </c>
      <c r="AE163" s="128" t="s">
        <v>4</v>
      </c>
      <c r="AF163" s="91">
        <f>SUM(AF151:AF162)</f>
        <v>0</v>
      </c>
      <c r="AG163" s="91">
        <f t="shared" ref="AG163:AQ163" si="109">SUM(AG151:AG162)</f>
        <v>0</v>
      </c>
      <c r="AH163" s="91">
        <f t="shared" si="109"/>
        <v>65439.900823723226</v>
      </c>
      <c r="AI163" s="91">
        <f t="shared" si="109"/>
        <v>93725.330163934414</v>
      </c>
      <c r="AJ163" s="91">
        <f t="shared" si="109"/>
        <v>2235121.9571179897</v>
      </c>
      <c r="AK163" s="91">
        <f t="shared" si="109"/>
        <v>87602444.780949593</v>
      </c>
      <c r="AL163" s="91">
        <f t="shared" si="109"/>
        <v>17952479.576536354</v>
      </c>
      <c r="AM163" s="91">
        <f t="shared" si="109"/>
        <v>3035049.4659623085</v>
      </c>
      <c r="AN163" s="91">
        <f t="shared" si="109"/>
        <v>11923.232639999998</v>
      </c>
      <c r="AO163" s="91">
        <f t="shared" si="109"/>
        <v>574831.47533102229</v>
      </c>
      <c r="AP163" s="91">
        <f t="shared" si="109"/>
        <v>491320.29164095159</v>
      </c>
      <c r="AQ163" s="91">
        <f t="shared" si="109"/>
        <v>263055.99415262992</v>
      </c>
      <c r="AR163" s="127">
        <f t="shared" si="106"/>
        <v>112325392.00531851</v>
      </c>
    </row>
  </sheetData>
  <mergeCells count="6">
    <mergeCell ref="F116:G116"/>
    <mergeCell ref="AH116:AI116"/>
    <mergeCell ref="AU2:AW2"/>
    <mergeCell ref="D1:M1"/>
    <mergeCell ref="S1:AB1"/>
    <mergeCell ref="AH1:AQ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3"/>
  <sheetViews>
    <sheetView showGridLines="0" tabSelected="1" topLeftCell="AK61" workbookViewId="0">
      <selection activeCell="AO84" sqref="AO84"/>
    </sheetView>
  </sheetViews>
  <sheetFormatPr defaultRowHeight="12.75"/>
  <cols>
    <col min="1" max="1" width="17" style="1" bestFit="1" customWidth="1"/>
    <col min="2" max="3" width="17" style="40" customWidth="1"/>
    <col min="4" max="4" width="12.5703125" style="1" bestFit="1" customWidth="1"/>
    <col min="5" max="5" width="12.5703125" style="40" customWidth="1"/>
    <col min="6" max="6" width="11.7109375" style="1" bestFit="1" customWidth="1"/>
    <col min="7" max="9" width="13.85546875" style="1" bestFit="1" customWidth="1"/>
    <col min="10" max="11" width="11.7109375" style="1" bestFit="1" customWidth="1"/>
    <col min="12" max="12" width="13.85546875" style="1" bestFit="1" customWidth="1"/>
    <col min="13" max="13" width="11.7109375" style="1" bestFit="1" customWidth="1"/>
    <col min="14" max="14" width="12" style="1" bestFit="1" customWidth="1"/>
    <col min="15" max="15" width="14" style="1" bestFit="1" customWidth="1"/>
    <col min="16" max="16" width="17" style="1" bestFit="1" customWidth="1"/>
    <col min="17" max="18" width="17" style="40" customWidth="1"/>
    <col min="19" max="19" width="12.7109375" style="1" bestFit="1" customWidth="1"/>
    <col min="20" max="20" width="12.7109375" style="40" customWidth="1"/>
    <col min="21" max="21" width="13.5703125" style="1" bestFit="1" customWidth="1"/>
    <col min="22" max="23" width="16" style="1" bestFit="1" customWidth="1"/>
    <col min="24" max="24" width="14.5703125" style="1" bestFit="1" customWidth="1"/>
    <col min="25" max="25" width="11.85546875" style="1" bestFit="1" customWidth="1"/>
    <col min="26" max="26" width="13.5703125" style="1" bestFit="1" customWidth="1"/>
    <col min="27" max="27" width="14" style="1" bestFit="1" customWidth="1"/>
    <col min="28" max="28" width="13.5703125" style="1" bestFit="1" customWidth="1"/>
    <col min="29" max="29" width="16" style="1" bestFit="1" customWidth="1"/>
    <col min="30" max="30" width="12" style="1" bestFit="1" customWidth="1"/>
    <col min="31" max="31" width="17" style="40" bestFit="1" customWidth="1"/>
    <col min="32" max="33" width="17" style="40" customWidth="1"/>
    <col min="34" max="34" width="12.7109375" style="40" bestFit="1" customWidth="1"/>
    <col min="35" max="35" width="12.7109375" style="40" customWidth="1"/>
    <col min="36" max="36" width="13.5703125" style="40" bestFit="1" customWidth="1"/>
    <col min="37" max="38" width="16" style="40" bestFit="1" customWidth="1"/>
    <col min="39" max="39" width="14.5703125" style="40" bestFit="1" customWidth="1"/>
    <col min="40" max="40" width="11.85546875" style="40" bestFit="1" customWidth="1"/>
    <col min="41" max="41" width="13.5703125" style="40" bestFit="1" customWidth="1"/>
    <col min="42" max="42" width="14" style="40" bestFit="1" customWidth="1"/>
    <col min="43" max="43" width="13.5703125" style="40" bestFit="1" customWidth="1"/>
    <col min="44" max="44" width="16" style="40" bestFit="1" customWidth="1"/>
    <col min="45" max="52" width="9.140625" style="1"/>
    <col min="53" max="53" width="14" style="1" bestFit="1" customWidth="1"/>
    <col min="54" max="54" width="9.7109375" style="1" bestFit="1" customWidth="1"/>
    <col min="55" max="16384" width="9.140625" style="1"/>
  </cols>
  <sheetData>
    <row r="1" spans="1:54">
      <c r="D1" s="424" t="s">
        <v>21</v>
      </c>
      <c r="E1" s="424"/>
      <c r="F1" s="424"/>
      <c r="G1" s="424"/>
      <c r="H1" s="424"/>
      <c r="I1" s="424"/>
      <c r="J1" s="424"/>
      <c r="K1" s="424"/>
      <c r="L1" s="424"/>
      <c r="M1" s="424"/>
      <c r="N1" s="42">
        <f>SUM(N4:N9)</f>
        <v>28148.908000000003</v>
      </c>
      <c r="O1" s="42">
        <f>SUM(AC4:AC9)</f>
        <v>2515942534.5700002</v>
      </c>
      <c r="P1" s="1">
        <f>+O1/N1</f>
        <v>89379.756208304767</v>
      </c>
      <c r="S1" s="424" t="s">
        <v>45</v>
      </c>
      <c r="T1" s="424"/>
      <c r="U1" s="424"/>
      <c r="V1" s="424"/>
      <c r="W1" s="424"/>
      <c r="X1" s="424"/>
      <c r="Y1" s="424"/>
      <c r="Z1" s="424"/>
      <c r="AA1" s="424"/>
      <c r="AB1" s="424"/>
      <c r="AH1" s="424" t="s">
        <v>83</v>
      </c>
      <c r="AI1" s="424"/>
      <c r="AJ1" s="424"/>
      <c r="AK1" s="424"/>
      <c r="AL1" s="424"/>
      <c r="AM1" s="424"/>
      <c r="AN1" s="424"/>
      <c r="AO1" s="424"/>
      <c r="AP1" s="424"/>
      <c r="AQ1" s="424"/>
    </row>
    <row r="2" spans="1:54">
      <c r="C2" s="1"/>
      <c r="N2" s="42"/>
      <c r="O2" s="42"/>
      <c r="P2" s="40"/>
      <c r="S2" s="40"/>
      <c r="U2" s="40"/>
      <c r="V2" s="40"/>
      <c r="W2" s="40"/>
      <c r="X2" s="40"/>
      <c r="Y2" s="40"/>
      <c r="Z2" s="40"/>
      <c r="AA2" s="40"/>
      <c r="AB2" s="40"/>
      <c r="AU2" s="421" t="s">
        <v>86</v>
      </c>
      <c r="AV2" s="421"/>
      <c r="AW2" s="421"/>
      <c r="AZ2" s="1" t="s">
        <v>34</v>
      </c>
    </row>
    <row r="3" spans="1:54">
      <c r="A3" s="25" t="s">
        <v>22</v>
      </c>
      <c r="B3" s="161" t="s">
        <v>133</v>
      </c>
      <c r="C3" s="161" t="s">
        <v>19</v>
      </c>
      <c r="D3" s="161" t="s">
        <v>17</v>
      </c>
      <c r="E3" s="161" t="s">
        <v>134</v>
      </c>
      <c r="F3" s="161" t="s">
        <v>10</v>
      </c>
      <c r="G3" s="161" t="s">
        <v>11</v>
      </c>
      <c r="H3" s="161" t="s">
        <v>12</v>
      </c>
      <c r="I3" s="161" t="s">
        <v>13</v>
      </c>
      <c r="J3" s="161" t="s">
        <v>14</v>
      </c>
      <c r="K3" s="161" t="s">
        <v>18</v>
      </c>
      <c r="L3" s="161" t="s">
        <v>15</v>
      </c>
      <c r="M3" s="161" t="s">
        <v>16</v>
      </c>
      <c r="N3" s="27" t="s">
        <v>20</v>
      </c>
      <c r="O3" s="40"/>
      <c r="P3" s="25" t="s">
        <v>22</v>
      </c>
      <c r="Q3" s="161" t="s">
        <v>133</v>
      </c>
      <c r="R3" s="161" t="s">
        <v>19</v>
      </c>
      <c r="S3" s="161" t="s">
        <v>17</v>
      </c>
      <c r="T3" s="161" t="s">
        <v>134</v>
      </c>
      <c r="U3" s="161" t="s">
        <v>10</v>
      </c>
      <c r="V3" s="161" t="s">
        <v>11</v>
      </c>
      <c r="W3" s="161" t="s">
        <v>12</v>
      </c>
      <c r="X3" s="161" t="s">
        <v>13</v>
      </c>
      <c r="Y3" s="161" t="s">
        <v>14</v>
      </c>
      <c r="Z3" s="161" t="s">
        <v>18</v>
      </c>
      <c r="AA3" s="161" t="s">
        <v>15</v>
      </c>
      <c r="AB3" s="161" t="s">
        <v>16</v>
      </c>
      <c r="AC3" s="27" t="s">
        <v>20</v>
      </c>
      <c r="AD3" s="40"/>
      <c r="AE3" s="25" t="s">
        <v>22</v>
      </c>
      <c r="AF3" s="161" t="s">
        <v>133</v>
      </c>
      <c r="AG3" s="161" t="s">
        <v>19</v>
      </c>
      <c r="AH3" s="161" t="s">
        <v>17</v>
      </c>
      <c r="AI3" s="161" t="s">
        <v>134</v>
      </c>
      <c r="AJ3" s="161" t="s">
        <v>10</v>
      </c>
      <c r="AK3" s="161" t="s">
        <v>11</v>
      </c>
      <c r="AL3" s="161" t="s">
        <v>12</v>
      </c>
      <c r="AM3" s="161" t="s">
        <v>13</v>
      </c>
      <c r="AN3" s="161" t="s">
        <v>14</v>
      </c>
      <c r="AO3" s="161" t="s">
        <v>18</v>
      </c>
      <c r="AP3" s="161" t="s">
        <v>15</v>
      </c>
      <c r="AQ3" s="161" t="s">
        <v>16</v>
      </c>
      <c r="AR3" s="27" t="s">
        <v>20</v>
      </c>
      <c r="AU3" s="90" t="s">
        <v>11</v>
      </c>
      <c r="AV3" s="90" t="s">
        <v>12</v>
      </c>
      <c r="AW3" s="90" t="s">
        <v>13</v>
      </c>
      <c r="AZ3" s="1" t="s">
        <v>121</v>
      </c>
      <c r="BA3" s="1" t="s">
        <v>47</v>
      </c>
    </row>
    <row r="4" spans="1:54">
      <c r="A4" s="9">
        <v>42095</v>
      </c>
      <c r="B4" s="41">
        <f>B20+B36+B52+B68+B84+B100</f>
        <v>0</v>
      </c>
      <c r="C4" s="41">
        <f t="shared" ref="C4:N4" si="0">C20+C36+C52+C68+C84+C100</f>
        <v>0</v>
      </c>
      <c r="D4" s="41">
        <f t="shared" si="0"/>
        <v>0</v>
      </c>
      <c r="E4" s="41">
        <f t="shared" si="0"/>
        <v>0</v>
      </c>
      <c r="F4" s="41">
        <f t="shared" si="0"/>
        <v>56.45</v>
      </c>
      <c r="G4" s="41">
        <f t="shared" si="0"/>
        <v>3977.8</v>
      </c>
      <c r="H4" s="41">
        <f t="shared" si="0"/>
        <v>1098.2400000000002</v>
      </c>
      <c r="I4" s="41">
        <f t="shared" si="0"/>
        <v>176.89</v>
      </c>
      <c r="J4" s="41">
        <f t="shared" si="0"/>
        <v>0</v>
      </c>
      <c r="K4" s="41">
        <f t="shared" si="0"/>
        <v>0</v>
      </c>
      <c r="L4" s="41">
        <f t="shared" si="0"/>
        <v>0</v>
      </c>
      <c r="M4" s="41">
        <f t="shared" si="0"/>
        <v>0</v>
      </c>
      <c r="N4" s="6">
        <f t="shared" si="0"/>
        <v>5309.38</v>
      </c>
      <c r="O4" s="41"/>
      <c r="P4" s="9">
        <v>42095</v>
      </c>
      <c r="Q4" s="41">
        <f>Q20+Q36+Q52+Q68+Q84+Q100</f>
        <v>0</v>
      </c>
      <c r="R4" s="41">
        <f t="shared" ref="R4:AC4" si="1">R20+R36+R52+R68+R84+R100</f>
        <v>0</v>
      </c>
      <c r="S4" s="41">
        <f t="shared" si="1"/>
        <v>0</v>
      </c>
      <c r="T4" s="41">
        <f t="shared" si="1"/>
        <v>0</v>
      </c>
      <c r="U4" s="41">
        <f t="shared" si="1"/>
        <v>5547201.8399999999</v>
      </c>
      <c r="V4" s="41">
        <f t="shared" si="1"/>
        <v>345218793.23000002</v>
      </c>
      <c r="W4" s="41">
        <f t="shared" si="1"/>
        <v>113019988.08</v>
      </c>
      <c r="X4" s="41">
        <f t="shared" si="1"/>
        <v>18289985</v>
      </c>
      <c r="Y4" s="41">
        <f t="shared" si="1"/>
        <v>0</v>
      </c>
      <c r="Z4" s="41">
        <f t="shared" si="1"/>
        <v>0</v>
      </c>
      <c r="AA4" s="41">
        <f t="shared" si="1"/>
        <v>0</v>
      </c>
      <c r="AB4" s="41">
        <f t="shared" si="1"/>
        <v>0</v>
      </c>
      <c r="AC4" s="6">
        <f t="shared" si="1"/>
        <v>482075968.1500001</v>
      </c>
      <c r="AD4" s="40"/>
      <c r="AE4" s="9">
        <v>42095</v>
      </c>
      <c r="AF4" s="41">
        <f>AF20+AF36+AF52+AF68+AF84+AF100</f>
        <v>0</v>
      </c>
      <c r="AG4" s="41">
        <f t="shared" ref="AG4:AR4" si="2">AG20+AG36+AG52+AG68+AG84+AG100</f>
        <v>0</v>
      </c>
      <c r="AH4" s="41">
        <f t="shared" si="2"/>
        <v>0</v>
      </c>
      <c r="AI4" s="41">
        <f t="shared" si="2"/>
        <v>0</v>
      </c>
      <c r="AJ4" s="41">
        <f t="shared" si="2"/>
        <v>87999.734652401443</v>
      </c>
      <c r="AK4" s="41">
        <f t="shared" si="2"/>
        <v>5476787.1715127714</v>
      </c>
      <c r="AL4" s="41">
        <f t="shared" si="2"/>
        <v>1792896.6280447727</v>
      </c>
      <c r="AM4" s="41">
        <f t="shared" si="2"/>
        <v>289637.69561876007</v>
      </c>
      <c r="AN4" s="41">
        <f t="shared" si="2"/>
        <v>0</v>
      </c>
      <c r="AO4" s="41">
        <f t="shared" si="2"/>
        <v>0</v>
      </c>
      <c r="AP4" s="41">
        <f t="shared" si="2"/>
        <v>0</v>
      </c>
      <c r="AQ4" s="41">
        <f t="shared" si="2"/>
        <v>0</v>
      </c>
      <c r="AR4" s="6">
        <f t="shared" si="2"/>
        <v>7647321.2298287051</v>
      </c>
      <c r="AU4" s="92">
        <f t="shared" ref="AU4:AU15" si="3">+AK4/G4</f>
        <v>1376.8382451387126</v>
      </c>
      <c r="AV4" s="92">
        <f t="shared" ref="AV4:AV15" si="4">+AL4/H4</f>
        <v>1632.5180543822592</v>
      </c>
      <c r="AW4" s="92">
        <f t="shared" ref="AW4:AW15" si="5">+AM4/I4</f>
        <v>1637.3887479154282</v>
      </c>
      <c r="AZ4" s="42">
        <f t="shared" ref="AZ4:AZ15" si="6">+G4</f>
        <v>3977.8</v>
      </c>
      <c r="BA4" s="42">
        <f t="shared" ref="BA4:BA15" si="7">+V4</f>
        <v>345218793.23000002</v>
      </c>
    </row>
    <row r="5" spans="1:54">
      <c r="A5" s="9">
        <v>42125</v>
      </c>
      <c r="B5" s="41">
        <f t="shared" ref="B5:N16" si="8">B21+B37+B53+B69+B85+B101</f>
        <v>0</v>
      </c>
      <c r="C5" s="41">
        <f t="shared" si="8"/>
        <v>0</v>
      </c>
      <c r="D5" s="41">
        <f t="shared" si="8"/>
        <v>13.6</v>
      </c>
      <c r="E5" s="41">
        <f t="shared" si="8"/>
        <v>0</v>
      </c>
      <c r="F5" s="41">
        <f t="shared" si="8"/>
        <v>79.289999999999992</v>
      </c>
      <c r="G5" s="41">
        <f t="shared" si="8"/>
        <v>3721.8</v>
      </c>
      <c r="H5" s="41">
        <f t="shared" si="8"/>
        <v>891.48</v>
      </c>
      <c r="I5" s="41">
        <f t="shared" si="8"/>
        <v>172.64999999999998</v>
      </c>
      <c r="J5" s="41">
        <f t="shared" si="8"/>
        <v>0</v>
      </c>
      <c r="K5" s="41">
        <f t="shared" si="8"/>
        <v>23.4</v>
      </c>
      <c r="L5" s="41">
        <f t="shared" si="8"/>
        <v>10.08</v>
      </c>
      <c r="M5" s="41">
        <f t="shared" si="8"/>
        <v>0.6</v>
      </c>
      <c r="N5" s="6">
        <f t="shared" si="8"/>
        <v>4912.9000000000005</v>
      </c>
      <c r="O5" s="41"/>
      <c r="P5" s="9">
        <v>42125</v>
      </c>
      <c r="Q5" s="41">
        <f t="shared" ref="Q5:AC16" si="9">Q21+Q37+Q53+Q69+Q85+Q101</f>
        <v>0</v>
      </c>
      <c r="R5" s="41">
        <f t="shared" si="9"/>
        <v>0</v>
      </c>
      <c r="S5" s="41">
        <f t="shared" si="9"/>
        <v>2939006.07</v>
      </c>
      <c r="T5" s="41">
        <f t="shared" si="9"/>
        <v>0</v>
      </c>
      <c r="U5" s="41">
        <f t="shared" si="9"/>
        <v>7571978.5600000005</v>
      </c>
      <c r="V5" s="41">
        <f t="shared" si="9"/>
        <v>326441597.88000005</v>
      </c>
      <c r="W5" s="41">
        <f t="shared" si="9"/>
        <v>87642446.769999996</v>
      </c>
      <c r="X5" s="41">
        <f t="shared" si="9"/>
        <v>16451753.369999999</v>
      </c>
      <c r="Y5" s="41">
        <f t="shared" si="9"/>
        <v>0</v>
      </c>
      <c r="Z5" s="41">
        <f t="shared" si="9"/>
        <v>2379880.5599999996</v>
      </c>
      <c r="AA5" s="41">
        <f t="shared" si="9"/>
        <v>1367546.14</v>
      </c>
      <c r="AB5" s="41">
        <f t="shared" si="9"/>
        <v>63770.81</v>
      </c>
      <c r="AC5" s="6">
        <f t="shared" si="9"/>
        <v>444857980.16000003</v>
      </c>
      <c r="AD5" s="40"/>
      <c r="AE5" s="9">
        <v>42125</v>
      </c>
      <c r="AF5" s="41">
        <f t="shared" ref="AF5:AR16" si="10">AF21+AF37+AF53+AF69+AF85+AF101</f>
        <v>0</v>
      </c>
      <c r="AG5" s="41">
        <f t="shared" si="10"/>
        <v>0</v>
      </c>
      <c r="AH5" s="41">
        <f t="shared" si="10"/>
        <v>45707.714930015551</v>
      </c>
      <c r="AI5" s="41">
        <f t="shared" si="10"/>
        <v>0</v>
      </c>
      <c r="AJ5" s="41">
        <f t="shared" si="10"/>
        <v>117737.82092536805</v>
      </c>
      <c r="AK5" s="41">
        <f t="shared" si="10"/>
        <v>5100431.9941818444</v>
      </c>
      <c r="AL5" s="41">
        <f t="shared" si="10"/>
        <v>1369379.8414043887</v>
      </c>
      <c r="AM5" s="41">
        <f t="shared" si="10"/>
        <v>257487.500254207</v>
      </c>
      <c r="AN5" s="41">
        <f t="shared" si="10"/>
        <v>0</v>
      </c>
      <c r="AO5" s="41">
        <f t="shared" si="10"/>
        <v>36983.380885780884</v>
      </c>
      <c r="AP5" s="41">
        <f t="shared" si="10"/>
        <v>21268.21368584759</v>
      </c>
      <c r="AQ5" s="41">
        <f t="shared" si="10"/>
        <v>990.99937839937843</v>
      </c>
      <c r="AR5" s="6">
        <f t="shared" si="10"/>
        <v>6949987.4656458506</v>
      </c>
      <c r="AU5" s="92">
        <f t="shared" si="3"/>
        <v>1370.4207625831168</v>
      </c>
      <c r="AV5" s="92">
        <f t="shared" si="4"/>
        <v>1536.074663934568</v>
      </c>
      <c r="AW5" s="92">
        <f t="shared" si="5"/>
        <v>1491.3843049765828</v>
      </c>
      <c r="AZ5" s="42">
        <f t="shared" si="6"/>
        <v>3721.8</v>
      </c>
      <c r="BA5" s="42">
        <f t="shared" si="7"/>
        <v>326441597.88000005</v>
      </c>
    </row>
    <row r="6" spans="1:54">
      <c r="A6" s="9">
        <v>42156</v>
      </c>
      <c r="B6" s="41">
        <f t="shared" si="8"/>
        <v>0</v>
      </c>
      <c r="C6" s="41">
        <f t="shared" si="8"/>
        <v>0</v>
      </c>
      <c r="D6" s="41">
        <f t="shared" si="8"/>
        <v>0</v>
      </c>
      <c r="E6" s="41">
        <f t="shared" si="8"/>
        <v>0</v>
      </c>
      <c r="F6" s="41">
        <f t="shared" si="8"/>
        <v>52.77</v>
      </c>
      <c r="G6" s="41">
        <f t="shared" si="8"/>
        <v>5512.29</v>
      </c>
      <c r="H6" s="41">
        <f t="shared" si="8"/>
        <v>917.07999999999993</v>
      </c>
      <c r="I6" s="41">
        <f t="shared" si="8"/>
        <v>179.32</v>
      </c>
      <c r="J6" s="41">
        <f t="shared" si="8"/>
        <v>0</v>
      </c>
      <c r="K6" s="41">
        <f t="shared" si="8"/>
        <v>3</v>
      </c>
      <c r="L6" s="41">
        <f t="shared" si="8"/>
        <v>0</v>
      </c>
      <c r="M6" s="41">
        <f t="shared" si="8"/>
        <v>0</v>
      </c>
      <c r="N6" s="6">
        <f t="shared" si="8"/>
        <v>6664.46</v>
      </c>
      <c r="O6" s="42">
        <f>N4+N5+N6</f>
        <v>16886.740000000002</v>
      </c>
      <c r="P6" s="9">
        <v>42156</v>
      </c>
      <c r="Q6" s="41">
        <f t="shared" si="9"/>
        <v>0</v>
      </c>
      <c r="R6" s="41">
        <f t="shared" si="9"/>
        <v>0</v>
      </c>
      <c r="S6" s="41">
        <f t="shared" si="9"/>
        <v>0</v>
      </c>
      <c r="T6" s="41">
        <f t="shared" si="9"/>
        <v>0</v>
      </c>
      <c r="U6" s="41">
        <f t="shared" si="9"/>
        <v>5109537.96</v>
      </c>
      <c r="V6" s="41">
        <f t="shared" si="9"/>
        <v>484468452.49000007</v>
      </c>
      <c r="W6" s="41">
        <f t="shared" si="9"/>
        <v>85101397.180000007</v>
      </c>
      <c r="X6" s="41">
        <f t="shared" si="9"/>
        <v>16631055.18</v>
      </c>
      <c r="Y6" s="41">
        <f t="shared" si="9"/>
        <v>0</v>
      </c>
      <c r="Z6" s="41">
        <f t="shared" si="9"/>
        <v>308179.18</v>
      </c>
      <c r="AA6" s="41">
        <f t="shared" si="9"/>
        <v>0</v>
      </c>
      <c r="AB6" s="41">
        <f t="shared" si="9"/>
        <v>0</v>
      </c>
      <c r="AC6" s="6">
        <f t="shared" si="9"/>
        <v>591618621.99000001</v>
      </c>
      <c r="AD6" s="40"/>
      <c r="AE6" s="9">
        <v>42156</v>
      </c>
      <c r="AF6" s="41">
        <f t="shared" si="10"/>
        <v>0</v>
      </c>
      <c r="AG6" s="41">
        <f t="shared" si="10"/>
        <v>0</v>
      </c>
      <c r="AH6" s="41">
        <f t="shared" si="10"/>
        <v>0</v>
      </c>
      <c r="AI6" s="41">
        <f t="shared" si="10"/>
        <v>0</v>
      </c>
      <c r="AJ6" s="41">
        <f t="shared" si="10"/>
        <v>79067.345003872964</v>
      </c>
      <c r="AK6" s="41">
        <f t="shared" si="10"/>
        <v>7498275.6682481738</v>
      </c>
      <c r="AL6" s="41">
        <f t="shared" si="10"/>
        <v>1318266.8795132078</v>
      </c>
      <c r="AM6" s="41">
        <f t="shared" si="10"/>
        <v>257603.36786424625</v>
      </c>
      <c r="AN6" s="41">
        <f t="shared" si="10"/>
        <v>0</v>
      </c>
      <c r="AO6" s="41">
        <f t="shared" si="10"/>
        <v>4759.5240154440153</v>
      </c>
      <c r="AP6" s="41">
        <f t="shared" si="10"/>
        <v>0</v>
      </c>
      <c r="AQ6" s="41">
        <f t="shared" si="10"/>
        <v>0</v>
      </c>
      <c r="AR6" s="6">
        <f t="shared" si="10"/>
        <v>9157972.7846449465</v>
      </c>
      <c r="AU6" s="92">
        <f t="shared" si="3"/>
        <v>1360.2832340548437</v>
      </c>
      <c r="AV6" s="92">
        <f t="shared" si="4"/>
        <v>1437.4611588009857</v>
      </c>
      <c r="AW6" s="92">
        <f t="shared" si="5"/>
        <v>1436.5568138760109</v>
      </c>
      <c r="AZ6" s="42">
        <f t="shared" si="6"/>
        <v>5512.29</v>
      </c>
      <c r="BA6" s="42">
        <f t="shared" si="7"/>
        <v>484468452.49000007</v>
      </c>
    </row>
    <row r="7" spans="1:54">
      <c r="A7" s="9">
        <v>42186</v>
      </c>
      <c r="B7" s="41">
        <f t="shared" si="8"/>
        <v>0</v>
      </c>
      <c r="C7" s="41">
        <f t="shared" si="8"/>
        <v>0</v>
      </c>
      <c r="D7" s="41">
        <f t="shared" si="8"/>
        <v>0</v>
      </c>
      <c r="E7" s="41">
        <f t="shared" si="8"/>
        <v>0</v>
      </c>
      <c r="F7" s="41">
        <f t="shared" si="8"/>
        <v>39.269999999999996</v>
      </c>
      <c r="G7" s="41">
        <f t="shared" si="8"/>
        <v>2730.616</v>
      </c>
      <c r="H7" s="41">
        <f t="shared" si="8"/>
        <v>768.81</v>
      </c>
      <c r="I7" s="41">
        <f t="shared" si="8"/>
        <v>115.50999999999999</v>
      </c>
      <c r="J7" s="41">
        <f t="shared" si="8"/>
        <v>0</v>
      </c>
      <c r="K7" s="41">
        <f t="shared" si="8"/>
        <v>11.7</v>
      </c>
      <c r="L7" s="41">
        <f t="shared" si="8"/>
        <v>15</v>
      </c>
      <c r="M7" s="41">
        <f t="shared" si="8"/>
        <v>0.3</v>
      </c>
      <c r="N7" s="6">
        <f t="shared" si="8"/>
        <v>3681.2060000000001</v>
      </c>
      <c r="O7" s="40"/>
      <c r="P7" s="9">
        <v>42186</v>
      </c>
      <c r="Q7" s="41">
        <f t="shared" si="9"/>
        <v>0</v>
      </c>
      <c r="R7" s="41">
        <f t="shared" si="9"/>
        <v>0</v>
      </c>
      <c r="S7" s="41">
        <f t="shared" si="9"/>
        <v>0</v>
      </c>
      <c r="T7" s="41">
        <f t="shared" si="9"/>
        <v>0</v>
      </c>
      <c r="U7" s="41">
        <f t="shared" si="9"/>
        <v>3690748.7</v>
      </c>
      <c r="V7" s="41">
        <f t="shared" si="9"/>
        <v>237699060.94</v>
      </c>
      <c r="W7" s="41">
        <f t="shared" si="9"/>
        <v>70167693.449999988</v>
      </c>
      <c r="X7" s="41">
        <f t="shared" si="9"/>
        <v>10411210.960000001</v>
      </c>
      <c r="Y7" s="41">
        <f t="shared" si="9"/>
        <v>0</v>
      </c>
      <c r="Z7" s="41">
        <f t="shared" si="9"/>
        <v>1252749.72</v>
      </c>
      <c r="AA7" s="41">
        <f t="shared" si="9"/>
        <v>1314073.1299999999</v>
      </c>
      <c r="AB7" s="41">
        <f t="shared" si="9"/>
        <v>31635.09</v>
      </c>
      <c r="AC7" s="6">
        <f t="shared" si="9"/>
        <v>324567171.99000001</v>
      </c>
      <c r="AD7" s="40"/>
      <c r="AE7" s="9">
        <v>42186</v>
      </c>
      <c r="AF7" s="41">
        <f t="shared" si="10"/>
        <v>0</v>
      </c>
      <c r="AG7" s="41">
        <f t="shared" si="10"/>
        <v>0</v>
      </c>
      <c r="AH7" s="41">
        <f t="shared" si="10"/>
        <v>0</v>
      </c>
      <c r="AI7" s="41">
        <f t="shared" si="10"/>
        <v>0</v>
      </c>
      <c r="AJ7" s="41">
        <f t="shared" si="10"/>
        <v>57510.91513636888</v>
      </c>
      <c r="AK7" s="41">
        <f t="shared" si="10"/>
        <v>3705790.6541563831</v>
      </c>
      <c r="AL7" s="41">
        <f t="shared" si="10"/>
        <v>1093653.4456889466</v>
      </c>
      <c r="AM7" s="41">
        <f t="shared" si="10"/>
        <v>162421.38783151328</v>
      </c>
      <c r="AN7" s="41">
        <f t="shared" si="10"/>
        <v>0</v>
      </c>
      <c r="AO7" s="41">
        <f t="shared" si="10"/>
        <v>19498.050116731516</v>
      </c>
      <c r="AP7" s="41">
        <f t="shared" si="10"/>
        <v>20500.3608424337</v>
      </c>
      <c r="AQ7" s="41">
        <f t="shared" si="10"/>
        <v>492.37494163424122</v>
      </c>
      <c r="AR7" s="6">
        <f t="shared" si="10"/>
        <v>5059867.1887140106</v>
      </c>
      <c r="AU7" s="92">
        <f t="shared" si="3"/>
        <v>1357.126250690827</v>
      </c>
      <c r="AV7" s="92">
        <f t="shared" si="4"/>
        <v>1422.5276019939215</v>
      </c>
      <c r="AW7" s="92">
        <f t="shared" si="5"/>
        <v>1406.1240397499203</v>
      </c>
      <c r="AZ7" s="42">
        <f t="shared" si="6"/>
        <v>2730.616</v>
      </c>
      <c r="BA7" s="42">
        <f t="shared" si="7"/>
        <v>237699060.94</v>
      </c>
    </row>
    <row r="8" spans="1:54">
      <c r="A8" s="9">
        <v>42217</v>
      </c>
      <c r="B8" s="41">
        <f t="shared" si="8"/>
        <v>0</v>
      </c>
      <c r="C8" s="41">
        <f t="shared" si="8"/>
        <v>0</v>
      </c>
      <c r="D8" s="41">
        <f t="shared" si="8"/>
        <v>0</v>
      </c>
      <c r="E8" s="41">
        <f t="shared" si="8"/>
        <v>0</v>
      </c>
      <c r="F8" s="41">
        <f t="shared" si="8"/>
        <v>185.73999999999998</v>
      </c>
      <c r="G8" s="41">
        <f t="shared" si="8"/>
        <v>3567.79</v>
      </c>
      <c r="H8" s="41">
        <f t="shared" si="8"/>
        <v>1280.46</v>
      </c>
      <c r="I8" s="41">
        <f t="shared" si="8"/>
        <v>196.44</v>
      </c>
      <c r="J8" s="41">
        <f t="shared" si="8"/>
        <v>0</v>
      </c>
      <c r="K8" s="41">
        <f t="shared" si="8"/>
        <v>0.3</v>
      </c>
      <c r="L8" s="41">
        <f t="shared" si="8"/>
        <v>15</v>
      </c>
      <c r="M8" s="41">
        <f t="shared" si="8"/>
        <v>0</v>
      </c>
      <c r="N8" s="6">
        <f t="shared" si="8"/>
        <v>5245.7300000000005</v>
      </c>
      <c r="O8" s="40"/>
      <c r="P8" s="9">
        <v>42217</v>
      </c>
      <c r="Q8" s="41">
        <f t="shared" si="9"/>
        <v>0</v>
      </c>
      <c r="R8" s="41">
        <f t="shared" si="9"/>
        <v>0</v>
      </c>
      <c r="S8" s="41">
        <f t="shared" si="9"/>
        <v>0</v>
      </c>
      <c r="T8" s="41">
        <f t="shared" si="9"/>
        <v>0</v>
      </c>
      <c r="U8" s="41">
        <f t="shared" si="9"/>
        <v>16650293.459999997</v>
      </c>
      <c r="V8" s="41">
        <f t="shared" si="9"/>
        <v>317171830</v>
      </c>
      <c r="W8" s="41">
        <f t="shared" si="9"/>
        <v>114195317.5</v>
      </c>
      <c r="X8" s="41">
        <f t="shared" si="9"/>
        <v>17521096.719999999</v>
      </c>
      <c r="Y8" s="41">
        <f t="shared" si="9"/>
        <v>0</v>
      </c>
      <c r="Z8" s="41">
        <f t="shared" si="9"/>
        <v>31489.35</v>
      </c>
      <c r="AA8" s="41">
        <f t="shared" si="9"/>
        <v>1354713</v>
      </c>
      <c r="AB8" s="41">
        <f t="shared" si="9"/>
        <v>0</v>
      </c>
      <c r="AC8" s="6">
        <f t="shared" si="9"/>
        <v>466924740.03000003</v>
      </c>
      <c r="AD8" s="40"/>
      <c r="AE8" s="9">
        <v>42217</v>
      </c>
      <c r="AF8" s="41">
        <f t="shared" si="10"/>
        <v>0</v>
      </c>
      <c r="AG8" s="41">
        <f t="shared" si="10"/>
        <v>0</v>
      </c>
      <c r="AH8" s="41">
        <f t="shared" si="10"/>
        <v>0</v>
      </c>
      <c r="AI8" s="41">
        <f t="shared" si="10"/>
        <v>0</v>
      </c>
      <c r="AJ8" s="41">
        <f t="shared" si="10"/>
        <v>257686.06941557489</v>
      </c>
      <c r="AK8" s="41">
        <f t="shared" si="10"/>
        <v>4912784.8593030069</v>
      </c>
      <c r="AL8" s="41">
        <f t="shared" si="10"/>
        <v>1755732.5517792767</v>
      </c>
      <c r="AM8" s="41">
        <f t="shared" si="10"/>
        <v>268473.84748236777</v>
      </c>
      <c r="AN8" s="41">
        <f t="shared" si="10"/>
        <v>0</v>
      </c>
      <c r="AO8" s="41">
        <f t="shared" si="10"/>
        <v>489.34498834498834</v>
      </c>
      <c r="AP8" s="41">
        <f t="shared" si="10"/>
        <v>20604</v>
      </c>
      <c r="AQ8" s="41">
        <f t="shared" si="10"/>
        <v>0</v>
      </c>
      <c r="AR8" s="6">
        <f t="shared" si="10"/>
        <v>7215770.672968572</v>
      </c>
      <c r="AU8" s="92">
        <f t="shared" si="3"/>
        <v>1376.9826305088043</v>
      </c>
      <c r="AV8" s="92">
        <f t="shared" si="4"/>
        <v>1371.1732906762231</v>
      </c>
      <c r="AW8" s="92">
        <f t="shared" si="5"/>
        <v>1366.6964339358979</v>
      </c>
      <c r="AZ8" s="42">
        <f t="shared" si="6"/>
        <v>3567.79</v>
      </c>
      <c r="BA8" s="42">
        <f t="shared" si="7"/>
        <v>317171830</v>
      </c>
    </row>
    <row r="9" spans="1:54">
      <c r="A9" s="9">
        <v>42248</v>
      </c>
      <c r="B9" s="41">
        <f t="shared" si="8"/>
        <v>0</v>
      </c>
      <c r="C9" s="41">
        <f t="shared" si="8"/>
        <v>0</v>
      </c>
      <c r="D9" s="41">
        <f t="shared" si="8"/>
        <v>6.8</v>
      </c>
      <c r="E9" s="41">
        <f t="shared" si="8"/>
        <v>0</v>
      </c>
      <c r="F9" s="41">
        <f t="shared" si="8"/>
        <v>27.2</v>
      </c>
      <c r="G9" s="41">
        <f t="shared" si="8"/>
        <v>1118.5919999999999</v>
      </c>
      <c r="H9" s="41">
        <f t="shared" si="8"/>
        <v>749.22</v>
      </c>
      <c r="I9" s="41">
        <f t="shared" si="8"/>
        <v>357.41999999999996</v>
      </c>
      <c r="J9" s="41">
        <f t="shared" si="8"/>
        <v>0</v>
      </c>
      <c r="K9" s="41">
        <f t="shared" si="8"/>
        <v>30</v>
      </c>
      <c r="L9" s="41">
        <f t="shared" si="8"/>
        <v>30</v>
      </c>
      <c r="M9" s="41">
        <f t="shared" si="8"/>
        <v>16</v>
      </c>
      <c r="N9" s="6">
        <f t="shared" si="8"/>
        <v>2335.2320000000004</v>
      </c>
      <c r="O9" s="42">
        <f>N7+N8+N9</f>
        <v>11262.168000000001</v>
      </c>
      <c r="P9" s="9">
        <v>42248</v>
      </c>
      <c r="Q9" s="41">
        <f t="shared" si="9"/>
        <v>0</v>
      </c>
      <c r="R9" s="41">
        <f t="shared" si="9"/>
        <v>0</v>
      </c>
      <c r="S9" s="41">
        <f t="shared" si="9"/>
        <v>1657797.84</v>
      </c>
      <c r="T9" s="41">
        <f t="shared" si="9"/>
        <v>0</v>
      </c>
      <c r="U9" s="41">
        <f t="shared" si="9"/>
        <v>2745572.29</v>
      </c>
      <c r="V9" s="41">
        <f t="shared" si="9"/>
        <v>96886638.349999994</v>
      </c>
      <c r="W9" s="41">
        <f t="shared" si="9"/>
        <v>67662382.290000007</v>
      </c>
      <c r="X9" s="41">
        <f t="shared" si="9"/>
        <v>29405377.689999998</v>
      </c>
      <c r="Y9" s="41">
        <f t="shared" si="9"/>
        <v>0</v>
      </c>
      <c r="Z9" s="41">
        <f t="shared" si="9"/>
        <v>3291526.88</v>
      </c>
      <c r="AA9" s="41">
        <f t="shared" si="9"/>
        <v>2677641.3099999996</v>
      </c>
      <c r="AB9" s="41">
        <f t="shared" si="9"/>
        <v>1571115.6</v>
      </c>
      <c r="AC9" s="6">
        <f t="shared" si="9"/>
        <v>205898052.25</v>
      </c>
      <c r="AD9" s="40"/>
      <c r="AE9" s="9">
        <v>42248</v>
      </c>
      <c r="AF9" s="41">
        <f t="shared" si="10"/>
        <v>0</v>
      </c>
      <c r="AG9" s="41">
        <f t="shared" si="10"/>
        <v>0</v>
      </c>
      <c r="AH9" s="41">
        <f t="shared" si="10"/>
        <v>24724.800000000003</v>
      </c>
      <c r="AI9" s="41">
        <f t="shared" si="10"/>
        <v>0</v>
      </c>
      <c r="AJ9" s="41">
        <f t="shared" si="10"/>
        <v>41014.09816572658</v>
      </c>
      <c r="AK9" s="41">
        <f t="shared" si="10"/>
        <v>1451296.3656113455</v>
      </c>
      <c r="AL9" s="41">
        <f t="shared" si="10"/>
        <v>1012900.335675981</v>
      </c>
      <c r="AM9" s="41">
        <f t="shared" si="10"/>
        <v>438938.60958616604</v>
      </c>
      <c r="AN9" s="41">
        <f t="shared" si="10"/>
        <v>0</v>
      </c>
      <c r="AO9" s="41">
        <f t="shared" si="10"/>
        <v>49237.50007479432</v>
      </c>
      <c r="AP9" s="41">
        <f t="shared" si="10"/>
        <v>39996.000149365529</v>
      </c>
      <c r="AQ9" s="41">
        <f t="shared" si="10"/>
        <v>23432.000000000004</v>
      </c>
      <c r="AR9" s="6">
        <f t="shared" si="10"/>
        <v>3081539.7092633783</v>
      </c>
      <c r="AU9" s="92">
        <f t="shared" si="3"/>
        <v>1297.4313830345163</v>
      </c>
      <c r="AV9" s="92">
        <f t="shared" si="4"/>
        <v>1351.9397982915311</v>
      </c>
      <c r="AW9" s="92">
        <f t="shared" si="5"/>
        <v>1228.07512054772</v>
      </c>
      <c r="AZ9" s="42">
        <f t="shared" si="6"/>
        <v>1118.5919999999999</v>
      </c>
      <c r="BA9" s="42">
        <f t="shared" si="7"/>
        <v>96886638.349999994</v>
      </c>
    </row>
    <row r="10" spans="1:54">
      <c r="A10" s="9">
        <v>42278</v>
      </c>
      <c r="B10" s="41">
        <f t="shared" si="8"/>
        <v>0</v>
      </c>
      <c r="C10" s="41">
        <f t="shared" si="8"/>
        <v>0</v>
      </c>
      <c r="D10" s="41">
        <f t="shared" si="8"/>
        <v>0</v>
      </c>
      <c r="E10" s="41">
        <f t="shared" si="8"/>
        <v>0</v>
      </c>
      <c r="F10" s="41">
        <f t="shared" si="8"/>
        <v>13.6</v>
      </c>
      <c r="G10" s="41">
        <f t="shared" si="8"/>
        <v>1928.5060000000001</v>
      </c>
      <c r="H10" s="41">
        <f t="shared" si="8"/>
        <v>710.7</v>
      </c>
      <c r="I10" s="41">
        <f t="shared" si="8"/>
        <v>0</v>
      </c>
      <c r="J10" s="41">
        <f t="shared" si="8"/>
        <v>0</v>
      </c>
      <c r="K10" s="41">
        <f t="shared" si="8"/>
        <v>0</v>
      </c>
      <c r="L10" s="41">
        <f t="shared" si="8"/>
        <v>2.4</v>
      </c>
      <c r="M10" s="41">
        <f t="shared" si="8"/>
        <v>0</v>
      </c>
      <c r="N10" s="6">
        <f t="shared" si="8"/>
        <v>2655.2060000000006</v>
      </c>
      <c r="O10" s="40"/>
      <c r="P10" s="9">
        <v>42278</v>
      </c>
      <c r="Q10" s="41">
        <f t="shared" si="9"/>
        <v>0</v>
      </c>
      <c r="R10" s="41">
        <f t="shared" si="9"/>
        <v>0</v>
      </c>
      <c r="S10" s="41">
        <f t="shared" si="9"/>
        <v>0</v>
      </c>
      <c r="T10" s="41">
        <f t="shared" si="9"/>
        <v>0</v>
      </c>
      <c r="U10" s="41">
        <f t="shared" si="9"/>
        <v>1184894.83</v>
      </c>
      <c r="V10" s="41">
        <f t="shared" si="9"/>
        <v>146333845.87</v>
      </c>
      <c r="W10" s="41">
        <f t="shared" si="9"/>
        <v>60058582.670000002</v>
      </c>
      <c r="X10" s="41">
        <f t="shared" si="9"/>
        <v>0</v>
      </c>
      <c r="Y10" s="41">
        <f t="shared" si="9"/>
        <v>0</v>
      </c>
      <c r="Z10" s="41">
        <f t="shared" si="9"/>
        <v>0</v>
      </c>
      <c r="AA10" s="41">
        <f t="shared" si="9"/>
        <v>293156.15000000002</v>
      </c>
      <c r="AB10" s="41">
        <f t="shared" si="9"/>
        <v>0</v>
      </c>
      <c r="AC10" s="6">
        <f t="shared" si="9"/>
        <v>207870479.52000001</v>
      </c>
      <c r="AD10" s="40"/>
      <c r="AE10" s="9">
        <v>42278</v>
      </c>
      <c r="AF10" s="41">
        <f t="shared" si="10"/>
        <v>0</v>
      </c>
      <c r="AG10" s="41">
        <f t="shared" si="10"/>
        <v>0</v>
      </c>
      <c r="AH10" s="41">
        <f t="shared" si="10"/>
        <v>0</v>
      </c>
      <c r="AI10" s="41">
        <f t="shared" si="10"/>
        <v>0</v>
      </c>
      <c r="AJ10" s="41">
        <f t="shared" si="10"/>
        <v>18131.519969395566</v>
      </c>
      <c r="AK10" s="41">
        <f t="shared" si="10"/>
        <v>2220253.8593050139</v>
      </c>
      <c r="AL10" s="41">
        <f t="shared" si="10"/>
        <v>907897.2905493807</v>
      </c>
      <c r="AM10" s="41">
        <f t="shared" si="10"/>
        <v>0</v>
      </c>
      <c r="AN10" s="41">
        <f t="shared" si="10"/>
        <v>0</v>
      </c>
      <c r="AO10" s="41">
        <f t="shared" si="10"/>
        <v>0</v>
      </c>
      <c r="AP10" s="41">
        <f t="shared" si="10"/>
        <v>4431.6878306878307</v>
      </c>
      <c r="AQ10" s="41">
        <f t="shared" si="10"/>
        <v>0</v>
      </c>
      <c r="AR10" s="6">
        <f t="shared" si="10"/>
        <v>3150714.3576544779</v>
      </c>
      <c r="AU10" s="92">
        <f t="shared" si="3"/>
        <v>1151.2818001629312</v>
      </c>
      <c r="AV10" s="92">
        <f t="shared" si="4"/>
        <v>1277.4691016594634</v>
      </c>
      <c r="AW10" s="92" t="e">
        <f t="shared" si="5"/>
        <v>#DIV/0!</v>
      </c>
      <c r="AZ10" s="42">
        <f t="shared" si="6"/>
        <v>1928.5060000000001</v>
      </c>
      <c r="BA10" s="42">
        <f t="shared" si="7"/>
        <v>146333845.87</v>
      </c>
    </row>
    <row r="11" spans="1:54">
      <c r="A11" s="9">
        <v>42309</v>
      </c>
      <c r="B11" s="41">
        <f t="shared" si="8"/>
        <v>0</v>
      </c>
      <c r="C11" s="41">
        <f t="shared" si="8"/>
        <v>0</v>
      </c>
      <c r="D11" s="41">
        <f t="shared" si="8"/>
        <v>0</v>
      </c>
      <c r="E11" s="41">
        <f t="shared" si="8"/>
        <v>0</v>
      </c>
      <c r="F11" s="41">
        <f t="shared" si="8"/>
        <v>37.019999999999996</v>
      </c>
      <c r="G11" s="41">
        <f t="shared" si="8"/>
        <v>2047.15</v>
      </c>
      <c r="H11" s="41">
        <f t="shared" si="8"/>
        <v>887.16000000000008</v>
      </c>
      <c r="I11" s="41">
        <f t="shared" si="8"/>
        <v>79.210000000000008</v>
      </c>
      <c r="J11" s="41">
        <f t="shared" si="8"/>
        <v>0</v>
      </c>
      <c r="K11" s="41">
        <f t="shared" si="8"/>
        <v>11.4</v>
      </c>
      <c r="L11" s="41">
        <f t="shared" si="8"/>
        <v>55</v>
      </c>
      <c r="M11" s="41">
        <f t="shared" si="8"/>
        <v>19.34</v>
      </c>
      <c r="N11" s="6">
        <f t="shared" si="8"/>
        <v>3136.2799999999997</v>
      </c>
      <c r="O11" s="40"/>
      <c r="P11" s="9">
        <v>42309</v>
      </c>
      <c r="Q11" s="41">
        <f t="shared" si="9"/>
        <v>0</v>
      </c>
      <c r="R11" s="41">
        <f t="shared" si="9"/>
        <v>0</v>
      </c>
      <c r="S11" s="41">
        <f t="shared" si="9"/>
        <v>0</v>
      </c>
      <c r="T11" s="41">
        <f t="shared" si="9"/>
        <v>0</v>
      </c>
      <c r="U11" s="41">
        <f t="shared" si="9"/>
        <v>3124540.96</v>
      </c>
      <c r="V11" s="41">
        <f t="shared" si="9"/>
        <v>141720580.84999999</v>
      </c>
      <c r="W11" s="41">
        <f t="shared" si="9"/>
        <v>69570630.480000004</v>
      </c>
      <c r="X11" s="41">
        <f t="shared" si="9"/>
        <v>5608770.1099999994</v>
      </c>
      <c r="Y11" s="41">
        <f t="shared" si="9"/>
        <v>0</v>
      </c>
      <c r="Z11" s="41">
        <f t="shared" si="9"/>
        <v>1063306.3899999999</v>
      </c>
      <c r="AA11" s="41">
        <f t="shared" si="9"/>
        <v>4419244.1999999993</v>
      </c>
      <c r="AB11" s="41">
        <f t="shared" si="9"/>
        <v>1605807.1300000001</v>
      </c>
      <c r="AC11" s="6">
        <f t="shared" si="9"/>
        <v>227112880.12</v>
      </c>
      <c r="AD11" s="40"/>
      <c r="AE11" s="9">
        <v>42309</v>
      </c>
      <c r="AF11" s="41">
        <f t="shared" si="10"/>
        <v>0</v>
      </c>
      <c r="AG11" s="41">
        <f t="shared" si="10"/>
        <v>0</v>
      </c>
      <c r="AH11" s="41">
        <f t="shared" si="10"/>
        <v>0</v>
      </c>
      <c r="AI11" s="41">
        <f t="shared" si="10"/>
        <v>0</v>
      </c>
      <c r="AJ11" s="41">
        <f t="shared" si="10"/>
        <v>47324.362357459373</v>
      </c>
      <c r="AK11" s="41">
        <f t="shared" si="10"/>
        <v>2137661.1524872161</v>
      </c>
      <c r="AL11" s="41">
        <f t="shared" si="10"/>
        <v>1049941.9374154643</v>
      </c>
      <c r="AM11" s="41">
        <f t="shared" si="10"/>
        <v>84089.506896551728</v>
      </c>
      <c r="AN11" s="41">
        <f t="shared" si="10"/>
        <v>0</v>
      </c>
      <c r="AO11" s="41">
        <f t="shared" si="10"/>
        <v>16062.030060422958</v>
      </c>
      <c r="AP11" s="41">
        <f t="shared" si="10"/>
        <v>66410.357703701011</v>
      </c>
      <c r="AQ11" s="41">
        <f t="shared" si="10"/>
        <v>24086.498066148193</v>
      </c>
      <c r="AR11" s="6">
        <f t="shared" si="10"/>
        <v>3425575.844986964</v>
      </c>
      <c r="AU11" s="92">
        <f t="shared" si="3"/>
        <v>1044.2132489007722</v>
      </c>
      <c r="AV11" s="92">
        <f t="shared" si="4"/>
        <v>1183.4865609534518</v>
      </c>
      <c r="AW11" s="92">
        <f t="shared" si="5"/>
        <v>1061.6021575123307</v>
      </c>
      <c r="AZ11" s="42">
        <f t="shared" si="6"/>
        <v>2047.15</v>
      </c>
      <c r="BA11" s="42">
        <f t="shared" si="7"/>
        <v>141720580.84999999</v>
      </c>
    </row>
    <row r="12" spans="1:54">
      <c r="A12" s="9">
        <v>42339</v>
      </c>
      <c r="B12" s="41">
        <f t="shared" si="8"/>
        <v>0</v>
      </c>
      <c r="C12" s="41">
        <f t="shared" si="8"/>
        <v>2.04</v>
      </c>
      <c r="D12" s="41">
        <f t="shared" si="8"/>
        <v>0</v>
      </c>
      <c r="E12" s="41">
        <f t="shared" si="8"/>
        <v>0</v>
      </c>
      <c r="F12" s="41">
        <f t="shared" si="8"/>
        <v>33.229999999999997</v>
      </c>
      <c r="G12" s="41">
        <f t="shared" si="8"/>
        <v>2124</v>
      </c>
      <c r="H12" s="41">
        <f t="shared" si="8"/>
        <v>1065.24</v>
      </c>
      <c r="I12" s="41">
        <f t="shared" si="8"/>
        <v>155.87</v>
      </c>
      <c r="J12" s="41">
        <f t="shared" si="8"/>
        <v>0</v>
      </c>
      <c r="K12" s="41">
        <f t="shared" si="8"/>
        <v>2</v>
      </c>
      <c r="L12" s="41">
        <f t="shared" si="8"/>
        <v>15</v>
      </c>
      <c r="M12" s="41">
        <f t="shared" si="8"/>
        <v>18.36</v>
      </c>
      <c r="N12" s="6">
        <f t="shared" si="8"/>
        <v>3415.74</v>
      </c>
      <c r="O12" s="42">
        <f>N10+N11+N12</f>
        <v>9207.2260000000006</v>
      </c>
      <c r="P12" s="9">
        <v>42339</v>
      </c>
      <c r="Q12" s="41">
        <f t="shared" si="9"/>
        <v>0</v>
      </c>
      <c r="R12" s="41">
        <f t="shared" si="9"/>
        <v>465221.84</v>
      </c>
      <c r="S12" s="41">
        <f t="shared" si="9"/>
        <v>0</v>
      </c>
      <c r="T12" s="41">
        <f t="shared" si="9"/>
        <v>0</v>
      </c>
      <c r="U12" s="41">
        <f t="shared" si="9"/>
        <v>2868943.58</v>
      </c>
      <c r="V12" s="41">
        <f t="shared" si="9"/>
        <v>164260048.31999999</v>
      </c>
      <c r="W12" s="41">
        <f t="shared" si="9"/>
        <v>86583874.349999994</v>
      </c>
      <c r="X12" s="41">
        <f t="shared" si="9"/>
        <v>12894900.800000001</v>
      </c>
      <c r="Y12" s="41">
        <f t="shared" si="9"/>
        <v>0</v>
      </c>
      <c r="Z12" s="41">
        <f t="shared" si="9"/>
        <v>173202.38</v>
      </c>
      <c r="AA12" s="41">
        <f t="shared" si="9"/>
        <v>1273546.8799999999</v>
      </c>
      <c r="AB12" s="41">
        <f t="shared" si="9"/>
        <v>1589997.8</v>
      </c>
      <c r="AC12" s="6">
        <f t="shared" si="9"/>
        <v>270109735.94999999</v>
      </c>
      <c r="AD12" s="40"/>
      <c r="AE12" s="9">
        <v>42339</v>
      </c>
      <c r="AF12" s="41">
        <f t="shared" si="10"/>
        <v>0</v>
      </c>
      <c r="AG12" s="41">
        <f t="shared" si="10"/>
        <v>6922.9440476190475</v>
      </c>
      <c r="AH12" s="41">
        <f t="shared" si="10"/>
        <v>0</v>
      </c>
      <c r="AI12" s="41">
        <f t="shared" si="10"/>
        <v>0</v>
      </c>
      <c r="AJ12" s="41">
        <f t="shared" si="10"/>
        <v>42692.612797619047</v>
      </c>
      <c r="AK12" s="41">
        <f t="shared" si="10"/>
        <v>2446605.0440810416</v>
      </c>
      <c r="AL12" s="41">
        <f t="shared" si="10"/>
        <v>1287813.9225153788</v>
      </c>
      <c r="AM12" s="41">
        <f t="shared" si="10"/>
        <v>191818.79747731899</v>
      </c>
      <c r="AN12" s="41">
        <f t="shared" si="10"/>
        <v>0</v>
      </c>
      <c r="AO12" s="41">
        <f t="shared" si="10"/>
        <v>2575.5000743494425</v>
      </c>
      <c r="AP12" s="41">
        <f t="shared" si="10"/>
        <v>18937.500074349442</v>
      </c>
      <c r="AQ12" s="41">
        <f t="shared" si="10"/>
        <v>23660.68154761905</v>
      </c>
      <c r="AR12" s="6">
        <f t="shared" si="10"/>
        <v>4021027.0026152954</v>
      </c>
      <c r="AU12" s="92">
        <f t="shared" si="3"/>
        <v>1151.8856139741251</v>
      </c>
      <c r="AV12" s="92">
        <f t="shared" si="4"/>
        <v>1208.942512969264</v>
      </c>
      <c r="AW12" s="92">
        <f t="shared" si="5"/>
        <v>1230.6332038064988</v>
      </c>
      <c r="AZ12" s="42">
        <f t="shared" si="6"/>
        <v>2124</v>
      </c>
      <c r="BA12" s="42">
        <f t="shared" si="7"/>
        <v>164260048.31999999</v>
      </c>
    </row>
    <row r="13" spans="1:54">
      <c r="A13" s="9">
        <v>42370</v>
      </c>
      <c r="B13" s="41">
        <f t="shared" si="8"/>
        <v>0</v>
      </c>
      <c r="C13" s="41">
        <f t="shared" si="8"/>
        <v>0</v>
      </c>
      <c r="D13" s="41">
        <f t="shared" si="8"/>
        <v>0</v>
      </c>
      <c r="E13" s="41">
        <f t="shared" si="8"/>
        <v>0</v>
      </c>
      <c r="F13" s="41">
        <f t="shared" si="8"/>
        <v>46.809999999999995</v>
      </c>
      <c r="G13" s="41">
        <f t="shared" si="8"/>
        <v>1435.94</v>
      </c>
      <c r="H13" s="41">
        <f t="shared" si="8"/>
        <v>1147.6300000000001</v>
      </c>
      <c r="I13" s="41">
        <f t="shared" si="8"/>
        <v>175.19000000000003</v>
      </c>
      <c r="J13" s="41">
        <f t="shared" si="8"/>
        <v>1.6</v>
      </c>
      <c r="K13" s="41">
        <f t="shared" si="8"/>
        <v>0</v>
      </c>
      <c r="L13" s="41">
        <f t="shared" si="8"/>
        <v>21</v>
      </c>
      <c r="M13" s="41">
        <f t="shared" si="8"/>
        <v>33.450000000000003</v>
      </c>
      <c r="N13" s="6">
        <f t="shared" si="8"/>
        <v>2861.6199999999994</v>
      </c>
      <c r="O13" s="40"/>
      <c r="P13" s="9">
        <v>42370</v>
      </c>
      <c r="Q13" s="41">
        <f t="shared" si="9"/>
        <v>0</v>
      </c>
      <c r="R13" s="41">
        <f t="shared" si="9"/>
        <v>0</v>
      </c>
      <c r="S13" s="41">
        <f t="shared" si="9"/>
        <v>0</v>
      </c>
      <c r="T13" s="41">
        <f t="shared" si="9"/>
        <v>0</v>
      </c>
      <c r="U13" s="41">
        <f t="shared" si="9"/>
        <v>3934308.21</v>
      </c>
      <c r="V13" s="41">
        <f t="shared" si="9"/>
        <v>108197611.03000002</v>
      </c>
      <c r="W13" s="41">
        <f t="shared" si="9"/>
        <v>93973304.719999999</v>
      </c>
      <c r="X13" s="41">
        <f t="shared" si="9"/>
        <v>14691611.729999999</v>
      </c>
      <c r="Y13" s="41">
        <f t="shared" si="9"/>
        <v>311594.09000000003</v>
      </c>
      <c r="Z13" s="41">
        <f t="shared" si="9"/>
        <v>0</v>
      </c>
      <c r="AA13" s="41">
        <f t="shared" si="9"/>
        <v>1811771.08</v>
      </c>
      <c r="AB13" s="41">
        <f t="shared" si="9"/>
        <v>2920107.96</v>
      </c>
      <c r="AC13" s="6">
        <f t="shared" si="9"/>
        <v>225840308.82000002</v>
      </c>
      <c r="AD13" s="40"/>
      <c r="AE13" s="9">
        <v>42370</v>
      </c>
      <c r="AF13" s="41">
        <f t="shared" si="10"/>
        <v>0</v>
      </c>
      <c r="AG13" s="41">
        <f t="shared" si="10"/>
        <v>0</v>
      </c>
      <c r="AH13" s="41">
        <f t="shared" si="10"/>
        <v>0</v>
      </c>
      <c r="AI13" s="41">
        <f t="shared" si="10"/>
        <v>0</v>
      </c>
      <c r="AJ13" s="41">
        <f t="shared" si="10"/>
        <v>57674.559560359223</v>
      </c>
      <c r="AK13" s="41">
        <f t="shared" si="10"/>
        <v>1601111.1271825028</v>
      </c>
      <c r="AL13" s="41">
        <f t="shared" si="10"/>
        <v>1384211.5606777729</v>
      </c>
      <c r="AM13" s="41">
        <f t="shared" si="10"/>
        <v>218179.97411243778</v>
      </c>
      <c r="AN13" s="41">
        <f t="shared" si="10"/>
        <v>4555.4691520467841</v>
      </c>
      <c r="AO13" s="41">
        <f t="shared" si="10"/>
        <v>0</v>
      </c>
      <c r="AP13" s="41">
        <f t="shared" si="10"/>
        <v>26860.950037064493</v>
      </c>
      <c r="AQ13" s="41">
        <f t="shared" si="10"/>
        <v>43292.927501853221</v>
      </c>
      <c r="AR13" s="6">
        <f t="shared" si="10"/>
        <v>3335886.5682240371</v>
      </c>
      <c r="AU13" s="92">
        <f t="shared" si="3"/>
        <v>1115.0264824313708</v>
      </c>
      <c r="AV13" s="92">
        <f t="shared" si="4"/>
        <v>1206.1479402575505</v>
      </c>
      <c r="AW13" s="92">
        <f t="shared" si="5"/>
        <v>1245.3905708798318</v>
      </c>
      <c r="AZ13" s="42">
        <f t="shared" si="6"/>
        <v>1435.94</v>
      </c>
      <c r="BA13" s="42">
        <f t="shared" si="7"/>
        <v>108197611.03000002</v>
      </c>
    </row>
    <row r="14" spans="1:54">
      <c r="A14" s="9">
        <v>42401</v>
      </c>
      <c r="B14" s="41">
        <f t="shared" si="8"/>
        <v>0</v>
      </c>
      <c r="C14" s="41">
        <f t="shared" si="8"/>
        <v>0</v>
      </c>
      <c r="D14" s="41">
        <f t="shared" si="8"/>
        <v>0</v>
      </c>
      <c r="E14" s="41">
        <f t="shared" si="8"/>
        <v>0</v>
      </c>
      <c r="F14" s="41">
        <f t="shared" si="8"/>
        <v>72.61</v>
      </c>
      <c r="G14" s="41">
        <f t="shared" si="8"/>
        <v>1752.8000000000002</v>
      </c>
      <c r="H14" s="41">
        <f t="shared" si="8"/>
        <v>945.7700000000001</v>
      </c>
      <c r="I14" s="41">
        <f t="shared" si="8"/>
        <v>98.25</v>
      </c>
      <c r="J14" s="41">
        <f t="shared" si="8"/>
        <v>0</v>
      </c>
      <c r="K14" s="41">
        <f t="shared" si="8"/>
        <v>0.91649999999999998</v>
      </c>
      <c r="L14" s="41">
        <f t="shared" si="8"/>
        <v>29.4</v>
      </c>
      <c r="M14" s="41">
        <f t="shared" si="8"/>
        <v>36.33</v>
      </c>
      <c r="N14" s="6">
        <f t="shared" si="8"/>
        <v>2936.0765000000001</v>
      </c>
      <c r="O14" s="40"/>
      <c r="P14" s="9">
        <v>42401</v>
      </c>
      <c r="Q14" s="41">
        <f t="shared" si="9"/>
        <v>0</v>
      </c>
      <c r="R14" s="41">
        <f t="shared" si="9"/>
        <v>0</v>
      </c>
      <c r="S14" s="41">
        <f t="shared" si="9"/>
        <v>0</v>
      </c>
      <c r="T14" s="41">
        <f t="shared" si="9"/>
        <v>0</v>
      </c>
      <c r="U14" s="41">
        <f t="shared" si="9"/>
        <v>6324975.5599999996</v>
      </c>
      <c r="V14" s="41">
        <f t="shared" si="9"/>
        <v>132588389.13000003</v>
      </c>
      <c r="W14" s="41">
        <f t="shared" si="9"/>
        <v>80721872.909999996</v>
      </c>
      <c r="X14" s="41">
        <f t="shared" si="9"/>
        <v>8119153.5000000009</v>
      </c>
      <c r="Y14" s="41">
        <f t="shared" si="9"/>
        <v>0</v>
      </c>
      <c r="Z14" s="41">
        <f t="shared" si="9"/>
        <v>493425.72</v>
      </c>
      <c r="AA14" s="41">
        <f t="shared" si="9"/>
        <v>2785498.67</v>
      </c>
      <c r="AB14" s="41">
        <f t="shared" si="9"/>
        <v>2597052.7000000002</v>
      </c>
      <c r="AC14" s="6">
        <f t="shared" si="9"/>
        <v>233630368.19000003</v>
      </c>
      <c r="AD14" s="40"/>
      <c r="AE14" s="9">
        <v>42401</v>
      </c>
      <c r="AF14" s="41">
        <f t="shared" si="10"/>
        <v>0</v>
      </c>
      <c r="AG14" s="41">
        <f t="shared" si="10"/>
        <v>0</v>
      </c>
      <c r="AH14" s="41">
        <f t="shared" si="10"/>
        <v>0</v>
      </c>
      <c r="AI14" s="41">
        <f t="shared" si="10"/>
        <v>0</v>
      </c>
      <c r="AJ14" s="41">
        <f t="shared" si="10"/>
        <v>92255.363039138145</v>
      </c>
      <c r="AK14" s="41">
        <f t="shared" si="10"/>
        <v>1932310.2564968492</v>
      </c>
      <c r="AL14" s="41">
        <f t="shared" si="10"/>
        <v>1175976.4175435686</v>
      </c>
      <c r="AM14" s="41">
        <f t="shared" si="10"/>
        <v>118629.93528411057</v>
      </c>
      <c r="AN14" s="41">
        <f t="shared" si="10"/>
        <v>0</v>
      </c>
      <c r="AO14" s="41">
        <f t="shared" si="10"/>
        <v>7208.5569028487944</v>
      </c>
      <c r="AP14" s="41">
        <f t="shared" si="10"/>
        <v>40693.917750182613</v>
      </c>
      <c r="AQ14" s="41">
        <f t="shared" si="10"/>
        <v>37665.738941261785</v>
      </c>
      <c r="AR14" s="6">
        <f t="shared" si="10"/>
        <v>3404740.1859579599</v>
      </c>
      <c r="AU14" s="92">
        <f t="shared" si="3"/>
        <v>1102.4134279420637</v>
      </c>
      <c r="AV14" s="92">
        <f t="shared" si="4"/>
        <v>1243.4063435545306</v>
      </c>
      <c r="AW14" s="92">
        <f t="shared" si="5"/>
        <v>1207.4293667593952</v>
      </c>
      <c r="AZ14" s="42">
        <f t="shared" si="6"/>
        <v>1752.8000000000002</v>
      </c>
      <c r="BA14" s="42">
        <f t="shared" si="7"/>
        <v>132588389.13000003</v>
      </c>
    </row>
    <row r="15" spans="1:54">
      <c r="A15" s="9">
        <v>42430</v>
      </c>
      <c r="B15" s="41">
        <f t="shared" si="8"/>
        <v>0</v>
      </c>
      <c r="C15" s="41">
        <f t="shared" si="8"/>
        <v>0</v>
      </c>
      <c r="D15" s="41">
        <f t="shared" si="8"/>
        <v>0</v>
      </c>
      <c r="E15" s="41">
        <f t="shared" si="8"/>
        <v>0</v>
      </c>
      <c r="F15" s="41">
        <f t="shared" si="8"/>
        <v>99.03</v>
      </c>
      <c r="G15" s="41">
        <f t="shared" si="8"/>
        <v>1337.79</v>
      </c>
      <c r="H15" s="41">
        <f t="shared" si="8"/>
        <v>1408.25</v>
      </c>
      <c r="I15" s="41">
        <f t="shared" si="8"/>
        <v>157.86000000000001</v>
      </c>
      <c r="J15" s="41">
        <f t="shared" si="8"/>
        <v>0</v>
      </c>
      <c r="K15" s="41">
        <f t="shared" si="8"/>
        <v>12</v>
      </c>
      <c r="L15" s="41">
        <f t="shared" si="8"/>
        <v>28.8</v>
      </c>
      <c r="M15" s="41">
        <f t="shared" si="8"/>
        <v>191.54000000000002</v>
      </c>
      <c r="N15" s="6">
        <f t="shared" si="8"/>
        <v>3235.2700000000004</v>
      </c>
      <c r="O15" s="42">
        <f>N13+N14+N15</f>
        <v>9032.9665000000005</v>
      </c>
      <c r="P15" s="9">
        <v>42430</v>
      </c>
      <c r="Q15" s="41">
        <f t="shared" si="9"/>
        <v>0</v>
      </c>
      <c r="R15" s="41">
        <f t="shared" si="9"/>
        <v>0</v>
      </c>
      <c r="S15" s="41">
        <f t="shared" si="9"/>
        <v>0</v>
      </c>
      <c r="T15" s="41">
        <f t="shared" si="9"/>
        <v>0</v>
      </c>
      <c r="U15" s="41">
        <f t="shared" si="9"/>
        <v>8270867.9799999995</v>
      </c>
      <c r="V15" s="41">
        <f t="shared" si="9"/>
        <v>105053652</v>
      </c>
      <c r="W15" s="41">
        <f t="shared" si="9"/>
        <v>126383822.54000001</v>
      </c>
      <c r="X15" s="41">
        <f t="shared" si="9"/>
        <v>14465985.110000001</v>
      </c>
      <c r="Y15" s="41">
        <f t="shared" si="9"/>
        <v>0</v>
      </c>
      <c r="Z15" s="41">
        <f t="shared" si="9"/>
        <v>1062742.2</v>
      </c>
      <c r="AA15" s="41">
        <f t="shared" si="9"/>
        <v>2056172.1400000001</v>
      </c>
      <c r="AB15" s="41">
        <f t="shared" si="9"/>
        <v>14405647.35</v>
      </c>
      <c r="AC15" s="6">
        <f t="shared" si="9"/>
        <v>271698889.31999999</v>
      </c>
      <c r="AD15" s="40"/>
      <c r="AE15" s="9">
        <v>42430</v>
      </c>
      <c r="AF15" s="41">
        <f t="shared" si="10"/>
        <v>0</v>
      </c>
      <c r="AG15" s="41">
        <f t="shared" si="10"/>
        <v>0</v>
      </c>
      <c r="AH15" s="41">
        <f t="shared" si="10"/>
        <v>0</v>
      </c>
      <c r="AI15" s="41">
        <f t="shared" si="10"/>
        <v>0</v>
      </c>
      <c r="AJ15" s="41">
        <f t="shared" si="10"/>
        <v>122033.86136124798</v>
      </c>
      <c r="AK15" s="41">
        <f t="shared" si="10"/>
        <v>1548445.2005305579</v>
      </c>
      <c r="AL15" s="41">
        <f t="shared" si="10"/>
        <v>1864735.8139268737</v>
      </c>
      <c r="AM15" s="41">
        <f t="shared" si="10"/>
        <v>213632.5038467492</v>
      </c>
      <c r="AN15" s="41">
        <f t="shared" si="10"/>
        <v>0</v>
      </c>
      <c r="AO15" s="41">
        <f t="shared" si="10"/>
        <v>15755.999999999998</v>
      </c>
      <c r="AP15" s="41">
        <f t="shared" si="10"/>
        <v>30355.460882352942</v>
      </c>
      <c r="AQ15" s="41">
        <f t="shared" si="10"/>
        <v>212942.2448404046</v>
      </c>
      <c r="AR15" s="6">
        <f t="shared" si="10"/>
        <v>4007901.0853881873</v>
      </c>
      <c r="AU15" s="92">
        <f t="shared" si="3"/>
        <v>1157.4650733901119</v>
      </c>
      <c r="AV15" s="92">
        <f t="shared" si="4"/>
        <v>1324.151119422598</v>
      </c>
      <c r="AW15" s="92">
        <f t="shared" si="5"/>
        <v>1353.3035844846647</v>
      </c>
      <c r="AZ15" s="42">
        <f t="shared" si="6"/>
        <v>1337.79</v>
      </c>
      <c r="BA15" s="42">
        <f t="shared" si="7"/>
        <v>105053652</v>
      </c>
    </row>
    <row r="16" spans="1:54">
      <c r="A16" s="128" t="s">
        <v>4</v>
      </c>
      <c r="B16" s="91">
        <f t="shared" si="8"/>
        <v>0</v>
      </c>
      <c r="C16" s="91">
        <f t="shared" si="8"/>
        <v>2.04</v>
      </c>
      <c r="D16" s="91">
        <f t="shared" si="8"/>
        <v>20.399999999999999</v>
      </c>
      <c r="E16" s="91">
        <f t="shared" si="8"/>
        <v>0</v>
      </c>
      <c r="F16" s="91">
        <f t="shared" si="8"/>
        <v>743.0200000000001</v>
      </c>
      <c r="G16" s="91">
        <f t="shared" si="8"/>
        <v>31255.074000000004</v>
      </c>
      <c r="H16" s="91">
        <f t="shared" si="8"/>
        <v>11870.04</v>
      </c>
      <c r="I16" s="91">
        <f t="shared" si="8"/>
        <v>1864.6099999999997</v>
      </c>
      <c r="J16" s="91">
        <f t="shared" si="8"/>
        <v>1.6</v>
      </c>
      <c r="K16" s="91">
        <f t="shared" si="8"/>
        <v>94.716499999999982</v>
      </c>
      <c r="L16" s="91">
        <f t="shared" si="8"/>
        <v>221.67999999999998</v>
      </c>
      <c r="M16" s="91">
        <f t="shared" si="8"/>
        <v>315.92</v>
      </c>
      <c r="N16" s="127">
        <f t="shared" si="8"/>
        <v>46389.100500000008</v>
      </c>
      <c r="O16" s="40"/>
      <c r="P16" s="128" t="s">
        <v>4</v>
      </c>
      <c r="Q16" s="91">
        <f t="shared" si="9"/>
        <v>0</v>
      </c>
      <c r="R16" s="91">
        <f t="shared" si="9"/>
        <v>465221.84</v>
      </c>
      <c r="S16" s="91">
        <f t="shared" si="9"/>
        <v>4596803.91</v>
      </c>
      <c r="T16" s="91">
        <f t="shared" si="9"/>
        <v>0</v>
      </c>
      <c r="U16" s="91">
        <f t="shared" si="9"/>
        <v>67023863.93</v>
      </c>
      <c r="V16" s="91">
        <f t="shared" si="9"/>
        <v>2606040500.0900002</v>
      </c>
      <c r="W16" s="91">
        <f t="shared" si="9"/>
        <v>1055081312.9400002</v>
      </c>
      <c r="X16" s="91">
        <f t="shared" si="9"/>
        <v>164490900.17000002</v>
      </c>
      <c r="Y16" s="91">
        <f t="shared" si="9"/>
        <v>311594.09000000003</v>
      </c>
      <c r="Z16" s="91">
        <f t="shared" si="9"/>
        <v>10056502.380000001</v>
      </c>
      <c r="AA16" s="91">
        <f t="shared" si="9"/>
        <v>19353362.699999999</v>
      </c>
      <c r="AB16" s="91">
        <f t="shared" si="9"/>
        <v>24785134.440000001</v>
      </c>
      <c r="AC16" s="127">
        <f t="shared" si="9"/>
        <v>3952205196.4900012</v>
      </c>
      <c r="AD16" s="40"/>
      <c r="AE16" s="128" t="s">
        <v>4</v>
      </c>
      <c r="AF16" s="91">
        <f t="shared" si="10"/>
        <v>0</v>
      </c>
      <c r="AG16" s="91">
        <f t="shared" si="10"/>
        <v>6922.9440476190475</v>
      </c>
      <c r="AH16" s="91">
        <f t="shared" si="10"/>
        <v>70432.514930015546</v>
      </c>
      <c r="AI16" s="91">
        <f t="shared" si="10"/>
        <v>0</v>
      </c>
      <c r="AJ16" s="91">
        <f t="shared" si="10"/>
        <v>1021128.2623845321</v>
      </c>
      <c r="AK16" s="91">
        <f t="shared" si="10"/>
        <v>40031753.353096701</v>
      </c>
      <c r="AL16" s="91">
        <f t="shared" si="10"/>
        <v>16013406.624735011</v>
      </c>
      <c r="AM16" s="91">
        <f t="shared" si="10"/>
        <v>2500913.1262544286</v>
      </c>
      <c r="AN16" s="91">
        <f t="shared" si="10"/>
        <v>4555.4691520467841</v>
      </c>
      <c r="AO16" s="91">
        <f t="shared" si="10"/>
        <v>152569.88711871693</v>
      </c>
      <c r="AP16" s="91">
        <f t="shared" si="10"/>
        <v>290058.44895598514</v>
      </c>
      <c r="AQ16" s="91">
        <f t="shared" si="10"/>
        <v>366563.46521732048</v>
      </c>
      <c r="AR16" s="127">
        <f t="shared" si="10"/>
        <v>60458304.095892377</v>
      </c>
      <c r="AU16" s="40"/>
      <c r="AV16" s="40"/>
      <c r="AW16" s="40"/>
      <c r="AZ16" s="42">
        <f>SUM(AZ4:AZ15)</f>
        <v>31255.074000000001</v>
      </c>
      <c r="BA16" s="42">
        <f>SUM(BA4:BA15)</f>
        <v>2606040500.0900006</v>
      </c>
      <c r="BB16" s="133">
        <f>+BA16/AZ16</f>
        <v>83379.757798365812</v>
      </c>
    </row>
    <row r="17" spans="1:54">
      <c r="A17" s="40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0"/>
      <c r="P17" s="40"/>
      <c r="Q17" s="41">
        <f>Q16/10^5</f>
        <v>0</v>
      </c>
      <c r="R17" s="41">
        <f t="shared" ref="R17:AC17" si="11">R16/10^5</f>
        <v>4.6522184000000006</v>
      </c>
      <c r="S17" s="41">
        <f t="shared" si="11"/>
        <v>45.968039099999999</v>
      </c>
      <c r="T17" s="41">
        <f t="shared" si="11"/>
        <v>0</v>
      </c>
      <c r="U17" s="41">
        <f t="shared" si="11"/>
        <v>670.23863930000005</v>
      </c>
      <c r="V17" s="41">
        <f t="shared" si="11"/>
        <v>26060.405000900002</v>
      </c>
      <c r="W17" s="41">
        <f t="shared" si="11"/>
        <v>10550.813129400001</v>
      </c>
      <c r="X17" s="41">
        <f t="shared" si="11"/>
        <v>1644.9090017000001</v>
      </c>
      <c r="Y17" s="41">
        <f t="shared" si="11"/>
        <v>3.1159409000000005</v>
      </c>
      <c r="Z17" s="41">
        <f t="shared" si="11"/>
        <v>100.56502380000001</v>
      </c>
      <c r="AA17" s="41">
        <f t="shared" si="11"/>
        <v>193.533627</v>
      </c>
      <c r="AB17" s="41">
        <f t="shared" si="11"/>
        <v>247.85134440000002</v>
      </c>
      <c r="AC17" s="41">
        <f t="shared" si="11"/>
        <v>39522.051964900013</v>
      </c>
      <c r="AD17" s="40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U17" s="40"/>
      <c r="AV17" s="40"/>
      <c r="AW17" s="40"/>
      <c r="AZ17" s="42">
        <f>SUM(AZ4:AZ9)</f>
        <v>20628.887999999999</v>
      </c>
      <c r="BA17" s="42">
        <f>SUM(BA4:BA9)</f>
        <v>1807886372.8900001</v>
      </c>
      <c r="BB17" s="133">
        <f t="shared" ref="BB17:BB18" si="12">+BA17/AZ17</f>
        <v>87638.576199066098</v>
      </c>
    </row>
    <row r="18" spans="1:54">
      <c r="A18" s="40"/>
      <c r="D18" s="41"/>
      <c r="E18" s="41"/>
      <c r="F18" s="41"/>
      <c r="G18" s="34"/>
      <c r="H18" s="41"/>
      <c r="I18" s="41"/>
      <c r="J18" s="41"/>
      <c r="K18" s="41"/>
      <c r="L18" s="41"/>
      <c r="M18" s="41"/>
      <c r="N18" s="41"/>
      <c r="O18" s="40"/>
      <c r="P18" s="40"/>
      <c r="S18" s="41"/>
      <c r="T18" s="41"/>
      <c r="U18" s="41"/>
      <c r="V18" s="34"/>
      <c r="W18" s="41"/>
      <c r="X18" s="41"/>
      <c r="Y18" s="41"/>
      <c r="Z18" s="41"/>
      <c r="AA18" s="41"/>
      <c r="AB18" s="41"/>
      <c r="AC18" s="41"/>
      <c r="AD18" s="40"/>
      <c r="AH18" s="41"/>
      <c r="AI18" s="41"/>
      <c r="AJ18" s="41"/>
      <c r="AK18" s="34"/>
      <c r="AL18" s="41"/>
      <c r="AM18" s="41"/>
      <c r="AN18" s="41"/>
      <c r="AO18" s="41"/>
      <c r="AP18" s="41"/>
      <c r="AQ18" s="41"/>
      <c r="AR18" s="41"/>
      <c r="AU18" s="40"/>
      <c r="AV18" s="40"/>
      <c r="AW18" s="40"/>
      <c r="AZ18" s="42">
        <f>SUM(AZ10:AZ15)</f>
        <v>10626.186000000002</v>
      </c>
      <c r="BA18" s="42">
        <f>SUM(BA10:BA15)</f>
        <v>798154127.20000005</v>
      </c>
      <c r="BB18" s="133">
        <f t="shared" si="12"/>
        <v>75112.00417534569</v>
      </c>
    </row>
    <row r="19" spans="1:54">
      <c r="A19" s="25" t="s">
        <v>1</v>
      </c>
      <c r="B19" s="161" t="s">
        <v>133</v>
      </c>
      <c r="C19" s="161" t="s">
        <v>19</v>
      </c>
      <c r="D19" s="161" t="s">
        <v>17</v>
      </c>
      <c r="E19" s="161" t="s">
        <v>134</v>
      </c>
      <c r="F19" s="161" t="s">
        <v>10</v>
      </c>
      <c r="G19" s="161" t="s">
        <v>11</v>
      </c>
      <c r="H19" s="161" t="s">
        <v>12</v>
      </c>
      <c r="I19" s="161" t="s">
        <v>13</v>
      </c>
      <c r="J19" s="161" t="s">
        <v>14</v>
      </c>
      <c r="K19" s="161" t="s">
        <v>18</v>
      </c>
      <c r="L19" s="161" t="s">
        <v>15</v>
      </c>
      <c r="M19" s="161" t="s">
        <v>16</v>
      </c>
      <c r="N19" s="27" t="s">
        <v>20</v>
      </c>
      <c r="O19" s="40"/>
      <c r="P19" s="25" t="s">
        <v>1</v>
      </c>
      <c r="Q19" s="161" t="s">
        <v>133</v>
      </c>
      <c r="R19" s="161" t="s">
        <v>19</v>
      </c>
      <c r="S19" s="161" t="s">
        <v>17</v>
      </c>
      <c r="T19" s="161" t="s">
        <v>134</v>
      </c>
      <c r="U19" s="161" t="s">
        <v>10</v>
      </c>
      <c r="V19" s="161" t="s">
        <v>11</v>
      </c>
      <c r="W19" s="161" t="s">
        <v>12</v>
      </c>
      <c r="X19" s="161" t="s">
        <v>13</v>
      </c>
      <c r="Y19" s="161" t="s">
        <v>14</v>
      </c>
      <c r="Z19" s="161" t="s">
        <v>18</v>
      </c>
      <c r="AA19" s="161" t="s">
        <v>15</v>
      </c>
      <c r="AB19" s="161" t="s">
        <v>16</v>
      </c>
      <c r="AC19" s="27" t="s">
        <v>20</v>
      </c>
      <c r="AD19" s="40"/>
      <c r="AE19" s="25" t="s">
        <v>1</v>
      </c>
      <c r="AF19" s="161" t="s">
        <v>133</v>
      </c>
      <c r="AG19" s="161" t="s">
        <v>19</v>
      </c>
      <c r="AH19" s="161" t="s">
        <v>17</v>
      </c>
      <c r="AI19" s="161" t="s">
        <v>134</v>
      </c>
      <c r="AJ19" s="161" t="s">
        <v>10</v>
      </c>
      <c r="AK19" s="161" t="s">
        <v>11</v>
      </c>
      <c r="AL19" s="161" t="s">
        <v>12</v>
      </c>
      <c r="AM19" s="161" t="s">
        <v>13</v>
      </c>
      <c r="AN19" s="161" t="s">
        <v>14</v>
      </c>
      <c r="AO19" s="161" t="s">
        <v>18</v>
      </c>
      <c r="AP19" s="161" t="s">
        <v>15</v>
      </c>
      <c r="AQ19" s="161" t="s">
        <v>16</v>
      </c>
      <c r="AR19" s="27" t="s">
        <v>20</v>
      </c>
      <c r="AU19" s="40"/>
      <c r="AV19" s="40"/>
      <c r="AW19" s="40"/>
    </row>
    <row r="20" spans="1:54">
      <c r="A20" s="9">
        <v>42095</v>
      </c>
      <c r="B20" s="43"/>
      <c r="C20" s="43"/>
      <c r="D20" s="41"/>
      <c r="E20" s="41"/>
      <c r="F20" s="41">
        <v>3.57</v>
      </c>
      <c r="G20" s="41">
        <v>3282.27</v>
      </c>
      <c r="H20" s="41">
        <v>697.3900000000001</v>
      </c>
      <c r="I20" s="41">
        <v>77.63</v>
      </c>
      <c r="J20" s="41"/>
      <c r="K20" s="41"/>
      <c r="L20" s="41"/>
      <c r="M20" s="41"/>
      <c r="N20" s="6">
        <f>SUM(B20:M20)</f>
        <v>4060.8600000000006</v>
      </c>
      <c r="O20" s="40"/>
      <c r="P20" s="9">
        <v>42095</v>
      </c>
      <c r="Q20" s="43"/>
      <c r="R20" s="43"/>
      <c r="S20" s="41"/>
      <c r="T20" s="41"/>
      <c r="U20" s="41">
        <v>406766.23</v>
      </c>
      <c r="V20" s="41">
        <v>284230325.49000001</v>
      </c>
      <c r="W20" s="41">
        <v>75912459.129999995</v>
      </c>
      <c r="X20" s="41">
        <v>8751021.2300000004</v>
      </c>
      <c r="Y20" s="41"/>
      <c r="Z20" s="41"/>
      <c r="AA20" s="41"/>
      <c r="AB20" s="41"/>
      <c r="AC20" s="6">
        <f>SUM(Q20:AB20)</f>
        <v>369300572.08000004</v>
      </c>
      <c r="AD20" s="40"/>
      <c r="AE20" s="9">
        <v>42095</v>
      </c>
      <c r="AF20" s="43"/>
      <c r="AG20" s="43"/>
      <c r="AH20" s="41"/>
      <c r="AI20" s="41"/>
      <c r="AJ20" s="41">
        <v>6436.1745253164554</v>
      </c>
      <c r="AK20" s="41">
        <v>4509886.0011141039</v>
      </c>
      <c r="AL20" s="41">
        <v>1204127.1294083861</v>
      </c>
      <c r="AM20" s="41">
        <v>138465.52579113923</v>
      </c>
      <c r="AN20" s="41"/>
      <c r="AO20" s="41"/>
      <c r="AP20" s="41"/>
      <c r="AQ20" s="41"/>
      <c r="AR20" s="6">
        <f>SUM(AF20:AQ20)</f>
        <v>5858914.8308389457</v>
      </c>
      <c r="AU20" s="92">
        <f t="shared" ref="AU20:AU31" si="13">+AK20/G20</f>
        <v>1374.0143257910238</v>
      </c>
      <c r="AV20" s="92">
        <f t="shared" ref="AV20:AV31" si="14">+AL20/H20</f>
        <v>1726.6194373426431</v>
      </c>
      <c r="AW20" s="92">
        <f t="shared" ref="AW20:AW31" si="15">+AM20/I20</f>
        <v>1783.659999885859</v>
      </c>
    </row>
    <row r="21" spans="1:54">
      <c r="A21" s="9">
        <v>42125</v>
      </c>
      <c r="B21" s="43"/>
      <c r="C21" s="43"/>
      <c r="D21" s="41"/>
      <c r="E21" s="41"/>
      <c r="F21" s="41">
        <v>40.04</v>
      </c>
      <c r="G21" s="41">
        <v>1894.75</v>
      </c>
      <c r="H21" s="41">
        <v>490.89</v>
      </c>
      <c r="I21" s="41">
        <v>76.889999999999986</v>
      </c>
      <c r="J21" s="41"/>
      <c r="K21" s="41">
        <v>23.4</v>
      </c>
      <c r="L21" s="41"/>
      <c r="M21" s="41">
        <v>0.6</v>
      </c>
      <c r="N21" s="6">
        <f t="shared" ref="N21:N32" si="16">SUM(B21:M21)</f>
        <v>2526.5699999999997</v>
      </c>
      <c r="O21" s="40"/>
      <c r="P21" s="9">
        <v>42125</v>
      </c>
      <c r="Q21" s="43"/>
      <c r="R21" s="43"/>
      <c r="S21" s="41"/>
      <c r="T21" s="41"/>
      <c r="U21" s="41">
        <v>3874473.4</v>
      </c>
      <c r="V21" s="41">
        <v>165587611.28000003</v>
      </c>
      <c r="W21" s="41">
        <v>51909008.609999999</v>
      </c>
      <c r="X21" s="41">
        <v>7745892.8399999999</v>
      </c>
      <c r="Y21" s="41"/>
      <c r="Z21" s="41">
        <v>2379880.5599999996</v>
      </c>
      <c r="AA21" s="41"/>
      <c r="AB21" s="41">
        <v>63770.81</v>
      </c>
      <c r="AC21" s="6">
        <f t="shared" ref="AC21:AC32" si="17">SUM(Q21:AB21)</f>
        <v>231560637.50000003</v>
      </c>
      <c r="AD21" s="40"/>
      <c r="AE21" s="9">
        <v>42125</v>
      </c>
      <c r="AF21" s="43"/>
      <c r="AG21" s="43"/>
      <c r="AH21" s="41"/>
      <c r="AI21" s="41"/>
      <c r="AJ21" s="41">
        <v>60256.195956454125</v>
      </c>
      <c r="AK21" s="41">
        <v>2585748.4001796739</v>
      </c>
      <c r="AL21" s="41">
        <v>809626.96745868737</v>
      </c>
      <c r="AM21" s="41">
        <v>120371.29510489511</v>
      </c>
      <c r="AN21" s="41"/>
      <c r="AO21" s="41">
        <v>36983.380885780884</v>
      </c>
      <c r="AP21" s="41"/>
      <c r="AQ21" s="41">
        <v>990.99937839937843</v>
      </c>
      <c r="AR21" s="6">
        <f t="shared" ref="AR21:AR32" si="18">SUM(AF21:AQ21)</f>
        <v>3613977.2389638908</v>
      </c>
      <c r="AU21" s="92">
        <f t="shared" si="13"/>
        <v>1364.6910675179702</v>
      </c>
      <c r="AV21" s="92">
        <f t="shared" si="14"/>
        <v>1649.3042585073792</v>
      </c>
      <c r="AW21" s="92">
        <f t="shared" si="15"/>
        <v>1565.5000013642232</v>
      </c>
    </row>
    <row r="22" spans="1:54">
      <c r="A22" s="9">
        <v>42156</v>
      </c>
      <c r="B22" s="43"/>
      <c r="C22" s="43"/>
      <c r="D22" s="41"/>
      <c r="E22" s="41"/>
      <c r="F22" s="41"/>
      <c r="G22" s="41">
        <v>3205.1100000000006</v>
      </c>
      <c r="H22" s="41">
        <v>416.16</v>
      </c>
      <c r="I22" s="41">
        <v>79.819999999999993</v>
      </c>
      <c r="J22" s="41"/>
      <c r="K22" s="41">
        <v>3</v>
      </c>
      <c r="L22" s="41"/>
      <c r="M22" s="41"/>
      <c r="N22" s="6">
        <f t="shared" si="16"/>
        <v>3704.0900000000006</v>
      </c>
      <c r="O22" s="40"/>
      <c r="P22" s="9">
        <v>42156</v>
      </c>
      <c r="Q22" s="43"/>
      <c r="R22" s="43"/>
      <c r="S22" s="41"/>
      <c r="T22" s="41"/>
      <c r="U22" s="41"/>
      <c r="V22" s="41">
        <v>278457003.94000006</v>
      </c>
      <c r="W22" s="41">
        <v>41795633.519999996</v>
      </c>
      <c r="X22" s="41">
        <v>7715202.0500000007</v>
      </c>
      <c r="Y22" s="41"/>
      <c r="Z22" s="41">
        <v>308179.18</v>
      </c>
      <c r="AA22" s="41"/>
      <c r="AB22" s="41"/>
      <c r="AC22" s="6">
        <f t="shared" si="17"/>
        <v>328276018.69000006</v>
      </c>
      <c r="AD22" s="40"/>
      <c r="AE22" s="9">
        <v>42156</v>
      </c>
      <c r="AF22" s="43"/>
      <c r="AG22" s="43"/>
      <c r="AH22" s="41"/>
      <c r="AI22" s="41"/>
      <c r="AJ22" s="41"/>
      <c r="AK22" s="41">
        <v>4308240.2829899965</v>
      </c>
      <c r="AL22" s="41">
        <v>647062.96384880703</v>
      </c>
      <c r="AM22" s="41">
        <v>119153.69961389962</v>
      </c>
      <c r="AN22" s="41"/>
      <c r="AO22" s="41">
        <v>4759.5240154440153</v>
      </c>
      <c r="AP22" s="41"/>
      <c r="AQ22" s="41"/>
      <c r="AR22" s="6">
        <f t="shared" si="18"/>
        <v>5079216.4704681477</v>
      </c>
      <c r="AU22" s="92">
        <f t="shared" si="13"/>
        <v>1344.1786032273451</v>
      </c>
      <c r="AV22" s="92">
        <f t="shared" si="14"/>
        <v>1554.841800866991</v>
      </c>
      <c r="AW22" s="92">
        <f t="shared" si="15"/>
        <v>1492.7800001741371</v>
      </c>
    </row>
    <row r="23" spans="1:54">
      <c r="A23" s="9">
        <v>42186</v>
      </c>
      <c r="B23" s="43"/>
      <c r="C23" s="43"/>
      <c r="D23" s="41"/>
      <c r="E23" s="41"/>
      <c r="F23" s="41"/>
      <c r="G23" s="41">
        <v>1221.3400000000001</v>
      </c>
      <c r="H23" s="41">
        <v>508.3</v>
      </c>
      <c r="I23" s="41">
        <v>76.53</v>
      </c>
      <c r="J23" s="41"/>
      <c r="K23" s="41">
        <v>11.7</v>
      </c>
      <c r="L23" s="41">
        <v>15</v>
      </c>
      <c r="M23" s="41">
        <v>0.3</v>
      </c>
      <c r="N23" s="6">
        <f t="shared" si="16"/>
        <v>1833.17</v>
      </c>
      <c r="O23" s="40"/>
      <c r="P23" s="9">
        <v>42186</v>
      </c>
      <c r="Q23" s="43"/>
      <c r="R23" s="43"/>
      <c r="S23" s="41"/>
      <c r="T23" s="41"/>
      <c r="U23" s="41"/>
      <c r="V23" s="41">
        <v>108246405.33999999</v>
      </c>
      <c r="W23" s="41">
        <v>47910929.199999996</v>
      </c>
      <c r="X23" s="41">
        <v>6985481.5</v>
      </c>
      <c r="Y23" s="41"/>
      <c r="Z23" s="41">
        <v>1252749.72</v>
      </c>
      <c r="AA23" s="41">
        <v>1314073.1299999999</v>
      </c>
      <c r="AB23" s="41">
        <v>31635.09</v>
      </c>
      <c r="AC23" s="6">
        <f t="shared" si="17"/>
        <v>165741273.97999999</v>
      </c>
      <c r="AD23" s="40"/>
      <c r="AE23" s="9">
        <v>42186</v>
      </c>
      <c r="AF23" s="43"/>
      <c r="AG23" s="43"/>
      <c r="AH23" s="41"/>
      <c r="AI23" s="41"/>
      <c r="AJ23" s="41"/>
      <c r="AK23" s="41">
        <v>1686808.6890694867</v>
      </c>
      <c r="AL23" s="41">
        <v>746746.36894140358</v>
      </c>
      <c r="AM23" s="41">
        <v>108977.87051482061</v>
      </c>
      <c r="AN23" s="41"/>
      <c r="AO23" s="41">
        <v>19498.050116731516</v>
      </c>
      <c r="AP23" s="41">
        <v>20500.3608424337</v>
      </c>
      <c r="AQ23" s="41">
        <v>492.37494163424122</v>
      </c>
      <c r="AR23" s="6">
        <f t="shared" si="18"/>
        <v>2583023.71442651</v>
      </c>
      <c r="AU23" s="92">
        <f t="shared" si="13"/>
        <v>1381.1131127036588</v>
      </c>
      <c r="AV23" s="92">
        <f t="shared" si="14"/>
        <v>1469.1055851690016</v>
      </c>
      <c r="AW23" s="92">
        <f t="shared" si="15"/>
        <v>1423.9888999715224</v>
      </c>
    </row>
    <row r="24" spans="1:54">
      <c r="A24" s="9">
        <v>42217</v>
      </c>
      <c r="B24" s="43"/>
      <c r="C24" s="43"/>
      <c r="D24" s="41"/>
      <c r="E24" s="41"/>
      <c r="F24" s="41">
        <v>35.31</v>
      </c>
      <c r="G24" s="41">
        <v>1088.1300000000001</v>
      </c>
      <c r="H24" s="41">
        <v>739.54</v>
      </c>
      <c r="I24" s="41">
        <v>77.5</v>
      </c>
      <c r="J24" s="41"/>
      <c r="K24" s="41">
        <v>0.3</v>
      </c>
      <c r="L24" s="41"/>
      <c r="M24" s="41"/>
      <c r="N24" s="6">
        <f t="shared" si="16"/>
        <v>1940.78</v>
      </c>
      <c r="O24" s="40"/>
      <c r="P24" s="9">
        <v>42217</v>
      </c>
      <c r="Q24" s="43"/>
      <c r="R24" s="43"/>
      <c r="S24" s="41"/>
      <c r="T24" s="41"/>
      <c r="U24" s="41">
        <v>3519109.46</v>
      </c>
      <c r="V24" s="41">
        <v>96514546.200000003</v>
      </c>
      <c r="W24" s="41">
        <v>68803610.170000002</v>
      </c>
      <c r="X24" s="41">
        <v>6918291.8499999996</v>
      </c>
      <c r="Y24" s="41"/>
      <c r="Z24" s="41">
        <v>31489.35</v>
      </c>
      <c r="AA24" s="41"/>
      <c r="AB24" s="41"/>
      <c r="AC24" s="6">
        <f t="shared" si="17"/>
        <v>175787047.02999997</v>
      </c>
      <c r="AD24" s="40"/>
      <c r="AE24" s="9">
        <v>42217</v>
      </c>
      <c r="AF24" s="43"/>
      <c r="AG24" s="43"/>
      <c r="AH24" s="41"/>
      <c r="AI24" s="41"/>
      <c r="AJ24" s="41">
        <v>54577.380477368002</v>
      </c>
      <c r="AK24" s="41">
        <v>1489091.8699901241</v>
      </c>
      <c r="AL24" s="41">
        <v>1055154.8430243346</v>
      </c>
      <c r="AM24" s="41">
        <v>105221.16882129278</v>
      </c>
      <c r="AN24" s="41"/>
      <c r="AO24" s="41">
        <v>489.34498834498834</v>
      </c>
      <c r="AP24" s="41"/>
      <c r="AQ24" s="41"/>
      <c r="AR24" s="6">
        <f t="shared" si="18"/>
        <v>2704534.6073014648</v>
      </c>
      <c r="AU24" s="92">
        <f t="shared" si="13"/>
        <v>1368.4871017159016</v>
      </c>
      <c r="AV24" s="92">
        <f t="shared" si="14"/>
        <v>1426.7718352277561</v>
      </c>
      <c r="AW24" s="92">
        <f t="shared" si="15"/>
        <v>1357.6925009199069</v>
      </c>
    </row>
    <row r="25" spans="1:54">
      <c r="A25" s="9">
        <v>42248</v>
      </c>
      <c r="B25" s="43"/>
      <c r="C25" s="43"/>
      <c r="D25" s="41"/>
      <c r="E25" s="41"/>
      <c r="F25" s="41"/>
      <c r="G25" s="41">
        <v>393.98</v>
      </c>
      <c r="H25" s="41">
        <v>649.03000000000009</v>
      </c>
      <c r="I25" s="41">
        <v>76.97</v>
      </c>
      <c r="J25" s="41"/>
      <c r="K25" s="41"/>
      <c r="L25" s="41">
        <v>15</v>
      </c>
      <c r="M25" s="41"/>
      <c r="N25" s="6">
        <f t="shared" si="16"/>
        <v>1134.9800000000002</v>
      </c>
      <c r="O25" s="40"/>
      <c r="P25" s="9">
        <v>42248</v>
      </c>
      <c r="Q25" s="43"/>
      <c r="R25" s="43"/>
      <c r="S25" s="41"/>
      <c r="T25" s="41"/>
      <c r="U25" s="41"/>
      <c r="V25" s="41">
        <v>35972981.32</v>
      </c>
      <c r="W25" s="41">
        <v>59210341.650000006</v>
      </c>
      <c r="X25" s="41">
        <v>6791740.4199999999</v>
      </c>
      <c r="Y25" s="41"/>
      <c r="Z25" s="41"/>
      <c r="AA25" s="41">
        <v>1367249.63</v>
      </c>
      <c r="AB25" s="41"/>
      <c r="AC25" s="6">
        <f t="shared" si="17"/>
        <v>103342313.02</v>
      </c>
      <c r="AD25" s="40"/>
      <c r="AE25" s="9">
        <v>42248</v>
      </c>
      <c r="AF25" s="43"/>
      <c r="AG25" s="43"/>
      <c r="AH25" s="41"/>
      <c r="AI25" s="41"/>
      <c r="AJ25" s="41"/>
      <c r="AK25" s="41">
        <v>538114.90381451021</v>
      </c>
      <c r="AL25" s="41">
        <v>886844.54686166334</v>
      </c>
      <c r="AM25" s="41">
        <v>101293.66771066369</v>
      </c>
      <c r="AN25" s="41"/>
      <c r="AO25" s="41"/>
      <c r="AP25" s="41">
        <v>20452.500074794316</v>
      </c>
      <c r="AQ25" s="41"/>
      <c r="AR25" s="6">
        <f t="shared" si="18"/>
        <v>1546705.6184616315</v>
      </c>
      <c r="AU25" s="92">
        <f t="shared" si="13"/>
        <v>1365.8431996916345</v>
      </c>
      <c r="AV25" s="92">
        <f t="shared" si="14"/>
        <v>1366.4153380608959</v>
      </c>
      <c r="AW25" s="92">
        <f t="shared" si="15"/>
        <v>1316.0149111428309</v>
      </c>
    </row>
    <row r="26" spans="1:54">
      <c r="A26" s="9">
        <v>42278</v>
      </c>
      <c r="B26" s="43"/>
      <c r="C26" s="43"/>
      <c r="D26" s="41"/>
      <c r="E26" s="41"/>
      <c r="F26" s="41"/>
      <c r="G26" s="41">
        <v>594.09</v>
      </c>
      <c r="H26" s="41">
        <v>410.23</v>
      </c>
      <c r="I26" s="41"/>
      <c r="J26" s="41"/>
      <c r="K26" s="41"/>
      <c r="L26" s="41"/>
      <c r="M26" s="41"/>
      <c r="N26" s="6">
        <f t="shared" si="16"/>
        <v>1004.32</v>
      </c>
      <c r="O26" s="40"/>
      <c r="P26" s="9">
        <v>42278</v>
      </c>
      <c r="Q26" s="43"/>
      <c r="R26" s="43"/>
      <c r="S26" s="41"/>
      <c r="T26" s="41"/>
      <c r="U26" s="41"/>
      <c r="V26" s="41">
        <v>41268130.239999995</v>
      </c>
      <c r="W26" s="41">
        <v>37021307.109999999</v>
      </c>
      <c r="X26" s="41"/>
      <c r="Y26" s="41"/>
      <c r="Z26" s="41"/>
      <c r="AA26" s="41"/>
      <c r="AB26" s="41"/>
      <c r="AC26" s="6">
        <f t="shared" si="17"/>
        <v>78289437.349999994</v>
      </c>
      <c r="AD26" s="40"/>
      <c r="AE26" s="9">
        <v>42278</v>
      </c>
      <c r="AF26" s="43"/>
      <c r="AG26" s="43"/>
      <c r="AH26" s="41"/>
      <c r="AI26" s="41"/>
      <c r="AJ26" s="41"/>
      <c r="AK26" s="41">
        <v>626804.97447259107</v>
      </c>
      <c r="AL26" s="41">
        <v>558268.51453743037</v>
      </c>
      <c r="AM26" s="41"/>
      <c r="AN26" s="41"/>
      <c r="AO26" s="41"/>
      <c r="AP26" s="41"/>
      <c r="AQ26" s="41"/>
      <c r="AR26" s="6">
        <f t="shared" si="18"/>
        <v>1185073.4890100216</v>
      </c>
      <c r="AU26" s="92">
        <f t="shared" si="13"/>
        <v>1055.0673710592521</v>
      </c>
      <c r="AV26" s="92">
        <f t="shared" si="14"/>
        <v>1360.8671100051931</v>
      </c>
      <c r="AW26" s="92" t="e">
        <f t="shared" si="15"/>
        <v>#DIV/0!</v>
      </c>
    </row>
    <row r="27" spans="1:54">
      <c r="A27" s="9">
        <v>42309</v>
      </c>
      <c r="B27" s="43"/>
      <c r="C27" s="43"/>
      <c r="D27" s="41"/>
      <c r="E27" s="41"/>
      <c r="F27" s="41">
        <v>20.02</v>
      </c>
      <c r="G27" s="41">
        <v>716.36</v>
      </c>
      <c r="H27" s="41">
        <v>686.80000000000007</v>
      </c>
      <c r="I27" s="41">
        <v>79.210000000000008</v>
      </c>
      <c r="J27" s="41"/>
      <c r="K27" s="41">
        <v>11.4</v>
      </c>
      <c r="L27" s="41">
        <v>15</v>
      </c>
      <c r="M27" s="41">
        <v>1.1000000000000001</v>
      </c>
      <c r="N27" s="6">
        <f t="shared" si="16"/>
        <v>1529.89</v>
      </c>
      <c r="O27" s="40"/>
      <c r="P27" s="9">
        <v>42309</v>
      </c>
      <c r="Q27" s="43"/>
      <c r="R27" s="43"/>
      <c r="S27" s="41"/>
      <c r="T27" s="41"/>
      <c r="U27" s="41">
        <v>1548747.04</v>
      </c>
      <c r="V27" s="41">
        <v>51793366.310000002</v>
      </c>
      <c r="W27" s="41">
        <v>54563582.910000004</v>
      </c>
      <c r="X27" s="41">
        <v>5608770.1099999994</v>
      </c>
      <c r="Y27" s="41"/>
      <c r="Z27" s="41">
        <v>1063306.3899999999</v>
      </c>
      <c r="AA27" s="41">
        <v>1367249.63</v>
      </c>
      <c r="AB27" s="41">
        <v>100927.33</v>
      </c>
      <c r="AC27" s="6">
        <f t="shared" si="17"/>
        <v>116045949.72</v>
      </c>
      <c r="AD27" s="40"/>
      <c r="AE27" s="9">
        <v>42309</v>
      </c>
      <c r="AF27" s="43"/>
      <c r="AG27" s="43"/>
      <c r="AH27" s="41"/>
      <c r="AI27" s="41"/>
      <c r="AJ27" s="41">
        <v>23699.266105585313</v>
      </c>
      <c r="AK27" s="41">
        <v>780893.1140509214</v>
      </c>
      <c r="AL27" s="41">
        <v>824099.38746257068</v>
      </c>
      <c r="AM27" s="41">
        <v>84089.506896551728</v>
      </c>
      <c r="AN27" s="41"/>
      <c r="AO27" s="41">
        <v>16062.030060422958</v>
      </c>
      <c r="AP27" s="41">
        <v>20653.31767371601</v>
      </c>
      <c r="AQ27" s="41">
        <v>1524.5820241691843</v>
      </c>
      <c r="AR27" s="6">
        <f t="shared" si="18"/>
        <v>1751021.2042739373</v>
      </c>
      <c r="AU27" s="92">
        <f t="shared" si="13"/>
        <v>1090.0847535469895</v>
      </c>
      <c r="AV27" s="92">
        <f t="shared" si="14"/>
        <v>1199.9117464510346</v>
      </c>
      <c r="AW27" s="92">
        <f t="shared" si="15"/>
        <v>1061.6021575123307</v>
      </c>
    </row>
    <row r="28" spans="1:54">
      <c r="A28" s="9">
        <v>42339</v>
      </c>
      <c r="B28" s="43"/>
      <c r="C28" s="43">
        <v>2.04</v>
      </c>
      <c r="D28" s="41"/>
      <c r="E28" s="41"/>
      <c r="F28" s="41"/>
      <c r="G28" s="41">
        <v>991.55</v>
      </c>
      <c r="H28" s="41">
        <v>464.29999999999995</v>
      </c>
      <c r="I28" s="41">
        <v>155.87</v>
      </c>
      <c r="J28" s="41"/>
      <c r="K28" s="41">
        <v>2</v>
      </c>
      <c r="L28" s="41"/>
      <c r="M28" s="41"/>
      <c r="N28" s="6">
        <f t="shared" si="16"/>
        <v>1615.7599999999998</v>
      </c>
      <c r="O28" s="40"/>
      <c r="P28" s="9">
        <v>42339</v>
      </c>
      <c r="Q28" s="43"/>
      <c r="R28" s="43">
        <v>465221.84</v>
      </c>
      <c r="S28" s="41"/>
      <c r="T28" s="41"/>
      <c r="U28" s="41"/>
      <c r="V28" s="41">
        <v>75359426.930000007</v>
      </c>
      <c r="W28" s="41">
        <v>40989625.220000006</v>
      </c>
      <c r="X28" s="41">
        <v>12894900.800000001</v>
      </c>
      <c r="Y28" s="41"/>
      <c r="Z28" s="41">
        <v>173202.38</v>
      </c>
      <c r="AA28" s="41"/>
      <c r="AB28" s="41"/>
      <c r="AC28" s="6">
        <f t="shared" si="17"/>
        <v>129882377.17</v>
      </c>
      <c r="AD28" s="40"/>
      <c r="AE28" s="9">
        <v>42339</v>
      </c>
      <c r="AF28" s="43"/>
      <c r="AG28" s="43">
        <v>6922.9440476190475</v>
      </c>
      <c r="AH28" s="41"/>
      <c r="AI28" s="41"/>
      <c r="AJ28" s="41"/>
      <c r="AK28" s="41">
        <v>1122729.9222569575</v>
      </c>
      <c r="AL28" s="41">
        <v>609663.9322852497</v>
      </c>
      <c r="AM28" s="41">
        <v>191818.79747731899</v>
      </c>
      <c r="AN28" s="41"/>
      <c r="AO28" s="41">
        <v>2575.5000743494425</v>
      </c>
      <c r="AP28" s="41"/>
      <c r="AQ28" s="41"/>
      <c r="AR28" s="6">
        <f t="shared" si="18"/>
        <v>1933711.0961414946</v>
      </c>
      <c r="AU28" s="92">
        <f t="shared" si="13"/>
        <v>1132.2978389964778</v>
      </c>
      <c r="AV28" s="92">
        <f t="shared" si="14"/>
        <v>1313.081913170902</v>
      </c>
      <c r="AW28" s="92">
        <f t="shared" si="15"/>
        <v>1230.6332038064988</v>
      </c>
    </row>
    <row r="29" spans="1:54">
      <c r="A29" s="9">
        <v>42370</v>
      </c>
      <c r="B29" s="43"/>
      <c r="C29" s="43"/>
      <c r="D29" s="41"/>
      <c r="E29" s="41"/>
      <c r="F29" s="41">
        <v>46.809999999999995</v>
      </c>
      <c r="G29" s="41">
        <v>1023</v>
      </c>
      <c r="H29" s="41">
        <v>747.01</v>
      </c>
      <c r="I29" s="41">
        <v>155.54000000000002</v>
      </c>
      <c r="J29" s="41"/>
      <c r="K29" s="41"/>
      <c r="L29" s="41">
        <v>6</v>
      </c>
      <c r="M29" s="41">
        <v>15</v>
      </c>
      <c r="N29" s="6">
        <f t="shared" si="16"/>
        <v>1993.36</v>
      </c>
      <c r="O29" s="40"/>
      <c r="P29" s="9">
        <v>42370</v>
      </c>
      <c r="Q29" s="43"/>
      <c r="R29" s="43"/>
      <c r="S29" s="41"/>
      <c r="T29" s="41"/>
      <c r="U29" s="41">
        <v>3934308.21</v>
      </c>
      <c r="V29" s="41">
        <v>78078484.450000018</v>
      </c>
      <c r="W29" s="41">
        <v>62633618.929999992</v>
      </c>
      <c r="X29" s="41">
        <v>13259260.059999999</v>
      </c>
      <c r="Y29" s="41"/>
      <c r="Z29" s="41"/>
      <c r="AA29" s="41">
        <v>498671.34</v>
      </c>
      <c r="AB29" s="41">
        <v>1323504</v>
      </c>
      <c r="AC29" s="6">
        <f t="shared" si="17"/>
        <v>159727846.99000001</v>
      </c>
      <c r="AD29" s="40"/>
      <c r="AE29" s="9">
        <v>42370</v>
      </c>
      <c r="AF29" s="43"/>
      <c r="AG29" s="43"/>
      <c r="AH29" s="41"/>
      <c r="AI29" s="41"/>
      <c r="AJ29" s="41">
        <v>57674.559560359223</v>
      </c>
      <c r="AK29" s="41">
        <v>1158130.5324847843</v>
      </c>
      <c r="AL29" s="41">
        <v>922466.78888175543</v>
      </c>
      <c r="AM29" s="41">
        <v>196944.21918286031</v>
      </c>
      <c r="AN29" s="41"/>
      <c r="AO29" s="41"/>
      <c r="AP29" s="41">
        <v>7393.2</v>
      </c>
      <c r="AQ29" s="41">
        <v>19622.001482579686</v>
      </c>
      <c r="AR29" s="6">
        <f t="shared" si="18"/>
        <v>2362231.3015923388</v>
      </c>
      <c r="AU29" s="92">
        <f t="shared" si="13"/>
        <v>1132.0924071210013</v>
      </c>
      <c r="AV29" s="92">
        <f t="shared" si="14"/>
        <v>1234.8787685328916</v>
      </c>
      <c r="AW29" s="92">
        <f t="shared" si="15"/>
        <v>1266.1966001212568</v>
      </c>
    </row>
    <row r="30" spans="1:54">
      <c r="A30" s="9">
        <v>42401</v>
      </c>
      <c r="B30" s="38">
        <f>46.21*0</f>
        <v>0</v>
      </c>
      <c r="C30" s="43"/>
      <c r="D30" s="41"/>
      <c r="E30" s="41"/>
      <c r="F30" s="41"/>
      <c r="G30" s="41">
        <v>839.24</v>
      </c>
      <c r="H30" s="41">
        <v>645.31000000000006</v>
      </c>
      <c r="I30" s="41">
        <v>78.53</v>
      </c>
      <c r="J30" s="41"/>
      <c r="K30" s="41"/>
      <c r="L30" s="41">
        <v>14.4</v>
      </c>
      <c r="M30" s="41"/>
      <c r="N30" s="6">
        <f t="shared" si="16"/>
        <v>1577.4800000000002</v>
      </c>
      <c r="O30" s="40"/>
      <c r="P30" s="9">
        <v>42401</v>
      </c>
      <c r="Q30" s="43">
        <f>14952399.64*0</f>
        <v>0</v>
      </c>
      <c r="R30" s="43"/>
      <c r="S30" s="41"/>
      <c r="T30" s="41"/>
      <c r="U30" s="41"/>
      <c r="V30" s="41">
        <v>63874505.730000004</v>
      </c>
      <c r="W30" s="41">
        <v>55740843.590000004</v>
      </c>
      <c r="X30" s="41">
        <v>6661453.4700000007</v>
      </c>
      <c r="Y30" s="41"/>
      <c r="Z30" s="41"/>
      <c r="AA30" s="41">
        <v>1472398.93</v>
      </c>
      <c r="AB30" s="41"/>
      <c r="AC30" s="6">
        <f t="shared" si="17"/>
        <v>127749201.72000001</v>
      </c>
      <c r="AD30" s="40"/>
      <c r="AE30" s="9">
        <v>42401</v>
      </c>
      <c r="AF30" s="43">
        <f>218206.863988313*0</f>
        <v>0</v>
      </c>
      <c r="AG30" s="43"/>
      <c r="AH30" s="41"/>
      <c r="AI30" s="41"/>
      <c r="AJ30" s="41"/>
      <c r="AK30" s="41">
        <v>930018.50113206031</v>
      </c>
      <c r="AL30" s="41">
        <v>811917.53290087171</v>
      </c>
      <c r="AM30" s="41">
        <v>97318.531336742148</v>
      </c>
      <c r="AN30" s="41"/>
      <c r="AO30" s="41"/>
      <c r="AP30" s="41">
        <v>21510.576040905769</v>
      </c>
      <c r="AQ30" s="41"/>
      <c r="AR30" s="6">
        <f t="shared" si="18"/>
        <v>1860765.1414105799</v>
      </c>
      <c r="AU30" s="92">
        <f t="shared" si="13"/>
        <v>1108.1675100472573</v>
      </c>
      <c r="AV30" s="92">
        <f t="shared" si="14"/>
        <v>1258.1821650073168</v>
      </c>
      <c r="AW30" s="92">
        <f t="shared" si="15"/>
        <v>1239.2529140041022</v>
      </c>
    </row>
    <row r="31" spans="1:54">
      <c r="A31" s="9">
        <v>42430</v>
      </c>
      <c r="B31" s="43"/>
      <c r="C31" s="43"/>
      <c r="D31" s="41"/>
      <c r="E31" s="41"/>
      <c r="F31" s="41">
        <v>39.99</v>
      </c>
      <c r="G31" s="41">
        <v>913.94999999999993</v>
      </c>
      <c r="H31" s="41">
        <v>907.66000000000008</v>
      </c>
      <c r="I31" s="41">
        <v>157.86000000000001</v>
      </c>
      <c r="J31" s="41"/>
      <c r="K31" s="41">
        <v>12</v>
      </c>
      <c r="L31" s="41">
        <v>28.8</v>
      </c>
      <c r="M31" s="41">
        <v>45</v>
      </c>
      <c r="N31" s="6">
        <f t="shared" si="16"/>
        <v>2105.2600000000002</v>
      </c>
      <c r="O31" s="40"/>
      <c r="P31" s="9">
        <v>42430</v>
      </c>
      <c r="Q31" s="43"/>
      <c r="R31" s="43"/>
      <c r="S31" s="41"/>
      <c r="T31" s="41"/>
      <c r="U31" s="41">
        <v>3364478.67</v>
      </c>
      <c r="V31" s="41">
        <v>71399588.450000003</v>
      </c>
      <c r="W31" s="41">
        <v>82775498.320000008</v>
      </c>
      <c r="X31" s="41">
        <v>14465985.110000001</v>
      </c>
      <c r="Y31" s="41"/>
      <c r="Z31" s="41">
        <v>1062742.2</v>
      </c>
      <c r="AA31" s="41">
        <v>2056172.1400000001</v>
      </c>
      <c r="AB31" s="41">
        <v>3958865.44</v>
      </c>
      <c r="AC31" s="6">
        <f t="shared" si="17"/>
        <v>179083330.32999998</v>
      </c>
      <c r="AD31" s="40"/>
      <c r="AE31" s="9">
        <v>42430</v>
      </c>
      <c r="AF31" s="43"/>
      <c r="AG31" s="43"/>
      <c r="AH31" s="41"/>
      <c r="AI31" s="41"/>
      <c r="AJ31" s="41">
        <v>49881.077390659746</v>
      </c>
      <c r="AK31" s="41">
        <v>1051791.109713424</v>
      </c>
      <c r="AL31" s="41">
        <v>1221346.8851394278</v>
      </c>
      <c r="AM31" s="41">
        <v>213632.5038467492</v>
      </c>
      <c r="AN31" s="41"/>
      <c r="AO31" s="41">
        <v>15755.999999999998</v>
      </c>
      <c r="AP31" s="41">
        <v>30355.460882352942</v>
      </c>
      <c r="AQ31" s="41">
        <v>58533.626090786202</v>
      </c>
      <c r="AR31" s="6">
        <f t="shared" si="18"/>
        <v>2641296.6630634004</v>
      </c>
      <c r="AU31" s="92">
        <f t="shared" si="13"/>
        <v>1150.8190926346344</v>
      </c>
      <c r="AV31" s="92">
        <f t="shared" si="14"/>
        <v>1345.599547340885</v>
      </c>
      <c r="AW31" s="92">
        <f t="shared" si="15"/>
        <v>1353.3035844846647</v>
      </c>
    </row>
    <row r="32" spans="1:54">
      <c r="A32" s="128" t="s">
        <v>4</v>
      </c>
      <c r="B32" s="91">
        <f>SUM(B20:B31)</f>
        <v>0</v>
      </c>
      <c r="C32" s="91">
        <f t="shared" ref="C32:M32" si="19">SUM(C20:C31)</f>
        <v>2.04</v>
      </c>
      <c r="D32" s="91">
        <f t="shared" si="19"/>
        <v>0</v>
      </c>
      <c r="E32" s="91">
        <f t="shared" si="19"/>
        <v>0</v>
      </c>
      <c r="F32" s="91">
        <f t="shared" si="19"/>
        <v>185.74</v>
      </c>
      <c r="G32" s="91">
        <f t="shared" si="19"/>
        <v>16163.770000000002</v>
      </c>
      <c r="H32" s="91">
        <f t="shared" si="19"/>
        <v>7362.6200000000008</v>
      </c>
      <c r="I32" s="91">
        <f t="shared" si="19"/>
        <v>1092.3499999999999</v>
      </c>
      <c r="J32" s="91">
        <f t="shared" si="19"/>
        <v>0</v>
      </c>
      <c r="K32" s="91">
        <f t="shared" si="19"/>
        <v>63.79999999999999</v>
      </c>
      <c r="L32" s="91">
        <f t="shared" si="19"/>
        <v>94.2</v>
      </c>
      <c r="M32" s="91">
        <f t="shared" si="19"/>
        <v>62</v>
      </c>
      <c r="N32" s="127">
        <f t="shared" si="16"/>
        <v>25026.520000000004</v>
      </c>
      <c r="O32" s="40"/>
      <c r="P32" s="128" t="s">
        <v>4</v>
      </c>
      <c r="Q32" s="91">
        <f>SUM(Q20:Q31)</f>
        <v>0</v>
      </c>
      <c r="R32" s="91">
        <f t="shared" ref="R32:AB32" si="20">SUM(R20:R31)</f>
        <v>465221.84</v>
      </c>
      <c r="S32" s="91">
        <f t="shared" si="20"/>
        <v>0</v>
      </c>
      <c r="T32" s="91">
        <f t="shared" si="20"/>
        <v>0</v>
      </c>
      <c r="U32" s="91">
        <f t="shared" si="20"/>
        <v>16647883.01</v>
      </c>
      <c r="V32" s="91">
        <f t="shared" si="20"/>
        <v>1350782375.6800003</v>
      </c>
      <c r="W32" s="91">
        <f t="shared" si="20"/>
        <v>679266458.36000013</v>
      </c>
      <c r="X32" s="91">
        <f t="shared" si="20"/>
        <v>97797999.439999998</v>
      </c>
      <c r="Y32" s="91">
        <f t="shared" si="20"/>
        <v>0</v>
      </c>
      <c r="Z32" s="91">
        <f t="shared" si="20"/>
        <v>6271549.7800000003</v>
      </c>
      <c r="AA32" s="91">
        <f t="shared" si="20"/>
        <v>8075814.7999999989</v>
      </c>
      <c r="AB32" s="91">
        <f t="shared" si="20"/>
        <v>5478702.6699999999</v>
      </c>
      <c r="AC32" s="127">
        <f t="shared" si="17"/>
        <v>2164786005.5800009</v>
      </c>
      <c r="AD32" s="40"/>
      <c r="AE32" s="128" t="s">
        <v>4</v>
      </c>
      <c r="AF32" s="91">
        <f>SUM(AF20:AF31)</f>
        <v>0</v>
      </c>
      <c r="AG32" s="91">
        <f t="shared" ref="AG32:AQ32" si="21">SUM(AG20:AG31)</f>
        <v>6922.9440476190475</v>
      </c>
      <c r="AH32" s="91">
        <f t="shared" si="21"/>
        <v>0</v>
      </c>
      <c r="AI32" s="91">
        <f t="shared" si="21"/>
        <v>0</v>
      </c>
      <c r="AJ32" s="91">
        <f t="shared" si="21"/>
        <v>252524.65401574285</v>
      </c>
      <c r="AK32" s="91">
        <f t="shared" si="21"/>
        <v>20788258.301268633</v>
      </c>
      <c r="AL32" s="91">
        <f t="shared" si="21"/>
        <v>10297325.860750586</v>
      </c>
      <c r="AM32" s="91">
        <f t="shared" si="21"/>
        <v>1477286.7862969334</v>
      </c>
      <c r="AN32" s="91">
        <f t="shared" si="21"/>
        <v>0</v>
      </c>
      <c r="AO32" s="91">
        <f t="shared" si="21"/>
        <v>96123.830141073806</v>
      </c>
      <c r="AP32" s="91">
        <f t="shared" si="21"/>
        <v>120865.41551420273</v>
      </c>
      <c r="AQ32" s="91">
        <f t="shared" si="21"/>
        <v>81163.5839175687</v>
      </c>
      <c r="AR32" s="127">
        <f t="shared" si="18"/>
        <v>33120471.375952359</v>
      </c>
      <c r="AU32" s="40"/>
      <c r="AV32" s="40"/>
      <c r="AW32" s="40"/>
    </row>
    <row r="33" spans="1:49">
      <c r="A33" s="40"/>
      <c r="D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S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U33" s="40"/>
      <c r="AV33" s="40"/>
      <c r="AW33" s="40"/>
    </row>
    <row r="34" spans="1:49">
      <c r="A34" s="40"/>
      <c r="D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S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U34" s="40"/>
      <c r="AV34" s="40"/>
      <c r="AW34" s="40"/>
    </row>
    <row r="35" spans="1:49">
      <c r="A35" s="25" t="s">
        <v>0</v>
      </c>
      <c r="B35" s="161" t="s">
        <v>133</v>
      </c>
      <c r="C35" s="161" t="s">
        <v>19</v>
      </c>
      <c r="D35" s="161" t="s">
        <v>17</v>
      </c>
      <c r="E35" s="161" t="s">
        <v>134</v>
      </c>
      <c r="F35" s="161" t="s">
        <v>10</v>
      </c>
      <c r="G35" s="161" t="s">
        <v>11</v>
      </c>
      <c r="H35" s="161" t="s">
        <v>12</v>
      </c>
      <c r="I35" s="161" t="s">
        <v>13</v>
      </c>
      <c r="J35" s="161" t="s">
        <v>14</v>
      </c>
      <c r="K35" s="161" t="s">
        <v>18</v>
      </c>
      <c r="L35" s="161" t="s">
        <v>15</v>
      </c>
      <c r="M35" s="161" t="s">
        <v>16</v>
      </c>
      <c r="N35" s="27" t="s">
        <v>20</v>
      </c>
      <c r="O35" s="40"/>
      <c r="P35" s="25" t="s">
        <v>0</v>
      </c>
      <c r="Q35" s="161" t="s">
        <v>133</v>
      </c>
      <c r="R35" s="161" t="s">
        <v>19</v>
      </c>
      <c r="S35" s="161" t="s">
        <v>17</v>
      </c>
      <c r="T35" s="161" t="s">
        <v>134</v>
      </c>
      <c r="U35" s="161" t="s">
        <v>10</v>
      </c>
      <c r="V35" s="161" t="s">
        <v>11</v>
      </c>
      <c r="W35" s="161" t="s">
        <v>12</v>
      </c>
      <c r="X35" s="161" t="s">
        <v>13</v>
      </c>
      <c r="Y35" s="161" t="s">
        <v>14</v>
      </c>
      <c r="Z35" s="161" t="s">
        <v>18</v>
      </c>
      <c r="AA35" s="161" t="s">
        <v>15</v>
      </c>
      <c r="AB35" s="161" t="s">
        <v>16</v>
      </c>
      <c r="AC35" s="27" t="s">
        <v>20</v>
      </c>
      <c r="AD35" s="40"/>
      <c r="AE35" s="25" t="s">
        <v>0</v>
      </c>
      <c r="AF35" s="161" t="s">
        <v>133</v>
      </c>
      <c r="AG35" s="161" t="s">
        <v>19</v>
      </c>
      <c r="AH35" s="161" t="s">
        <v>17</v>
      </c>
      <c r="AI35" s="161" t="s">
        <v>134</v>
      </c>
      <c r="AJ35" s="161" t="s">
        <v>10</v>
      </c>
      <c r="AK35" s="161" t="s">
        <v>11</v>
      </c>
      <c r="AL35" s="161" t="s">
        <v>12</v>
      </c>
      <c r="AM35" s="161" t="s">
        <v>13</v>
      </c>
      <c r="AN35" s="161" t="s">
        <v>14</v>
      </c>
      <c r="AO35" s="161" t="s">
        <v>18</v>
      </c>
      <c r="AP35" s="161" t="s">
        <v>15</v>
      </c>
      <c r="AQ35" s="161" t="s">
        <v>16</v>
      </c>
      <c r="AR35" s="27" t="s">
        <v>20</v>
      </c>
      <c r="AU35" s="40"/>
      <c r="AV35" s="40"/>
      <c r="AW35" s="40"/>
    </row>
    <row r="36" spans="1:49">
      <c r="A36" s="9">
        <v>42095</v>
      </c>
      <c r="B36" s="43"/>
      <c r="C36" s="43"/>
      <c r="D36" s="41"/>
      <c r="E36" s="41"/>
      <c r="F36" s="41">
        <v>52.88</v>
      </c>
      <c r="G36" s="41">
        <v>615.57000000000005</v>
      </c>
      <c r="H36" s="41"/>
      <c r="I36" s="41"/>
      <c r="J36" s="41"/>
      <c r="K36" s="41"/>
      <c r="L36" s="41"/>
      <c r="M36" s="41"/>
      <c r="N36" s="6">
        <f>SUM(B36:M36)</f>
        <v>668.45</v>
      </c>
      <c r="O36" s="40"/>
      <c r="P36" s="9">
        <v>42095</v>
      </c>
      <c r="Q36" s="43"/>
      <c r="R36" s="43"/>
      <c r="S36" s="41"/>
      <c r="T36" s="41"/>
      <c r="U36" s="41">
        <v>5140435.6099999994</v>
      </c>
      <c r="V36" s="41">
        <v>53642352.43</v>
      </c>
      <c r="W36" s="41"/>
      <c r="X36" s="41"/>
      <c r="Y36" s="41"/>
      <c r="Z36" s="41"/>
      <c r="AA36" s="41"/>
      <c r="AB36" s="41"/>
      <c r="AC36" s="6">
        <f>SUM(Q36:AB36)</f>
        <v>58782788.039999999</v>
      </c>
      <c r="AD36" s="40"/>
      <c r="AE36" s="9">
        <v>42095</v>
      </c>
      <c r="AF36" s="43"/>
      <c r="AG36" s="43"/>
      <c r="AH36" s="41"/>
      <c r="AI36" s="41"/>
      <c r="AJ36" s="41">
        <v>81563.560127084987</v>
      </c>
      <c r="AK36" s="41">
        <v>850203.5483176508</v>
      </c>
      <c r="AL36" s="41"/>
      <c r="AM36" s="41"/>
      <c r="AN36" s="41"/>
      <c r="AO36" s="41"/>
      <c r="AP36" s="41"/>
      <c r="AQ36" s="41"/>
      <c r="AR36" s="6">
        <f>SUM(AF36:AQ36)</f>
        <v>931767.10844473576</v>
      </c>
      <c r="AU36" s="92">
        <f t="shared" ref="AU36:AU47" si="22">+AK36/G36</f>
        <v>1381.1646901532738</v>
      </c>
      <c r="AV36" s="92" t="e">
        <f t="shared" ref="AV36:AV47" si="23">+AL36/H36</f>
        <v>#DIV/0!</v>
      </c>
      <c r="AW36" s="92" t="e">
        <f t="shared" ref="AW36:AW47" si="24">+AM36/I36</f>
        <v>#DIV/0!</v>
      </c>
    </row>
    <row r="37" spans="1:49">
      <c r="A37" s="9">
        <v>42125</v>
      </c>
      <c r="B37" s="43"/>
      <c r="C37" s="43"/>
      <c r="D37" s="41"/>
      <c r="E37" s="41"/>
      <c r="F37" s="41">
        <v>39.25</v>
      </c>
      <c r="G37" s="41">
        <v>1651.6000000000004</v>
      </c>
      <c r="H37" s="41"/>
      <c r="I37" s="41"/>
      <c r="J37" s="41"/>
      <c r="K37" s="41"/>
      <c r="L37" s="41"/>
      <c r="M37" s="41"/>
      <c r="N37" s="6">
        <f t="shared" ref="N37:N48" si="25">SUM(B37:M37)</f>
        <v>1690.8500000000004</v>
      </c>
      <c r="O37" s="40"/>
      <c r="P37" s="9">
        <v>42125</v>
      </c>
      <c r="Q37" s="43"/>
      <c r="R37" s="43"/>
      <c r="S37" s="41"/>
      <c r="T37" s="41"/>
      <c r="U37" s="41">
        <v>3697505.16</v>
      </c>
      <c r="V37" s="41">
        <v>145198686.53999999</v>
      </c>
      <c r="W37" s="41"/>
      <c r="X37" s="41"/>
      <c r="Y37" s="41"/>
      <c r="Z37" s="41"/>
      <c r="AA37" s="41"/>
      <c r="AB37" s="41"/>
      <c r="AC37" s="6">
        <f t="shared" ref="AC37:AC48" si="26">SUM(Q37:AB37)</f>
        <v>148896191.69999999</v>
      </c>
      <c r="AD37" s="40"/>
      <c r="AE37" s="9">
        <v>42125</v>
      </c>
      <c r="AF37" s="43"/>
      <c r="AG37" s="43"/>
      <c r="AH37" s="41"/>
      <c r="AI37" s="41"/>
      <c r="AJ37" s="41">
        <v>57481.624968913937</v>
      </c>
      <c r="AK37" s="41">
        <v>2271210.8092432269</v>
      </c>
      <c r="AL37" s="41"/>
      <c r="AM37" s="41"/>
      <c r="AN37" s="41"/>
      <c r="AO37" s="41"/>
      <c r="AP37" s="41"/>
      <c r="AQ37" s="41"/>
      <c r="AR37" s="6">
        <f t="shared" ref="AR37:AR48" si="27">SUM(AF37:AQ37)</f>
        <v>2328692.4342121407</v>
      </c>
      <c r="AU37" s="92">
        <f t="shared" si="22"/>
        <v>1375.1579130801806</v>
      </c>
      <c r="AV37" s="92" t="e">
        <f t="shared" si="23"/>
        <v>#DIV/0!</v>
      </c>
      <c r="AW37" s="92" t="e">
        <f t="shared" si="24"/>
        <v>#DIV/0!</v>
      </c>
    </row>
    <row r="38" spans="1:49">
      <c r="A38" s="9">
        <v>42156</v>
      </c>
      <c r="B38" s="43"/>
      <c r="C38" s="43"/>
      <c r="D38" s="41"/>
      <c r="E38" s="41"/>
      <c r="F38" s="41">
        <v>52.77</v>
      </c>
      <c r="G38" s="41">
        <v>1298.48</v>
      </c>
      <c r="H38" s="41"/>
      <c r="I38" s="41"/>
      <c r="J38" s="41"/>
      <c r="K38" s="41"/>
      <c r="L38" s="41"/>
      <c r="M38" s="41"/>
      <c r="N38" s="6">
        <f t="shared" si="25"/>
        <v>1351.25</v>
      </c>
      <c r="O38" s="40"/>
      <c r="P38" s="9">
        <v>42156</v>
      </c>
      <c r="Q38" s="43"/>
      <c r="R38" s="43"/>
      <c r="S38" s="41"/>
      <c r="T38" s="41"/>
      <c r="U38" s="41">
        <v>5109537.96</v>
      </c>
      <c r="V38" s="41">
        <v>116875813.32000001</v>
      </c>
      <c r="W38" s="41"/>
      <c r="X38" s="41"/>
      <c r="Y38" s="41"/>
      <c r="Z38" s="41"/>
      <c r="AA38" s="41"/>
      <c r="AB38" s="41"/>
      <c r="AC38" s="6">
        <f t="shared" si="26"/>
        <v>121985351.28</v>
      </c>
      <c r="AD38" s="40"/>
      <c r="AE38" s="9">
        <v>42156</v>
      </c>
      <c r="AF38" s="43"/>
      <c r="AG38" s="43"/>
      <c r="AH38" s="41"/>
      <c r="AI38" s="41"/>
      <c r="AJ38" s="41">
        <v>79067.345003872964</v>
      </c>
      <c r="AK38" s="41">
        <v>1809329.2087694099</v>
      </c>
      <c r="AL38" s="41"/>
      <c r="AM38" s="41"/>
      <c r="AN38" s="41"/>
      <c r="AO38" s="41"/>
      <c r="AP38" s="41"/>
      <c r="AQ38" s="41"/>
      <c r="AR38" s="6">
        <f t="shared" si="27"/>
        <v>1888396.5537732828</v>
      </c>
      <c r="AU38" s="92">
        <f t="shared" si="22"/>
        <v>1393.4209296788629</v>
      </c>
      <c r="AV38" s="92" t="e">
        <f t="shared" si="23"/>
        <v>#DIV/0!</v>
      </c>
      <c r="AW38" s="92" t="e">
        <f t="shared" si="24"/>
        <v>#DIV/0!</v>
      </c>
    </row>
    <row r="39" spans="1:49">
      <c r="A39" s="9">
        <v>42186</v>
      </c>
      <c r="B39" s="43"/>
      <c r="C39" s="43"/>
      <c r="D39" s="41"/>
      <c r="E39" s="41"/>
      <c r="F39" s="41">
        <v>39.269999999999996</v>
      </c>
      <c r="G39" s="41">
        <v>480.04999999999995</v>
      </c>
      <c r="H39" s="41"/>
      <c r="I39" s="41"/>
      <c r="J39" s="41"/>
      <c r="K39" s="41"/>
      <c r="L39" s="41"/>
      <c r="M39" s="41"/>
      <c r="N39" s="6">
        <f t="shared" si="25"/>
        <v>519.31999999999994</v>
      </c>
      <c r="O39" s="40"/>
      <c r="P39" s="9">
        <v>42186</v>
      </c>
      <c r="Q39" s="43"/>
      <c r="R39" s="43"/>
      <c r="S39" s="41"/>
      <c r="T39" s="41"/>
      <c r="U39" s="41">
        <v>3690748.7</v>
      </c>
      <c r="V39" s="41">
        <v>40336314.089999996</v>
      </c>
      <c r="W39" s="41"/>
      <c r="X39" s="41"/>
      <c r="Y39" s="41"/>
      <c r="Z39" s="41"/>
      <c r="AA39" s="41"/>
      <c r="AB39" s="41"/>
      <c r="AC39" s="6">
        <f t="shared" si="26"/>
        <v>44027062.789999999</v>
      </c>
      <c r="AD39" s="40"/>
      <c r="AE39" s="9">
        <v>42186</v>
      </c>
      <c r="AF39" s="43"/>
      <c r="AG39" s="43"/>
      <c r="AH39" s="41"/>
      <c r="AI39" s="41"/>
      <c r="AJ39" s="41">
        <v>57510.91513636888</v>
      </c>
      <c r="AK39" s="41">
        <v>629024.56195596617</v>
      </c>
      <c r="AL39" s="41"/>
      <c r="AM39" s="41"/>
      <c r="AN39" s="41"/>
      <c r="AO39" s="41"/>
      <c r="AP39" s="41"/>
      <c r="AQ39" s="41"/>
      <c r="AR39" s="6">
        <f t="shared" si="27"/>
        <v>686535.477092335</v>
      </c>
      <c r="AU39" s="92">
        <f t="shared" si="22"/>
        <v>1310.3313445598712</v>
      </c>
      <c r="AV39" s="92" t="e">
        <f t="shared" si="23"/>
        <v>#DIV/0!</v>
      </c>
      <c r="AW39" s="92" t="e">
        <f t="shared" si="24"/>
        <v>#DIV/0!</v>
      </c>
    </row>
    <row r="40" spans="1:49">
      <c r="A40" s="9">
        <v>42217</v>
      </c>
      <c r="B40" s="43"/>
      <c r="C40" s="43"/>
      <c r="D40" s="41"/>
      <c r="E40" s="41"/>
      <c r="F40" s="41">
        <v>150.42999999999998</v>
      </c>
      <c r="G40" s="41">
        <v>2068.4900000000002</v>
      </c>
      <c r="H40" s="41"/>
      <c r="I40" s="41"/>
      <c r="J40" s="41"/>
      <c r="K40" s="41"/>
      <c r="L40" s="41">
        <v>15</v>
      </c>
      <c r="M40" s="41"/>
      <c r="N40" s="6">
        <f t="shared" si="25"/>
        <v>2233.92</v>
      </c>
      <c r="O40" s="40"/>
      <c r="P40" s="9">
        <v>42217</v>
      </c>
      <c r="Q40" s="43"/>
      <c r="R40" s="43"/>
      <c r="S40" s="41"/>
      <c r="T40" s="41"/>
      <c r="U40" s="41">
        <v>13131183.999999998</v>
      </c>
      <c r="V40" s="41">
        <v>185307751.46000001</v>
      </c>
      <c r="W40" s="41"/>
      <c r="X40" s="41"/>
      <c r="Y40" s="41"/>
      <c r="Z40" s="41"/>
      <c r="AA40" s="41">
        <v>1354713</v>
      </c>
      <c r="AB40" s="41"/>
      <c r="AC40" s="6">
        <f t="shared" si="26"/>
        <v>199793648.46000001</v>
      </c>
      <c r="AD40" s="40"/>
      <c r="AE40" s="9">
        <v>42217</v>
      </c>
      <c r="AF40" s="43"/>
      <c r="AG40" s="43"/>
      <c r="AH40" s="41"/>
      <c r="AI40" s="41"/>
      <c r="AJ40" s="41">
        <v>203108.68893820688</v>
      </c>
      <c r="AK40" s="41">
        <v>2877130.4785282891</v>
      </c>
      <c r="AL40" s="41"/>
      <c r="AM40" s="41"/>
      <c r="AN40" s="41"/>
      <c r="AO40" s="41"/>
      <c r="AP40" s="41">
        <v>20604</v>
      </c>
      <c r="AQ40" s="41"/>
      <c r="AR40" s="6">
        <f t="shared" si="27"/>
        <v>3100843.1674664961</v>
      </c>
      <c r="AU40" s="92">
        <f t="shared" si="22"/>
        <v>1390.932747331768</v>
      </c>
      <c r="AV40" s="92" t="e">
        <f t="shared" si="23"/>
        <v>#DIV/0!</v>
      </c>
      <c r="AW40" s="92" t="e">
        <f t="shared" si="24"/>
        <v>#DIV/0!</v>
      </c>
    </row>
    <row r="41" spans="1:49">
      <c r="A41" s="9">
        <v>42248</v>
      </c>
      <c r="B41" s="43"/>
      <c r="C41" s="43"/>
      <c r="D41" s="41">
        <v>6.8</v>
      </c>
      <c r="E41" s="41"/>
      <c r="F41" s="41">
        <v>27.2</v>
      </c>
      <c r="G41" s="41">
        <v>305.32</v>
      </c>
      <c r="H41" s="41"/>
      <c r="I41" s="41"/>
      <c r="J41" s="41"/>
      <c r="K41" s="41">
        <v>30</v>
      </c>
      <c r="L41" s="41">
        <v>15</v>
      </c>
      <c r="M41" s="41"/>
      <c r="N41" s="6">
        <f t="shared" si="25"/>
        <v>384.32</v>
      </c>
      <c r="O41" s="40"/>
      <c r="P41" s="9">
        <v>42248</v>
      </c>
      <c r="Q41" s="43"/>
      <c r="R41" s="43"/>
      <c r="S41" s="41">
        <v>1657797.84</v>
      </c>
      <c r="T41" s="41"/>
      <c r="U41" s="41">
        <v>2745572.29</v>
      </c>
      <c r="V41" s="41">
        <v>25982157.25</v>
      </c>
      <c r="W41" s="41"/>
      <c r="X41" s="41"/>
      <c r="Y41" s="41"/>
      <c r="Z41" s="41">
        <v>3291526.88</v>
      </c>
      <c r="AA41" s="41">
        <v>1310391.68</v>
      </c>
      <c r="AB41" s="41"/>
      <c r="AC41" s="6">
        <f t="shared" si="26"/>
        <v>34987445.939999998</v>
      </c>
      <c r="AD41" s="40"/>
      <c r="AE41" s="9">
        <v>42248</v>
      </c>
      <c r="AF41" s="43"/>
      <c r="AG41" s="43"/>
      <c r="AH41" s="41">
        <v>24724.800000000003</v>
      </c>
      <c r="AI41" s="41"/>
      <c r="AJ41" s="41">
        <v>41014.09816572658</v>
      </c>
      <c r="AK41" s="41">
        <v>388148.82379954011</v>
      </c>
      <c r="AL41" s="41"/>
      <c r="AM41" s="41"/>
      <c r="AN41" s="41"/>
      <c r="AO41" s="41">
        <v>49237.50007479432</v>
      </c>
      <c r="AP41" s="41">
        <v>19543.500074571217</v>
      </c>
      <c r="AQ41" s="41"/>
      <c r="AR41" s="6">
        <f t="shared" si="27"/>
        <v>522668.72211463226</v>
      </c>
      <c r="AU41" s="92">
        <f t="shared" si="22"/>
        <v>1271.2852869105859</v>
      </c>
      <c r="AV41" s="92" t="e">
        <f t="shared" si="23"/>
        <v>#DIV/0!</v>
      </c>
      <c r="AW41" s="92" t="e">
        <f t="shared" si="24"/>
        <v>#DIV/0!</v>
      </c>
    </row>
    <row r="42" spans="1:49">
      <c r="A42" s="9">
        <v>42278</v>
      </c>
      <c r="B42" s="43"/>
      <c r="C42" s="43"/>
      <c r="D42" s="41"/>
      <c r="E42" s="41"/>
      <c r="F42" s="41">
        <v>13.6</v>
      </c>
      <c r="G42" s="41">
        <v>640</v>
      </c>
      <c r="H42" s="41"/>
      <c r="I42" s="41"/>
      <c r="J42" s="41"/>
      <c r="K42" s="41"/>
      <c r="L42" s="41"/>
      <c r="M42" s="41"/>
      <c r="N42" s="6">
        <f t="shared" si="25"/>
        <v>653.6</v>
      </c>
      <c r="O42" s="40"/>
      <c r="P42" s="9">
        <v>42278</v>
      </c>
      <c r="Q42" s="43"/>
      <c r="R42" s="43"/>
      <c r="S42" s="41"/>
      <c r="T42" s="41"/>
      <c r="U42" s="41">
        <v>1184894.83</v>
      </c>
      <c r="V42" s="41">
        <v>47896670.319999993</v>
      </c>
      <c r="W42" s="41"/>
      <c r="X42" s="41"/>
      <c r="Y42" s="41"/>
      <c r="Z42" s="41"/>
      <c r="AA42" s="41"/>
      <c r="AB42" s="41"/>
      <c r="AC42" s="6">
        <f t="shared" si="26"/>
        <v>49081565.149999991</v>
      </c>
      <c r="AD42" s="40"/>
      <c r="AE42" s="9">
        <v>42278</v>
      </c>
      <c r="AF42" s="43"/>
      <c r="AG42" s="43"/>
      <c r="AH42" s="41"/>
      <c r="AI42" s="41"/>
      <c r="AJ42" s="41">
        <v>18131.519969395566</v>
      </c>
      <c r="AK42" s="41">
        <v>728039.41557651083</v>
      </c>
      <c r="AL42" s="41"/>
      <c r="AM42" s="41"/>
      <c r="AN42" s="41"/>
      <c r="AO42" s="41"/>
      <c r="AP42" s="41"/>
      <c r="AQ42" s="41"/>
      <c r="AR42" s="6">
        <f t="shared" si="27"/>
        <v>746170.93554590642</v>
      </c>
      <c r="AU42" s="92">
        <f t="shared" si="22"/>
        <v>1137.5615868382981</v>
      </c>
      <c r="AV42" s="92" t="e">
        <f t="shared" si="23"/>
        <v>#DIV/0!</v>
      </c>
      <c r="AW42" s="92" t="e">
        <f t="shared" si="24"/>
        <v>#DIV/0!</v>
      </c>
    </row>
    <row r="43" spans="1:49">
      <c r="A43" s="9">
        <v>42309</v>
      </c>
      <c r="B43" s="43"/>
      <c r="C43" s="43"/>
      <c r="D43" s="41"/>
      <c r="E43" s="41"/>
      <c r="F43" s="41">
        <v>17</v>
      </c>
      <c r="G43" s="41">
        <v>976.34</v>
      </c>
      <c r="H43" s="41"/>
      <c r="I43" s="41"/>
      <c r="J43" s="41"/>
      <c r="K43" s="41"/>
      <c r="L43" s="41"/>
      <c r="M43" s="41"/>
      <c r="N43" s="6">
        <f t="shared" si="25"/>
        <v>993.34</v>
      </c>
      <c r="O43" s="40"/>
      <c r="P43" s="9">
        <v>42309</v>
      </c>
      <c r="Q43" s="43"/>
      <c r="R43" s="43"/>
      <c r="S43" s="41"/>
      <c r="T43" s="41"/>
      <c r="U43" s="41">
        <v>1575793.9200000002</v>
      </c>
      <c r="V43" s="41">
        <v>64337183.360000007</v>
      </c>
      <c r="W43" s="41"/>
      <c r="X43" s="41"/>
      <c r="Y43" s="41"/>
      <c r="Z43" s="41"/>
      <c r="AA43" s="41"/>
      <c r="AB43" s="41"/>
      <c r="AC43" s="6">
        <f t="shared" si="26"/>
        <v>65912977.280000009</v>
      </c>
      <c r="AD43" s="40"/>
      <c r="AE43" s="9">
        <v>42309</v>
      </c>
      <c r="AF43" s="43"/>
      <c r="AG43" s="43"/>
      <c r="AH43" s="41"/>
      <c r="AI43" s="41"/>
      <c r="AJ43" s="41">
        <v>23625.09625187406</v>
      </c>
      <c r="AK43" s="41">
        <v>968287.79419889755</v>
      </c>
      <c r="AL43" s="41"/>
      <c r="AM43" s="41"/>
      <c r="AN43" s="41"/>
      <c r="AO43" s="41"/>
      <c r="AP43" s="41"/>
      <c r="AQ43" s="41"/>
      <c r="AR43" s="6">
        <f t="shared" si="27"/>
        <v>991912.89045077167</v>
      </c>
      <c r="AU43" s="92">
        <f t="shared" si="22"/>
        <v>991.75266218622357</v>
      </c>
      <c r="AV43" s="92" t="e">
        <f t="shared" si="23"/>
        <v>#DIV/0!</v>
      </c>
      <c r="AW43" s="92" t="e">
        <f t="shared" si="24"/>
        <v>#DIV/0!</v>
      </c>
    </row>
    <row r="44" spans="1:49">
      <c r="A44" s="9">
        <v>42339</v>
      </c>
      <c r="B44" s="43"/>
      <c r="C44" s="43"/>
      <c r="D44" s="41"/>
      <c r="E44" s="41"/>
      <c r="F44" s="41">
        <v>33.229999999999997</v>
      </c>
      <c r="G44" s="41">
        <v>888.41</v>
      </c>
      <c r="H44" s="41"/>
      <c r="I44" s="41"/>
      <c r="J44" s="41"/>
      <c r="K44" s="41"/>
      <c r="L44" s="41">
        <v>15</v>
      </c>
      <c r="M44" s="41"/>
      <c r="N44" s="6">
        <f t="shared" si="25"/>
        <v>936.64</v>
      </c>
      <c r="O44" s="40"/>
      <c r="P44" s="9">
        <v>42339</v>
      </c>
      <c r="Q44" s="43"/>
      <c r="R44" s="43"/>
      <c r="S44" s="41"/>
      <c r="T44" s="41"/>
      <c r="U44" s="41">
        <v>2868943.58</v>
      </c>
      <c r="V44" s="41">
        <v>70788963.829999998</v>
      </c>
      <c r="W44" s="41"/>
      <c r="X44" s="41"/>
      <c r="Y44" s="41"/>
      <c r="Z44" s="41"/>
      <c r="AA44" s="41">
        <v>1273546.8799999999</v>
      </c>
      <c r="AB44" s="41"/>
      <c r="AC44" s="6">
        <f t="shared" si="26"/>
        <v>74931454.289999992</v>
      </c>
      <c r="AD44" s="40"/>
      <c r="AE44" s="9">
        <v>42339</v>
      </c>
      <c r="AF44" s="43"/>
      <c r="AG44" s="43"/>
      <c r="AH44" s="41"/>
      <c r="AI44" s="41"/>
      <c r="AJ44" s="41">
        <v>42692.612797619047</v>
      </c>
      <c r="AK44" s="41">
        <v>1054009.2759836919</v>
      </c>
      <c r="AL44" s="41"/>
      <c r="AM44" s="41"/>
      <c r="AN44" s="41"/>
      <c r="AO44" s="41"/>
      <c r="AP44" s="41">
        <v>18937.500074349442</v>
      </c>
      <c r="AQ44" s="41"/>
      <c r="AR44" s="6">
        <f t="shared" si="27"/>
        <v>1115639.3888556603</v>
      </c>
      <c r="AU44" s="92">
        <f t="shared" si="22"/>
        <v>1186.3996082706092</v>
      </c>
      <c r="AV44" s="92" t="e">
        <f t="shared" si="23"/>
        <v>#DIV/0!</v>
      </c>
      <c r="AW44" s="92" t="e">
        <f t="shared" si="24"/>
        <v>#DIV/0!</v>
      </c>
    </row>
    <row r="45" spans="1:49">
      <c r="A45" s="9">
        <v>42370</v>
      </c>
      <c r="B45" s="43"/>
      <c r="C45" s="43"/>
      <c r="D45" s="41"/>
      <c r="E45" s="41"/>
      <c r="F45" s="41"/>
      <c r="G45" s="41">
        <v>393.8</v>
      </c>
      <c r="H45" s="41"/>
      <c r="I45" s="41">
        <v>19.649999999999999</v>
      </c>
      <c r="J45" s="41"/>
      <c r="K45" s="41"/>
      <c r="L45" s="41">
        <v>15</v>
      </c>
      <c r="M45" s="41"/>
      <c r="N45" s="6">
        <f t="shared" si="25"/>
        <v>428.45</v>
      </c>
      <c r="O45" s="40"/>
      <c r="P45" s="9">
        <v>42370</v>
      </c>
      <c r="Q45" s="43"/>
      <c r="R45" s="43"/>
      <c r="S45" s="41"/>
      <c r="T45" s="41"/>
      <c r="U45" s="41"/>
      <c r="V45" s="41">
        <v>28536840.370000005</v>
      </c>
      <c r="W45" s="41"/>
      <c r="X45" s="41">
        <v>1432351.67</v>
      </c>
      <c r="Y45" s="41"/>
      <c r="Z45" s="41"/>
      <c r="AA45" s="41">
        <v>1313099.74</v>
      </c>
      <c r="AB45" s="41"/>
      <c r="AC45" s="6">
        <f t="shared" si="26"/>
        <v>31282291.780000005</v>
      </c>
      <c r="AD45" s="40"/>
      <c r="AE45" s="9">
        <v>42370</v>
      </c>
      <c r="AF45" s="43"/>
      <c r="AG45" s="43"/>
      <c r="AH45" s="41"/>
      <c r="AI45" s="41"/>
      <c r="AJ45" s="41"/>
      <c r="AK45" s="41">
        <v>419521.94073181774</v>
      </c>
      <c r="AL45" s="41"/>
      <c r="AM45" s="41">
        <v>21235.754929577462</v>
      </c>
      <c r="AN45" s="41"/>
      <c r="AO45" s="41"/>
      <c r="AP45" s="41">
        <v>19467.750037064492</v>
      </c>
      <c r="AQ45" s="41"/>
      <c r="AR45" s="6">
        <f t="shared" si="27"/>
        <v>460225.44569845969</v>
      </c>
      <c r="AU45" s="92">
        <f t="shared" si="22"/>
        <v>1065.3172695069013</v>
      </c>
      <c r="AV45" s="92" t="e">
        <f t="shared" si="23"/>
        <v>#DIV/0!</v>
      </c>
      <c r="AW45" s="92">
        <f t="shared" si="24"/>
        <v>1080.699996416156</v>
      </c>
    </row>
    <row r="46" spans="1:49">
      <c r="A46" s="9">
        <v>42401</v>
      </c>
      <c r="B46" s="43"/>
      <c r="C46" s="43"/>
      <c r="D46" s="41"/>
      <c r="E46" s="41"/>
      <c r="F46" s="41">
        <v>72.61</v>
      </c>
      <c r="G46" s="41">
        <v>913.56000000000006</v>
      </c>
      <c r="H46" s="41"/>
      <c r="I46" s="41">
        <v>19.72</v>
      </c>
      <c r="J46" s="41"/>
      <c r="K46" s="41"/>
      <c r="L46" s="41">
        <v>15</v>
      </c>
      <c r="M46" s="41"/>
      <c r="N46" s="6">
        <f t="shared" si="25"/>
        <v>1020.8900000000001</v>
      </c>
      <c r="O46" s="40"/>
      <c r="P46" s="9">
        <v>42401</v>
      </c>
      <c r="Q46" s="43"/>
      <c r="R46" s="43"/>
      <c r="S46" s="41"/>
      <c r="T46" s="41"/>
      <c r="U46" s="41">
        <v>6324975.5599999996</v>
      </c>
      <c r="V46" s="41">
        <v>68713883.400000021</v>
      </c>
      <c r="W46" s="41"/>
      <c r="X46" s="41">
        <v>1457700.03</v>
      </c>
      <c r="Y46" s="41"/>
      <c r="Z46" s="41"/>
      <c r="AA46" s="41">
        <v>1313099.74</v>
      </c>
      <c r="AB46" s="41"/>
      <c r="AC46" s="6">
        <f t="shared" si="26"/>
        <v>77809658.730000019</v>
      </c>
      <c r="AD46" s="40"/>
      <c r="AE46" s="9">
        <v>42401</v>
      </c>
      <c r="AF46" s="43"/>
      <c r="AG46" s="43"/>
      <c r="AH46" s="41"/>
      <c r="AI46" s="41"/>
      <c r="AJ46" s="41">
        <v>92255.363039138145</v>
      </c>
      <c r="AK46" s="41">
        <v>1002291.7553647889</v>
      </c>
      <c r="AL46" s="41"/>
      <c r="AM46" s="41">
        <v>21311.403947368421</v>
      </c>
      <c r="AN46" s="41"/>
      <c r="AO46" s="41"/>
      <c r="AP46" s="41">
        <v>19183.341709276843</v>
      </c>
      <c r="AQ46" s="41"/>
      <c r="AR46" s="6">
        <f t="shared" si="27"/>
        <v>1135041.8640605723</v>
      </c>
      <c r="AU46" s="92">
        <f t="shared" si="22"/>
        <v>1097.127452345537</v>
      </c>
      <c r="AV46" s="92" t="e">
        <f t="shared" si="23"/>
        <v>#DIV/0!</v>
      </c>
      <c r="AW46" s="92">
        <f t="shared" si="24"/>
        <v>1080.6999973310558</v>
      </c>
    </row>
    <row r="47" spans="1:49">
      <c r="A47" s="9">
        <v>42430</v>
      </c>
      <c r="B47" s="43"/>
      <c r="C47" s="43"/>
      <c r="D47" s="41"/>
      <c r="E47" s="41"/>
      <c r="F47" s="41">
        <v>59.04</v>
      </c>
      <c r="G47" s="41">
        <v>423.84000000000003</v>
      </c>
      <c r="H47" s="41"/>
      <c r="I47" s="41"/>
      <c r="J47" s="41"/>
      <c r="K47" s="41"/>
      <c r="L47" s="41"/>
      <c r="M47" s="41"/>
      <c r="N47" s="6">
        <f t="shared" si="25"/>
        <v>482.88000000000005</v>
      </c>
      <c r="O47" s="40"/>
      <c r="P47" s="9">
        <v>42430</v>
      </c>
      <c r="Q47" s="43"/>
      <c r="R47" s="43"/>
      <c r="S47" s="41"/>
      <c r="T47" s="41"/>
      <c r="U47" s="41">
        <v>4906389.3099999996</v>
      </c>
      <c r="V47" s="41">
        <v>33654063.550000004</v>
      </c>
      <c r="W47" s="41"/>
      <c r="X47" s="41"/>
      <c r="Y47" s="41"/>
      <c r="Z47" s="41"/>
      <c r="AA47" s="41"/>
      <c r="AB47" s="41"/>
      <c r="AC47" s="6">
        <f t="shared" si="26"/>
        <v>38560452.860000007</v>
      </c>
      <c r="AD47" s="40"/>
      <c r="AE47" s="9">
        <v>42430</v>
      </c>
      <c r="AF47" s="43"/>
      <c r="AG47" s="43"/>
      <c r="AH47" s="41"/>
      <c r="AI47" s="41"/>
      <c r="AJ47" s="41">
        <v>72152.783970588236</v>
      </c>
      <c r="AK47" s="41">
        <v>496654.09081713401</v>
      </c>
      <c r="AL47" s="41"/>
      <c r="AM47" s="41"/>
      <c r="AN47" s="41"/>
      <c r="AO47" s="41"/>
      <c r="AP47" s="41"/>
      <c r="AQ47" s="41"/>
      <c r="AR47" s="6">
        <f t="shared" si="27"/>
        <v>568806.87478772225</v>
      </c>
      <c r="AU47" s="92">
        <f t="shared" si="22"/>
        <v>1171.7961750121131</v>
      </c>
      <c r="AV47" s="92" t="e">
        <f t="shared" si="23"/>
        <v>#DIV/0!</v>
      </c>
      <c r="AW47" s="92" t="e">
        <f t="shared" si="24"/>
        <v>#DIV/0!</v>
      </c>
    </row>
    <row r="48" spans="1:49">
      <c r="A48" s="128" t="s">
        <v>4</v>
      </c>
      <c r="B48" s="91">
        <f>SUM(B36:B47)</f>
        <v>0</v>
      </c>
      <c r="C48" s="91">
        <f t="shared" ref="C48:M48" si="28">SUM(C36:C47)</f>
        <v>0</v>
      </c>
      <c r="D48" s="91">
        <f t="shared" si="28"/>
        <v>6.8</v>
      </c>
      <c r="E48" s="91">
        <f t="shared" si="28"/>
        <v>0</v>
      </c>
      <c r="F48" s="91">
        <f t="shared" si="28"/>
        <v>557.28000000000009</v>
      </c>
      <c r="G48" s="91">
        <f t="shared" si="28"/>
        <v>10655.46</v>
      </c>
      <c r="H48" s="91">
        <f t="shared" si="28"/>
        <v>0</v>
      </c>
      <c r="I48" s="91">
        <f t="shared" si="28"/>
        <v>39.369999999999997</v>
      </c>
      <c r="J48" s="91">
        <f t="shared" si="28"/>
        <v>0</v>
      </c>
      <c r="K48" s="91">
        <f t="shared" si="28"/>
        <v>30</v>
      </c>
      <c r="L48" s="91">
        <f t="shared" si="28"/>
        <v>75</v>
      </c>
      <c r="M48" s="91">
        <f t="shared" si="28"/>
        <v>0</v>
      </c>
      <c r="N48" s="127">
        <f t="shared" si="25"/>
        <v>11363.91</v>
      </c>
      <c r="O48" s="40"/>
      <c r="P48" s="128" t="s">
        <v>4</v>
      </c>
      <c r="Q48" s="91">
        <f>SUM(Q36:Q47)</f>
        <v>0</v>
      </c>
      <c r="R48" s="91">
        <f t="shared" ref="R48:AB48" si="29">SUM(R36:R47)</f>
        <v>0</v>
      </c>
      <c r="S48" s="91">
        <f t="shared" si="29"/>
        <v>1657797.84</v>
      </c>
      <c r="T48" s="91">
        <f t="shared" si="29"/>
        <v>0</v>
      </c>
      <c r="U48" s="91">
        <f t="shared" si="29"/>
        <v>50375980.920000002</v>
      </c>
      <c r="V48" s="91">
        <f t="shared" si="29"/>
        <v>881270679.92000008</v>
      </c>
      <c r="W48" s="91">
        <f t="shared" si="29"/>
        <v>0</v>
      </c>
      <c r="X48" s="91">
        <f t="shared" si="29"/>
        <v>2890051.7</v>
      </c>
      <c r="Y48" s="91">
        <f t="shared" si="29"/>
        <v>0</v>
      </c>
      <c r="Z48" s="91">
        <f t="shared" si="29"/>
        <v>3291526.88</v>
      </c>
      <c r="AA48" s="91">
        <f t="shared" si="29"/>
        <v>6564851.04</v>
      </c>
      <c r="AB48" s="91">
        <f t="shared" si="29"/>
        <v>0</v>
      </c>
      <c r="AC48" s="127">
        <f t="shared" si="26"/>
        <v>946050888.30000007</v>
      </c>
      <c r="AD48" s="40"/>
      <c r="AE48" s="128" t="s">
        <v>4</v>
      </c>
      <c r="AF48" s="91">
        <f>SUM(AF36:AF47)</f>
        <v>0</v>
      </c>
      <c r="AG48" s="91">
        <f t="shared" ref="AG48:AQ48" si="30">SUM(AG36:AG47)</f>
        <v>0</v>
      </c>
      <c r="AH48" s="91">
        <f t="shared" si="30"/>
        <v>24724.800000000003</v>
      </c>
      <c r="AI48" s="91">
        <f t="shared" si="30"/>
        <v>0</v>
      </c>
      <c r="AJ48" s="91">
        <f t="shared" si="30"/>
        <v>768603.60836878931</v>
      </c>
      <c r="AK48" s="91">
        <f t="shared" si="30"/>
        <v>13493851.703286922</v>
      </c>
      <c r="AL48" s="91">
        <f t="shared" si="30"/>
        <v>0</v>
      </c>
      <c r="AM48" s="91">
        <f t="shared" si="30"/>
        <v>42547.158876945883</v>
      </c>
      <c r="AN48" s="91">
        <f t="shared" si="30"/>
        <v>0</v>
      </c>
      <c r="AO48" s="91">
        <f t="shared" si="30"/>
        <v>49237.50007479432</v>
      </c>
      <c r="AP48" s="91">
        <f t="shared" si="30"/>
        <v>97736.091895261983</v>
      </c>
      <c r="AQ48" s="91">
        <f t="shared" si="30"/>
        <v>0</v>
      </c>
      <c r="AR48" s="127">
        <f t="shared" si="27"/>
        <v>14476700.862502713</v>
      </c>
      <c r="AU48" s="40"/>
      <c r="AV48" s="40"/>
      <c r="AW48" s="40"/>
    </row>
    <row r="49" spans="1:49">
      <c r="A49" s="40"/>
      <c r="D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S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U49" s="40"/>
      <c r="AV49" s="40"/>
      <c r="AW49" s="40"/>
    </row>
    <row r="50" spans="1:49">
      <c r="A50" s="40"/>
      <c r="D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S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U50" s="40"/>
      <c r="AV50" s="40"/>
      <c r="AW50" s="40"/>
    </row>
    <row r="51" spans="1:49">
      <c r="A51" s="25" t="s">
        <v>3</v>
      </c>
      <c r="B51" s="161" t="s">
        <v>133</v>
      </c>
      <c r="C51" s="161" t="s">
        <v>19</v>
      </c>
      <c r="D51" s="161" t="s">
        <v>17</v>
      </c>
      <c r="E51" s="161" t="s">
        <v>134</v>
      </c>
      <c r="F51" s="161" t="s">
        <v>10</v>
      </c>
      <c r="G51" s="161" t="s">
        <v>11</v>
      </c>
      <c r="H51" s="161" t="s">
        <v>12</v>
      </c>
      <c r="I51" s="161" t="s">
        <v>13</v>
      </c>
      <c r="J51" s="161" t="s">
        <v>14</v>
      </c>
      <c r="K51" s="161" t="s">
        <v>18</v>
      </c>
      <c r="L51" s="161" t="s">
        <v>15</v>
      </c>
      <c r="M51" s="161" t="s">
        <v>16</v>
      </c>
      <c r="N51" s="27" t="s">
        <v>20</v>
      </c>
      <c r="O51" s="40"/>
      <c r="P51" s="25" t="s">
        <v>3</v>
      </c>
      <c r="Q51" s="161" t="s">
        <v>133</v>
      </c>
      <c r="R51" s="161" t="s">
        <v>19</v>
      </c>
      <c r="S51" s="161" t="s">
        <v>17</v>
      </c>
      <c r="T51" s="161" t="s">
        <v>134</v>
      </c>
      <c r="U51" s="161" t="s">
        <v>10</v>
      </c>
      <c r="V51" s="161" t="s">
        <v>11</v>
      </c>
      <c r="W51" s="161" t="s">
        <v>12</v>
      </c>
      <c r="X51" s="161" t="s">
        <v>13</v>
      </c>
      <c r="Y51" s="161" t="s">
        <v>14</v>
      </c>
      <c r="Z51" s="161" t="s">
        <v>18</v>
      </c>
      <c r="AA51" s="161" t="s">
        <v>15</v>
      </c>
      <c r="AB51" s="161" t="s">
        <v>16</v>
      </c>
      <c r="AC51" s="27" t="s">
        <v>20</v>
      </c>
      <c r="AD51" s="40"/>
      <c r="AE51" s="25" t="s">
        <v>3</v>
      </c>
      <c r="AF51" s="161" t="s">
        <v>133</v>
      </c>
      <c r="AG51" s="161" t="s">
        <v>19</v>
      </c>
      <c r="AH51" s="161" t="s">
        <v>17</v>
      </c>
      <c r="AI51" s="161" t="s">
        <v>134</v>
      </c>
      <c r="AJ51" s="161" t="s">
        <v>10</v>
      </c>
      <c r="AK51" s="161" t="s">
        <v>11</v>
      </c>
      <c r="AL51" s="161" t="s">
        <v>12</v>
      </c>
      <c r="AM51" s="161" t="s">
        <v>13</v>
      </c>
      <c r="AN51" s="161" t="s">
        <v>14</v>
      </c>
      <c r="AO51" s="161" t="s">
        <v>18</v>
      </c>
      <c r="AP51" s="161" t="s">
        <v>15</v>
      </c>
      <c r="AQ51" s="161" t="s">
        <v>16</v>
      </c>
      <c r="AR51" s="27" t="s">
        <v>20</v>
      </c>
      <c r="AU51" s="40"/>
      <c r="AV51" s="40"/>
      <c r="AW51" s="40"/>
    </row>
    <row r="52" spans="1:49">
      <c r="A52" s="9">
        <v>42095</v>
      </c>
      <c r="B52" s="43"/>
      <c r="C52" s="43"/>
      <c r="D52" s="41"/>
      <c r="E52" s="41"/>
      <c r="F52" s="41"/>
      <c r="G52" s="41">
        <v>79.960000000000008</v>
      </c>
      <c r="H52" s="41">
        <v>400.85</v>
      </c>
      <c r="I52" s="41">
        <v>99.259999999999991</v>
      </c>
      <c r="J52" s="41"/>
      <c r="K52" s="41"/>
      <c r="L52" s="41"/>
      <c r="M52" s="41"/>
      <c r="N52" s="6">
        <f>SUM(B52:M52)</f>
        <v>580.07000000000005</v>
      </c>
      <c r="O52" s="40"/>
      <c r="P52" s="9">
        <v>42095</v>
      </c>
      <c r="Q52" s="43"/>
      <c r="R52" s="43"/>
      <c r="S52" s="41"/>
      <c r="T52" s="41"/>
      <c r="U52" s="41"/>
      <c r="V52" s="41">
        <v>7346115.3100000005</v>
      </c>
      <c r="W52" s="41">
        <v>37107528.950000003</v>
      </c>
      <c r="X52" s="41">
        <v>9538963.7699999996</v>
      </c>
      <c r="Y52" s="41"/>
      <c r="Z52" s="41"/>
      <c r="AA52" s="41"/>
      <c r="AB52" s="41"/>
      <c r="AC52" s="6">
        <f>SUM(Q52:AB52)</f>
        <v>53992608.030000001</v>
      </c>
      <c r="AD52" s="40"/>
      <c r="AE52" s="9">
        <v>42095</v>
      </c>
      <c r="AF52" s="43"/>
      <c r="AG52" s="43"/>
      <c r="AH52" s="41"/>
      <c r="AI52" s="41"/>
      <c r="AJ52" s="41"/>
      <c r="AK52" s="41">
        <v>116697.62208101669</v>
      </c>
      <c r="AL52" s="41">
        <v>588769.49863638659</v>
      </c>
      <c r="AM52" s="41">
        <v>151172.16982762088</v>
      </c>
      <c r="AN52" s="41"/>
      <c r="AO52" s="41"/>
      <c r="AP52" s="41"/>
      <c r="AQ52" s="41"/>
      <c r="AR52" s="6">
        <f>SUM(AF52:AQ52)</f>
        <v>856639.29054502409</v>
      </c>
      <c r="AU52" s="92">
        <f t="shared" ref="AU52:AU63" si="31">+AK52/G52</f>
        <v>1459.4500010132151</v>
      </c>
      <c r="AV52" s="92">
        <f t="shared" ref="AV52:AV63" si="32">+AL52/H52</f>
        <v>1468.8025411909357</v>
      </c>
      <c r="AW52" s="92">
        <f t="shared" ref="AW52:AW63" si="33">+AM52/I52</f>
        <v>1522.9918378764951</v>
      </c>
    </row>
    <row r="53" spans="1:49">
      <c r="A53" s="9">
        <v>42125</v>
      </c>
      <c r="B53" s="43"/>
      <c r="C53" s="43"/>
      <c r="D53" s="41"/>
      <c r="E53" s="41"/>
      <c r="F53" s="41"/>
      <c r="G53" s="41">
        <v>99.99</v>
      </c>
      <c r="H53" s="41">
        <v>400.59</v>
      </c>
      <c r="I53" s="41">
        <v>95.76</v>
      </c>
      <c r="J53" s="41"/>
      <c r="K53" s="41"/>
      <c r="L53" s="41"/>
      <c r="M53" s="41"/>
      <c r="N53" s="6">
        <f t="shared" ref="N53:N64" si="34">SUM(B53:M53)</f>
        <v>596.34</v>
      </c>
      <c r="O53" s="40"/>
      <c r="P53" s="9">
        <v>42125</v>
      </c>
      <c r="Q53" s="43"/>
      <c r="R53" s="43"/>
      <c r="S53" s="41"/>
      <c r="T53" s="41"/>
      <c r="U53" s="41"/>
      <c r="V53" s="41">
        <v>8639700.0800000001</v>
      </c>
      <c r="W53" s="41">
        <v>35733438.159999996</v>
      </c>
      <c r="X53" s="41">
        <v>8705860.5299999993</v>
      </c>
      <c r="Y53" s="41"/>
      <c r="Z53" s="41"/>
      <c r="AA53" s="41"/>
      <c r="AB53" s="41"/>
      <c r="AC53" s="6">
        <f t="shared" ref="AC53:AC64" si="35">SUM(Q53:AB53)</f>
        <v>53078998.769999996</v>
      </c>
      <c r="AD53" s="40"/>
      <c r="AE53" s="9">
        <v>42125</v>
      </c>
      <c r="AF53" s="43"/>
      <c r="AG53" s="43"/>
      <c r="AH53" s="41"/>
      <c r="AI53" s="41"/>
      <c r="AJ53" s="41"/>
      <c r="AK53" s="41">
        <v>134365.47558320372</v>
      </c>
      <c r="AL53" s="41">
        <v>559752.8739457014</v>
      </c>
      <c r="AM53" s="41">
        <v>137116.20514931189</v>
      </c>
      <c r="AN53" s="41"/>
      <c r="AO53" s="41"/>
      <c r="AP53" s="41"/>
      <c r="AQ53" s="41"/>
      <c r="AR53" s="6">
        <f t="shared" ref="AR53:AR64" si="36">SUM(AF53:AQ53)</f>
        <v>831234.55467821704</v>
      </c>
      <c r="AU53" s="92">
        <f t="shared" si="31"/>
        <v>1343.7891347455118</v>
      </c>
      <c r="AV53" s="92">
        <f t="shared" si="32"/>
        <v>1397.3211361883757</v>
      </c>
      <c r="AW53" s="92">
        <f t="shared" si="33"/>
        <v>1431.8734873570581</v>
      </c>
    </row>
    <row r="54" spans="1:49">
      <c r="A54" s="9">
        <v>42156</v>
      </c>
      <c r="B54" s="43"/>
      <c r="C54" s="43"/>
      <c r="D54" s="41"/>
      <c r="E54" s="41"/>
      <c r="F54" s="41"/>
      <c r="G54" s="41">
        <v>780.24000000000012</v>
      </c>
      <c r="H54" s="41">
        <v>500.91999999999996</v>
      </c>
      <c r="I54" s="41">
        <v>99.5</v>
      </c>
      <c r="J54" s="41"/>
      <c r="K54" s="41"/>
      <c r="L54" s="41"/>
      <c r="M54" s="41"/>
      <c r="N54" s="6">
        <f t="shared" si="34"/>
        <v>1380.66</v>
      </c>
      <c r="O54" s="40"/>
      <c r="P54" s="9">
        <v>42156</v>
      </c>
      <c r="Q54" s="43"/>
      <c r="R54" s="43"/>
      <c r="S54" s="41"/>
      <c r="T54" s="41"/>
      <c r="U54" s="41"/>
      <c r="V54" s="41">
        <v>67728045.540000007</v>
      </c>
      <c r="W54" s="41">
        <v>43305763.660000011</v>
      </c>
      <c r="X54" s="41">
        <v>8915853.129999999</v>
      </c>
      <c r="Y54" s="41"/>
      <c r="Z54" s="41"/>
      <c r="AA54" s="41"/>
      <c r="AB54" s="41"/>
      <c r="AC54" s="6">
        <f t="shared" si="35"/>
        <v>119949662.33000001</v>
      </c>
      <c r="AD54" s="40"/>
      <c r="AE54" s="9">
        <v>42156</v>
      </c>
      <c r="AF54" s="43"/>
      <c r="AG54" s="43"/>
      <c r="AH54" s="41"/>
      <c r="AI54" s="41"/>
      <c r="AJ54" s="41"/>
      <c r="AK54" s="41">
        <v>1049233.7264591299</v>
      </c>
      <c r="AL54" s="41">
        <v>671203.91566440067</v>
      </c>
      <c r="AM54" s="41">
        <v>138449.66825034664</v>
      </c>
      <c r="AN54" s="41"/>
      <c r="AO54" s="41"/>
      <c r="AP54" s="41"/>
      <c r="AQ54" s="41"/>
      <c r="AR54" s="6">
        <f t="shared" si="36"/>
        <v>1858887.3103738772</v>
      </c>
      <c r="AU54" s="92">
        <f t="shared" si="31"/>
        <v>1344.7576725868064</v>
      </c>
      <c r="AV54" s="92">
        <f t="shared" si="32"/>
        <v>1339.942337427934</v>
      </c>
      <c r="AW54" s="92">
        <f t="shared" si="33"/>
        <v>1391.4539522647904</v>
      </c>
    </row>
    <row r="55" spans="1:49">
      <c r="A55" s="9">
        <v>42186</v>
      </c>
      <c r="B55" s="43"/>
      <c r="C55" s="43"/>
      <c r="D55" s="41"/>
      <c r="E55" s="41"/>
      <c r="F55" s="41"/>
      <c r="G55" s="41">
        <v>100.02</v>
      </c>
      <c r="H55" s="41">
        <v>260.51</v>
      </c>
      <c r="I55" s="41">
        <v>38.979999999999997</v>
      </c>
      <c r="J55" s="41"/>
      <c r="K55" s="41"/>
      <c r="L55" s="41"/>
      <c r="M55" s="41"/>
      <c r="N55" s="6">
        <f t="shared" si="34"/>
        <v>399.51</v>
      </c>
      <c r="O55" s="40"/>
      <c r="P55" s="9">
        <v>42186</v>
      </c>
      <c r="Q55" s="43"/>
      <c r="R55" s="43"/>
      <c r="S55" s="41"/>
      <c r="T55" s="41"/>
      <c r="U55" s="41"/>
      <c r="V55" s="41">
        <v>8597493.5199999996</v>
      </c>
      <c r="W55" s="41">
        <v>22256764.25</v>
      </c>
      <c r="X55" s="41">
        <v>3425729.46</v>
      </c>
      <c r="Y55" s="41"/>
      <c r="Z55" s="41"/>
      <c r="AA55" s="41"/>
      <c r="AB55" s="41"/>
      <c r="AC55" s="6">
        <f t="shared" si="35"/>
        <v>34279987.229999997</v>
      </c>
      <c r="AD55" s="40"/>
      <c r="AE55" s="9">
        <v>42186</v>
      </c>
      <c r="AF55" s="43"/>
      <c r="AG55" s="43"/>
      <c r="AH55" s="41"/>
      <c r="AI55" s="41"/>
      <c r="AJ55" s="41"/>
      <c r="AK55" s="41">
        <v>133813.12871595329</v>
      </c>
      <c r="AL55" s="41">
        <v>346907.07674754306</v>
      </c>
      <c r="AM55" s="41">
        <v>53443.517316692669</v>
      </c>
      <c r="AN55" s="41"/>
      <c r="AO55" s="41"/>
      <c r="AP55" s="41"/>
      <c r="AQ55" s="41"/>
      <c r="AR55" s="6">
        <f t="shared" si="36"/>
        <v>534163.72278018901</v>
      </c>
      <c r="AU55" s="92">
        <f t="shared" si="31"/>
        <v>1337.8637144166496</v>
      </c>
      <c r="AV55" s="92">
        <f t="shared" si="32"/>
        <v>1331.6459128154124</v>
      </c>
      <c r="AW55" s="92">
        <f t="shared" si="33"/>
        <v>1371.0497002743118</v>
      </c>
    </row>
    <row r="56" spans="1:49">
      <c r="A56" s="9">
        <v>42217</v>
      </c>
      <c r="B56" s="43"/>
      <c r="C56" s="43"/>
      <c r="D56" s="41"/>
      <c r="E56" s="41"/>
      <c r="F56" s="41"/>
      <c r="G56" s="41">
        <v>159.94999999999999</v>
      </c>
      <c r="H56" s="41">
        <v>540.91999999999996</v>
      </c>
      <c r="I56" s="41">
        <v>118.94</v>
      </c>
      <c r="J56" s="41"/>
      <c r="K56" s="41"/>
      <c r="L56" s="41"/>
      <c r="M56" s="41"/>
      <c r="N56" s="6">
        <f t="shared" si="34"/>
        <v>819.81</v>
      </c>
      <c r="O56" s="40"/>
      <c r="P56" s="9">
        <v>42217</v>
      </c>
      <c r="Q56" s="43"/>
      <c r="R56" s="43"/>
      <c r="S56" s="41"/>
      <c r="T56" s="41"/>
      <c r="U56" s="41"/>
      <c r="V56" s="41">
        <v>13250874.640000001</v>
      </c>
      <c r="W56" s="41">
        <v>45391707.329999998</v>
      </c>
      <c r="X56" s="41">
        <v>10602804.870000001</v>
      </c>
      <c r="Y56" s="41"/>
      <c r="Z56" s="41"/>
      <c r="AA56" s="41"/>
      <c r="AB56" s="41"/>
      <c r="AC56" s="6">
        <f t="shared" si="35"/>
        <v>69245386.840000004</v>
      </c>
      <c r="AD56" s="40"/>
      <c r="AE56" s="9">
        <v>42217</v>
      </c>
      <c r="AF56" s="43"/>
      <c r="AG56" s="43"/>
      <c r="AH56" s="41"/>
      <c r="AI56" s="41"/>
      <c r="AJ56" s="41"/>
      <c r="AK56" s="41">
        <v>203149.02671310946</v>
      </c>
      <c r="AL56" s="41">
        <v>700577.70875494205</v>
      </c>
      <c r="AM56" s="41">
        <v>163252.67866107496</v>
      </c>
      <c r="AN56" s="41"/>
      <c r="AO56" s="41"/>
      <c r="AP56" s="41"/>
      <c r="AQ56" s="41"/>
      <c r="AR56" s="6">
        <f t="shared" si="36"/>
        <v>1066979.4141291264</v>
      </c>
      <c r="AU56" s="92">
        <f t="shared" si="31"/>
        <v>1270.0783164308189</v>
      </c>
      <c r="AV56" s="92">
        <f t="shared" si="32"/>
        <v>1295.1595591860942</v>
      </c>
      <c r="AW56" s="92">
        <f t="shared" si="33"/>
        <v>1372.5632979743984</v>
      </c>
    </row>
    <row r="57" spans="1:49">
      <c r="A57" s="9">
        <v>42248</v>
      </c>
      <c r="B57" s="43"/>
      <c r="C57" s="43"/>
      <c r="D57" s="41"/>
      <c r="E57" s="41"/>
      <c r="F57" s="41"/>
      <c r="G57" s="41">
        <v>179.98999999999998</v>
      </c>
      <c r="H57" s="41">
        <v>100.19</v>
      </c>
      <c r="I57" s="41">
        <v>280.45</v>
      </c>
      <c r="J57" s="41"/>
      <c r="K57" s="41"/>
      <c r="L57" s="41"/>
      <c r="M57" s="41">
        <v>16</v>
      </c>
      <c r="N57" s="6">
        <f t="shared" si="34"/>
        <v>576.62999999999988</v>
      </c>
      <c r="O57" s="40"/>
      <c r="P57" s="9">
        <v>42248</v>
      </c>
      <c r="Q57" s="43"/>
      <c r="R57" s="43"/>
      <c r="S57" s="41"/>
      <c r="T57" s="41"/>
      <c r="U57" s="41"/>
      <c r="V57" s="41">
        <v>14598470.169999998</v>
      </c>
      <c r="W57" s="41">
        <v>8452040.6400000006</v>
      </c>
      <c r="X57" s="41">
        <v>22613637.27</v>
      </c>
      <c r="Y57" s="41"/>
      <c r="Z57" s="41"/>
      <c r="AA57" s="41"/>
      <c r="AB57" s="41">
        <v>1571115.6</v>
      </c>
      <c r="AC57" s="6">
        <f t="shared" si="35"/>
        <v>47235263.68</v>
      </c>
      <c r="AD57" s="40"/>
      <c r="AE57" s="9">
        <v>42248</v>
      </c>
      <c r="AF57" s="43"/>
      <c r="AG57" s="43"/>
      <c r="AH57" s="41"/>
      <c r="AI57" s="41"/>
      <c r="AJ57" s="41"/>
      <c r="AK57" s="41">
        <v>218839.94045519631</v>
      </c>
      <c r="AL57" s="41">
        <v>126055.78881431768</v>
      </c>
      <c r="AM57" s="41">
        <v>337644.94187550235</v>
      </c>
      <c r="AN57" s="41"/>
      <c r="AO57" s="41"/>
      <c r="AP57" s="41"/>
      <c r="AQ57" s="41">
        <v>23432.000000000004</v>
      </c>
      <c r="AR57" s="6">
        <f t="shared" si="36"/>
        <v>705972.67114501633</v>
      </c>
      <c r="AU57" s="92">
        <f t="shared" si="31"/>
        <v>1215.8449939174195</v>
      </c>
      <c r="AV57" s="92">
        <f t="shared" si="32"/>
        <v>1258.1673701399111</v>
      </c>
      <c r="AW57" s="92">
        <f t="shared" si="33"/>
        <v>1203.9398890194416</v>
      </c>
    </row>
    <row r="58" spans="1:49">
      <c r="A58" s="9">
        <v>42278</v>
      </c>
      <c r="B58" s="43"/>
      <c r="C58" s="43"/>
      <c r="D58" s="41"/>
      <c r="E58" s="41"/>
      <c r="F58" s="41"/>
      <c r="G58" s="41">
        <v>218.32999999999998</v>
      </c>
      <c r="H58" s="41">
        <v>300.46999999999997</v>
      </c>
      <c r="I58" s="41"/>
      <c r="J58" s="41"/>
      <c r="K58" s="41"/>
      <c r="L58" s="41"/>
      <c r="M58" s="41"/>
      <c r="N58" s="6">
        <f t="shared" si="34"/>
        <v>518.79999999999995</v>
      </c>
      <c r="O58" s="40"/>
      <c r="P58" s="9">
        <v>42278</v>
      </c>
      <c r="Q58" s="43"/>
      <c r="R58" s="43"/>
      <c r="S58" s="41"/>
      <c r="T58" s="41"/>
      <c r="U58" s="41"/>
      <c r="V58" s="41">
        <v>15851148.17</v>
      </c>
      <c r="W58" s="41">
        <v>23037275.559999999</v>
      </c>
      <c r="X58" s="41"/>
      <c r="Y58" s="41"/>
      <c r="Z58" s="41"/>
      <c r="AA58" s="41"/>
      <c r="AB58" s="41"/>
      <c r="AC58" s="6">
        <f t="shared" si="35"/>
        <v>38888423.729999997</v>
      </c>
      <c r="AD58" s="40"/>
      <c r="AE58" s="9">
        <v>42278</v>
      </c>
      <c r="AF58" s="43"/>
      <c r="AG58" s="43"/>
      <c r="AH58" s="41"/>
      <c r="AI58" s="41"/>
      <c r="AJ58" s="41"/>
      <c r="AK58" s="41">
        <v>240911.56615017337</v>
      </c>
      <c r="AL58" s="41">
        <v>349628.77601195028</v>
      </c>
      <c r="AM58" s="41"/>
      <c r="AN58" s="41"/>
      <c r="AO58" s="41"/>
      <c r="AP58" s="41"/>
      <c r="AQ58" s="41"/>
      <c r="AR58" s="6">
        <f t="shared" si="36"/>
        <v>590540.34216212365</v>
      </c>
      <c r="AU58" s="92">
        <f t="shared" si="31"/>
        <v>1103.4285995977345</v>
      </c>
      <c r="AV58" s="92">
        <f t="shared" si="32"/>
        <v>1163.6062702164952</v>
      </c>
      <c r="AW58" s="92" t="e">
        <f t="shared" si="33"/>
        <v>#DIV/0!</v>
      </c>
    </row>
    <row r="59" spans="1:49">
      <c r="A59" s="9">
        <v>42309</v>
      </c>
      <c r="B59" s="43"/>
      <c r="C59" s="43"/>
      <c r="D59" s="41"/>
      <c r="E59" s="41"/>
      <c r="F59" s="41"/>
      <c r="G59" s="41">
        <v>340.45</v>
      </c>
      <c r="H59" s="41">
        <v>200.36</v>
      </c>
      <c r="I59" s="41"/>
      <c r="J59" s="41"/>
      <c r="K59" s="41"/>
      <c r="L59" s="41"/>
      <c r="M59" s="41"/>
      <c r="N59" s="6">
        <f t="shared" si="34"/>
        <v>540.80999999999995</v>
      </c>
      <c r="O59" s="40"/>
      <c r="P59" s="9">
        <v>42309</v>
      </c>
      <c r="Q59" s="43"/>
      <c r="R59" s="43"/>
      <c r="S59" s="41"/>
      <c r="T59" s="41"/>
      <c r="U59" s="41"/>
      <c r="V59" s="41">
        <v>24369050.259999998</v>
      </c>
      <c r="W59" s="41">
        <v>15007047.57</v>
      </c>
      <c r="X59" s="41"/>
      <c r="Y59" s="41"/>
      <c r="Z59" s="41"/>
      <c r="AA59" s="41"/>
      <c r="AB59" s="41"/>
      <c r="AC59" s="6">
        <f t="shared" si="35"/>
        <v>39376097.829999998</v>
      </c>
      <c r="AD59" s="40"/>
      <c r="AE59" s="9">
        <v>42309</v>
      </c>
      <c r="AF59" s="43"/>
      <c r="AG59" s="43"/>
      <c r="AH59" s="41"/>
      <c r="AI59" s="41"/>
      <c r="AJ59" s="41"/>
      <c r="AK59" s="41">
        <v>370036.42369359039</v>
      </c>
      <c r="AL59" s="41">
        <v>225842.54995289363</v>
      </c>
      <c r="AM59" s="41"/>
      <c r="AN59" s="41"/>
      <c r="AO59" s="41"/>
      <c r="AP59" s="41"/>
      <c r="AQ59" s="41"/>
      <c r="AR59" s="6">
        <f t="shared" si="36"/>
        <v>595878.97364648408</v>
      </c>
      <c r="AU59" s="92">
        <f t="shared" si="31"/>
        <v>1086.9038733840223</v>
      </c>
      <c r="AV59" s="92">
        <f t="shared" si="32"/>
        <v>1127.1838188904653</v>
      </c>
      <c r="AW59" s="92" t="e">
        <f t="shared" si="33"/>
        <v>#DIV/0!</v>
      </c>
    </row>
    <row r="60" spans="1:49">
      <c r="A60" s="9">
        <v>42339</v>
      </c>
      <c r="B60" s="43"/>
      <c r="C60" s="43"/>
      <c r="D60" s="41"/>
      <c r="E60" s="41"/>
      <c r="F60" s="41"/>
      <c r="G60" s="41">
        <v>20.04</v>
      </c>
      <c r="H60" s="41">
        <v>600.94000000000005</v>
      </c>
      <c r="I60" s="41"/>
      <c r="J60" s="41"/>
      <c r="K60" s="41"/>
      <c r="L60" s="41"/>
      <c r="M60" s="41"/>
      <c r="N60" s="6">
        <f t="shared" si="34"/>
        <v>620.98</v>
      </c>
      <c r="O60" s="40"/>
      <c r="P60" s="9">
        <v>42339</v>
      </c>
      <c r="Q60" s="43"/>
      <c r="R60" s="43"/>
      <c r="S60" s="41"/>
      <c r="T60" s="41"/>
      <c r="U60" s="41"/>
      <c r="V60" s="41">
        <v>1394158.75</v>
      </c>
      <c r="W60" s="41">
        <v>45594249.129999995</v>
      </c>
      <c r="X60" s="41"/>
      <c r="Y60" s="41"/>
      <c r="Z60" s="41"/>
      <c r="AA60" s="41"/>
      <c r="AB60" s="41"/>
      <c r="AC60" s="6">
        <f t="shared" si="35"/>
        <v>46988407.879999995</v>
      </c>
      <c r="AD60" s="40"/>
      <c r="AE60" s="9">
        <v>42339</v>
      </c>
      <c r="AF60" s="43"/>
      <c r="AG60" s="43"/>
      <c r="AH60" s="41"/>
      <c r="AI60" s="41"/>
      <c r="AJ60" s="41"/>
      <c r="AK60" s="41">
        <v>20746.409970238095</v>
      </c>
      <c r="AL60" s="41">
        <v>678149.99023012922</v>
      </c>
      <c r="AM60" s="41"/>
      <c r="AN60" s="41"/>
      <c r="AO60" s="41"/>
      <c r="AP60" s="41"/>
      <c r="AQ60" s="41"/>
      <c r="AR60" s="6">
        <f t="shared" si="36"/>
        <v>698896.40020036732</v>
      </c>
      <c r="AU60" s="92">
        <f t="shared" si="31"/>
        <v>1035.249998514875</v>
      </c>
      <c r="AV60" s="92">
        <f t="shared" si="32"/>
        <v>1128.4820285388378</v>
      </c>
      <c r="AW60" s="92" t="e">
        <f t="shared" si="33"/>
        <v>#DIV/0!</v>
      </c>
    </row>
    <row r="61" spans="1:49">
      <c r="A61" s="9">
        <v>42370</v>
      </c>
      <c r="B61" s="43"/>
      <c r="C61" s="43"/>
      <c r="D61" s="41"/>
      <c r="E61" s="41"/>
      <c r="F61" s="41"/>
      <c r="G61" s="41"/>
      <c r="H61" s="41">
        <v>400.62</v>
      </c>
      <c r="I61" s="41"/>
      <c r="J61" s="41"/>
      <c r="K61" s="41"/>
      <c r="L61" s="41"/>
      <c r="M61" s="41"/>
      <c r="N61" s="6">
        <f t="shared" si="34"/>
        <v>400.62</v>
      </c>
      <c r="O61" s="40"/>
      <c r="P61" s="9">
        <v>42370</v>
      </c>
      <c r="Q61" s="43"/>
      <c r="R61" s="43"/>
      <c r="S61" s="41"/>
      <c r="T61" s="41"/>
      <c r="U61" s="41"/>
      <c r="V61" s="41"/>
      <c r="W61" s="41">
        <v>31339685.789999999</v>
      </c>
      <c r="X61" s="41"/>
      <c r="Y61" s="41"/>
      <c r="Z61" s="41"/>
      <c r="AA61" s="41"/>
      <c r="AB61" s="41"/>
      <c r="AC61" s="6">
        <f t="shared" si="35"/>
        <v>31339685.789999999</v>
      </c>
      <c r="AD61" s="40"/>
      <c r="AE61" s="9">
        <v>42370</v>
      </c>
      <c r="AF61" s="43"/>
      <c r="AG61" s="43"/>
      <c r="AH61" s="41"/>
      <c r="AI61" s="41"/>
      <c r="AJ61" s="41"/>
      <c r="AK61" s="41"/>
      <c r="AL61" s="41">
        <v>461744.7717960173</v>
      </c>
      <c r="AM61" s="41"/>
      <c r="AN61" s="41"/>
      <c r="AO61" s="41"/>
      <c r="AP61" s="41"/>
      <c r="AQ61" s="41"/>
      <c r="AR61" s="6">
        <f t="shared" si="36"/>
        <v>461744.7717960173</v>
      </c>
      <c r="AU61" s="92" t="e">
        <f t="shared" si="31"/>
        <v>#DIV/0!</v>
      </c>
      <c r="AV61" s="92">
        <f t="shared" si="32"/>
        <v>1152.5754375618224</v>
      </c>
      <c r="AW61" s="92" t="e">
        <f t="shared" si="33"/>
        <v>#DIV/0!</v>
      </c>
    </row>
    <row r="62" spans="1:49">
      <c r="A62" s="9">
        <v>42401</v>
      </c>
      <c r="B62" s="43"/>
      <c r="C62" s="43"/>
      <c r="D62" s="41"/>
      <c r="E62" s="41"/>
      <c r="F62" s="41"/>
      <c r="G62" s="41"/>
      <c r="H62" s="41">
        <v>300.46000000000004</v>
      </c>
      <c r="I62" s="41"/>
      <c r="J62" s="41"/>
      <c r="K62" s="41"/>
      <c r="L62" s="41"/>
      <c r="M62" s="41"/>
      <c r="N62" s="6">
        <f t="shared" si="34"/>
        <v>300.46000000000004</v>
      </c>
      <c r="O62" s="40"/>
      <c r="P62" s="9">
        <v>42401</v>
      </c>
      <c r="Q62" s="43"/>
      <c r="R62" s="43"/>
      <c r="S62" s="41"/>
      <c r="T62" s="41"/>
      <c r="U62" s="41"/>
      <c r="V62" s="41"/>
      <c r="W62" s="41">
        <v>24981029.32</v>
      </c>
      <c r="X62" s="41"/>
      <c r="Y62" s="41"/>
      <c r="Z62" s="41"/>
      <c r="AA62" s="41"/>
      <c r="AB62" s="41"/>
      <c r="AC62" s="6">
        <f t="shared" si="35"/>
        <v>24981029.32</v>
      </c>
      <c r="AD62" s="40"/>
      <c r="AE62" s="9">
        <v>42401</v>
      </c>
      <c r="AF62" s="43"/>
      <c r="AG62" s="43"/>
      <c r="AH62" s="41"/>
      <c r="AI62" s="41"/>
      <c r="AJ62" s="41"/>
      <c r="AK62" s="41"/>
      <c r="AL62" s="41">
        <v>364058.88464269688</v>
      </c>
      <c r="AM62" s="41"/>
      <c r="AN62" s="41"/>
      <c r="AO62" s="41"/>
      <c r="AP62" s="41"/>
      <c r="AQ62" s="41"/>
      <c r="AR62" s="6">
        <f t="shared" si="36"/>
        <v>364058.88464269688</v>
      </c>
      <c r="AU62" s="92" t="e">
        <f t="shared" si="31"/>
        <v>#DIV/0!</v>
      </c>
      <c r="AV62" s="92">
        <f t="shared" si="32"/>
        <v>1211.6717188401012</v>
      </c>
      <c r="AW62" s="92" t="e">
        <f t="shared" si="33"/>
        <v>#DIV/0!</v>
      </c>
    </row>
    <row r="63" spans="1:49">
      <c r="A63" s="9">
        <v>42430</v>
      </c>
      <c r="B63" s="43"/>
      <c r="C63" s="43"/>
      <c r="D63" s="41"/>
      <c r="E63" s="41"/>
      <c r="F63" s="41"/>
      <c r="G63" s="41"/>
      <c r="H63" s="41">
        <v>500.59000000000003</v>
      </c>
      <c r="I63" s="41"/>
      <c r="J63" s="41"/>
      <c r="K63" s="41"/>
      <c r="L63" s="41"/>
      <c r="M63" s="41"/>
      <c r="N63" s="6">
        <f t="shared" si="34"/>
        <v>500.59000000000003</v>
      </c>
      <c r="O63" s="40"/>
      <c r="P63" s="9">
        <v>42430</v>
      </c>
      <c r="Q63" s="43"/>
      <c r="R63" s="43"/>
      <c r="S63" s="41"/>
      <c r="T63" s="41"/>
      <c r="U63" s="41"/>
      <c r="V63" s="41"/>
      <c r="W63" s="41">
        <v>43608324.219999999</v>
      </c>
      <c r="X63" s="41"/>
      <c r="Y63" s="41"/>
      <c r="Z63" s="41"/>
      <c r="AA63" s="41"/>
      <c r="AB63" s="41"/>
      <c r="AC63" s="6">
        <f t="shared" si="35"/>
        <v>43608324.219999999</v>
      </c>
      <c r="AD63" s="40"/>
      <c r="AE63" s="9">
        <v>42430</v>
      </c>
      <c r="AF63" s="43"/>
      <c r="AG63" s="43"/>
      <c r="AH63" s="41"/>
      <c r="AI63" s="41"/>
      <c r="AJ63" s="41"/>
      <c r="AK63" s="41"/>
      <c r="AL63" s="41">
        <v>643388.928787446</v>
      </c>
      <c r="AM63" s="41"/>
      <c r="AN63" s="41"/>
      <c r="AO63" s="41"/>
      <c r="AP63" s="41"/>
      <c r="AQ63" s="41"/>
      <c r="AR63" s="6">
        <f t="shared" si="36"/>
        <v>643388.928787446</v>
      </c>
      <c r="AU63" s="92" t="e">
        <f t="shared" si="31"/>
        <v>#DIV/0!</v>
      </c>
      <c r="AV63" s="92">
        <f t="shared" si="32"/>
        <v>1285.2612493007171</v>
      </c>
      <c r="AW63" s="92" t="e">
        <f t="shared" si="33"/>
        <v>#DIV/0!</v>
      </c>
    </row>
    <row r="64" spans="1:49">
      <c r="A64" s="128" t="s">
        <v>4</v>
      </c>
      <c r="B64" s="91">
        <f>SUM(B52:B63)</f>
        <v>0</v>
      </c>
      <c r="C64" s="91">
        <f t="shared" ref="C64:M64" si="37">SUM(C52:C63)</f>
        <v>0</v>
      </c>
      <c r="D64" s="91">
        <f t="shared" si="37"/>
        <v>0</v>
      </c>
      <c r="E64" s="91">
        <f t="shared" si="37"/>
        <v>0</v>
      </c>
      <c r="F64" s="91">
        <f t="shared" si="37"/>
        <v>0</v>
      </c>
      <c r="G64" s="91">
        <f t="shared" si="37"/>
        <v>1978.97</v>
      </c>
      <c r="H64" s="91">
        <f t="shared" si="37"/>
        <v>4507.42</v>
      </c>
      <c r="I64" s="91">
        <f t="shared" si="37"/>
        <v>732.89</v>
      </c>
      <c r="J64" s="91">
        <f t="shared" si="37"/>
        <v>0</v>
      </c>
      <c r="K64" s="91">
        <f t="shared" si="37"/>
        <v>0</v>
      </c>
      <c r="L64" s="91">
        <f t="shared" si="37"/>
        <v>0</v>
      </c>
      <c r="M64" s="91">
        <f t="shared" si="37"/>
        <v>16</v>
      </c>
      <c r="N64" s="127">
        <f t="shared" si="34"/>
        <v>7235.2800000000007</v>
      </c>
      <c r="O64" s="40"/>
      <c r="P64" s="128" t="s">
        <v>4</v>
      </c>
      <c r="Q64" s="91">
        <f>SUM(Q52:Q63)</f>
        <v>0</v>
      </c>
      <c r="R64" s="91">
        <f t="shared" ref="R64:AB64" si="38">SUM(R52:R63)</f>
        <v>0</v>
      </c>
      <c r="S64" s="91">
        <f t="shared" si="38"/>
        <v>0</v>
      </c>
      <c r="T64" s="91">
        <f t="shared" si="38"/>
        <v>0</v>
      </c>
      <c r="U64" s="91">
        <f t="shared" si="38"/>
        <v>0</v>
      </c>
      <c r="V64" s="91">
        <f t="shared" si="38"/>
        <v>161775056.44</v>
      </c>
      <c r="W64" s="91">
        <f t="shared" si="38"/>
        <v>375814854.58000004</v>
      </c>
      <c r="X64" s="91">
        <f t="shared" si="38"/>
        <v>63802849.030000001</v>
      </c>
      <c r="Y64" s="91">
        <f t="shared" si="38"/>
        <v>0</v>
      </c>
      <c r="Z64" s="91">
        <f t="shared" si="38"/>
        <v>0</v>
      </c>
      <c r="AA64" s="91">
        <f t="shared" si="38"/>
        <v>0</v>
      </c>
      <c r="AB64" s="91">
        <f t="shared" si="38"/>
        <v>1571115.6</v>
      </c>
      <c r="AC64" s="127">
        <f t="shared" si="35"/>
        <v>602963875.64999998</v>
      </c>
      <c r="AD64" s="40"/>
      <c r="AE64" s="128" t="s">
        <v>4</v>
      </c>
      <c r="AF64" s="91">
        <f>SUM(AF52:AF63)</f>
        <v>0</v>
      </c>
      <c r="AG64" s="91">
        <f t="shared" ref="AG64:AQ64" si="39">SUM(AG52:AG63)</f>
        <v>0</v>
      </c>
      <c r="AH64" s="91">
        <f t="shared" si="39"/>
        <v>0</v>
      </c>
      <c r="AI64" s="91">
        <f t="shared" si="39"/>
        <v>0</v>
      </c>
      <c r="AJ64" s="91">
        <f t="shared" si="39"/>
        <v>0</v>
      </c>
      <c r="AK64" s="91">
        <f t="shared" si="39"/>
        <v>2487793.3198216115</v>
      </c>
      <c r="AL64" s="91">
        <f t="shared" si="39"/>
        <v>5716080.763984425</v>
      </c>
      <c r="AM64" s="91">
        <f t="shared" si="39"/>
        <v>981079.18108054937</v>
      </c>
      <c r="AN64" s="91">
        <f t="shared" si="39"/>
        <v>0</v>
      </c>
      <c r="AO64" s="91">
        <f t="shared" si="39"/>
        <v>0</v>
      </c>
      <c r="AP64" s="91">
        <f t="shared" si="39"/>
        <v>0</v>
      </c>
      <c r="AQ64" s="91">
        <f t="shared" si="39"/>
        <v>23432.000000000004</v>
      </c>
      <c r="AR64" s="127">
        <f t="shared" si="36"/>
        <v>9208385.264886586</v>
      </c>
      <c r="AU64" s="40"/>
      <c r="AV64" s="40"/>
      <c r="AW64" s="40"/>
    </row>
    <row r="65" spans="1:49">
      <c r="A65" s="29"/>
      <c r="B65" s="29"/>
      <c r="C65" s="29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40"/>
      <c r="P65" s="29"/>
      <c r="Q65" s="29"/>
      <c r="R65" s="29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40"/>
      <c r="AE65" s="29"/>
      <c r="AF65" s="29"/>
      <c r="AG65" s="29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U65" s="40"/>
      <c r="AV65" s="40"/>
      <c r="AW65" s="40"/>
    </row>
    <row r="66" spans="1:49">
      <c r="A66" s="40"/>
      <c r="D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S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U66" s="40"/>
      <c r="AV66" s="40"/>
      <c r="AW66" s="40"/>
    </row>
    <row r="67" spans="1:49" s="40" customFormat="1">
      <c r="A67" s="25" t="s">
        <v>108</v>
      </c>
      <c r="B67" s="161" t="s">
        <v>133</v>
      </c>
      <c r="C67" s="161" t="s">
        <v>19</v>
      </c>
      <c r="D67" s="161" t="s">
        <v>17</v>
      </c>
      <c r="E67" s="161" t="s">
        <v>134</v>
      </c>
      <c r="F67" s="161" t="s">
        <v>10</v>
      </c>
      <c r="G67" s="161" t="s">
        <v>11</v>
      </c>
      <c r="H67" s="161" t="s">
        <v>12</v>
      </c>
      <c r="I67" s="161" t="s">
        <v>13</v>
      </c>
      <c r="J67" s="161" t="s">
        <v>14</v>
      </c>
      <c r="K67" s="161" t="s">
        <v>18</v>
      </c>
      <c r="L67" s="161" t="s">
        <v>15</v>
      </c>
      <c r="M67" s="161" t="s">
        <v>16</v>
      </c>
      <c r="N67" s="27" t="s">
        <v>20</v>
      </c>
      <c r="P67" s="25" t="s">
        <v>108</v>
      </c>
      <c r="Q67" s="161" t="s">
        <v>133</v>
      </c>
      <c r="R67" s="161" t="s">
        <v>19</v>
      </c>
      <c r="S67" s="161" t="s">
        <v>17</v>
      </c>
      <c r="T67" s="161" t="s">
        <v>134</v>
      </c>
      <c r="U67" s="161" t="s">
        <v>10</v>
      </c>
      <c r="V67" s="161" t="s">
        <v>11</v>
      </c>
      <c r="W67" s="161" t="s">
        <v>12</v>
      </c>
      <c r="X67" s="161" t="s">
        <v>13</v>
      </c>
      <c r="Y67" s="161" t="s">
        <v>14</v>
      </c>
      <c r="Z67" s="161" t="s">
        <v>18</v>
      </c>
      <c r="AA67" s="161" t="s">
        <v>15</v>
      </c>
      <c r="AB67" s="161" t="s">
        <v>16</v>
      </c>
      <c r="AC67" s="27" t="s">
        <v>20</v>
      </c>
      <c r="AE67" s="25" t="s">
        <v>108</v>
      </c>
      <c r="AF67" s="161" t="s">
        <v>133</v>
      </c>
      <c r="AG67" s="161" t="s">
        <v>19</v>
      </c>
      <c r="AH67" s="161" t="s">
        <v>17</v>
      </c>
      <c r="AI67" s="161" t="s">
        <v>134</v>
      </c>
      <c r="AJ67" s="161" t="s">
        <v>10</v>
      </c>
      <c r="AK67" s="161" t="s">
        <v>11</v>
      </c>
      <c r="AL67" s="161" t="s">
        <v>12</v>
      </c>
      <c r="AM67" s="161" t="s">
        <v>13</v>
      </c>
      <c r="AN67" s="161" t="s">
        <v>14</v>
      </c>
      <c r="AO67" s="161" t="s">
        <v>18</v>
      </c>
      <c r="AP67" s="161" t="s">
        <v>15</v>
      </c>
      <c r="AQ67" s="161" t="s">
        <v>16</v>
      </c>
      <c r="AR67" s="27" t="s">
        <v>20</v>
      </c>
    </row>
    <row r="68" spans="1:49" s="40" customFormat="1">
      <c r="A68" s="9">
        <v>42095</v>
      </c>
      <c r="B68" s="43"/>
      <c r="C68" s="43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6">
        <f>SUM(B68:M68)</f>
        <v>0</v>
      </c>
      <c r="P68" s="9">
        <v>42095</v>
      </c>
      <c r="Q68" s="43"/>
      <c r="R68" s="43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6">
        <f>SUM(Q68:AB68)</f>
        <v>0</v>
      </c>
      <c r="AE68" s="9">
        <v>42095</v>
      </c>
      <c r="AF68" s="43"/>
      <c r="AG68" s="43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6">
        <f>SUM(AF68:AQ68)</f>
        <v>0</v>
      </c>
      <c r="AU68" s="92" t="e">
        <f t="shared" ref="AU68:AU79" si="40">+AK68/G68</f>
        <v>#DIV/0!</v>
      </c>
      <c r="AV68" s="92" t="e">
        <f t="shared" ref="AV68:AV79" si="41">+AL68/H68</f>
        <v>#DIV/0!</v>
      </c>
      <c r="AW68" s="92" t="e">
        <f t="shared" ref="AW68:AW79" si="42">+AM68/I68</f>
        <v>#DIV/0!</v>
      </c>
    </row>
    <row r="69" spans="1:49" s="40" customFormat="1">
      <c r="A69" s="9">
        <v>42125</v>
      </c>
      <c r="B69" s="43"/>
      <c r="C69" s="43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6">
        <f t="shared" ref="N69:N80" si="43">SUM(B69:M69)</f>
        <v>0</v>
      </c>
      <c r="P69" s="9">
        <v>42125</v>
      </c>
      <c r="Q69" s="43"/>
      <c r="R69" s="43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6">
        <f t="shared" ref="AC69:AC80" si="44">SUM(Q69:AB69)</f>
        <v>0</v>
      </c>
      <c r="AE69" s="9">
        <v>42125</v>
      </c>
      <c r="AF69" s="43"/>
      <c r="AG69" s="43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6">
        <f t="shared" ref="AR69:AR80" si="45">SUM(AF69:AQ69)</f>
        <v>0</v>
      </c>
      <c r="AU69" s="92" t="e">
        <f t="shared" si="40"/>
        <v>#DIV/0!</v>
      </c>
      <c r="AV69" s="92" t="e">
        <f t="shared" si="41"/>
        <v>#DIV/0!</v>
      </c>
      <c r="AW69" s="92" t="e">
        <f t="shared" si="42"/>
        <v>#DIV/0!</v>
      </c>
    </row>
    <row r="70" spans="1:49" s="40" customFormat="1">
      <c r="A70" s="9">
        <v>42156</v>
      </c>
      <c r="B70" s="43"/>
      <c r="C70" s="43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6">
        <f t="shared" si="43"/>
        <v>0</v>
      </c>
      <c r="P70" s="9">
        <v>42156</v>
      </c>
      <c r="Q70" s="43"/>
      <c r="R70" s="43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6">
        <f t="shared" si="44"/>
        <v>0</v>
      </c>
      <c r="AE70" s="9">
        <v>42156</v>
      </c>
      <c r="AF70" s="43"/>
      <c r="AG70" s="43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6">
        <f t="shared" si="45"/>
        <v>0</v>
      </c>
      <c r="AU70" s="92" t="e">
        <f t="shared" si="40"/>
        <v>#DIV/0!</v>
      </c>
      <c r="AV70" s="92" t="e">
        <f t="shared" si="41"/>
        <v>#DIV/0!</v>
      </c>
      <c r="AW70" s="92" t="e">
        <f t="shared" si="42"/>
        <v>#DIV/0!</v>
      </c>
    </row>
    <row r="71" spans="1:49" s="40" customFormat="1">
      <c r="A71" s="9">
        <v>42186</v>
      </c>
      <c r="B71" s="43"/>
      <c r="C71" s="43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6">
        <f t="shared" si="43"/>
        <v>0</v>
      </c>
      <c r="P71" s="9">
        <v>42186</v>
      </c>
      <c r="Q71" s="43"/>
      <c r="R71" s="43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6">
        <f t="shared" si="44"/>
        <v>0</v>
      </c>
      <c r="AE71" s="9">
        <v>42186</v>
      </c>
      <c r="AF71" s="43"/>
      <c r="AG71" s="43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6">
        <f t="shared" si="45"/>
        <v>0</v>
      </c>
      <c r="AU71" s="92" t="e">
        <f t="shared" si="40"/>
        <v>#DIV/0!</v>
      </c>
      <c r="AV71" s="92" t="e">
        <f t="shared" si="41"/>
        <v>#DIV/0!</v>
      </c>
      <c r="AW71" s="92" t="e">
        <f t="shared" si="42"/>
        <v>#DIV/0!</v>
      </c>
    </row>
    <row r="72" spans="1:49" s="40" customFormat="1">
      <c r="A72" s="9">
        <v>42217</v>
      </c>
      <c r="B72" s="43"/>
      <c r="C72" s="43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6">
        <f t="shared" si="43"/>
        <v>0</v>
      </c>
      <c r="P72" s="9">
        <v>42217</v>
      </c>
      <c r="Q72" s="43"/>
      <c r="R72" s="43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6">
        <f t="shared" si="44"/>
        <v>0</v>
      </c>
      <c r="AE72" s="9">
        <v>42217</v>
      </c>
      <c r="AF72" s="43"/>
      <c r="AG72" s="43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6">
        <f t="shared" si="45"/>
        <v>0</v>
      </c>
      <c r="AU72" s="92" t="e">
        <f t="shared" si="40"/>
        <v>#DIV/0!</v>
      </c>
      <c r="AV72" s="92" t="e">
        <f t="shared" si="41"/>
        <v>#DIV/0!</v>
      </c>
      <c r="AW72" s="92" t="e">
        <f t="shared" si="42"/>
        <v>#DIV/0!</v>
      </c>
    </row>
    <row r="73" spans="1:49" s="40" customFormat="1">
      <c r="A73" s="9">
        <v>42248</v>
      </c>
      <c r="B73" s="43"/>
      <c r="C73" s="43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6">
        <f t="shared" si="43"/>
        <v>0</v>
      </c>
      <c r="P73" s="9">
        <v>42248</v>
      </c>
      <c r="Q73" s="43"/>
      <c r="R73" s="43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6">
        <f t="shared" si="44"/>
        <v>0</v>
      </c>
      <c r="AE73" s="9">
        <v>42248</v>
      </c>
      <c r="AF73" s="43"/>
      <c r="AG73" s="43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6">
        <f t="shared" si="45"/>
        <v>0</v>
      </c>
      <c r="AU73" s="92" t="e">
        <f t="shared" si="40"/>
        <v>#DIV/0!</v>
      </c>
      <c r="AV73" s="92" t="e">
        <f t="shared" si="41"/>
        <v>#DIV/0!</v>
      </c>
      <c r="AW73" s="92" t="e">
        <f t="shared" si="42"/>
        <v>#DIV/0!</v>
      </c>
    </row>
    <row r="74" spans="1:49" s="40" customFormat="1">
      <c r="A74" s="9">
        <v>42278</v>
      </c>
      <c r="B74" s="43"/>
      <c r="C74" s="43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6">
        <f t="shared" si="43"/>
        <v>0</v>
      </c>
      <c r="P74" s="9">
        <v>42278</v>
      </c>
      <c r="Q74" s="43"/>
      <c r="R74" s="43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6">
        <f t="shared" si="44"/>
        <v>0</v>
      </c>
      <c r="AE74" s="9">
        <v>42278</v>
      </c>
      <c r="AF74" s="43"/>
      <c r="AG74" s="43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6">
        <f t="shared" si="45"/>
        <v>0</v>
      </c>
      <c r="AU74" s="92" t="e">
        <f t="shared" si="40"/>
        <v>#DIV/0!</v>
      </c>
      <c r="AV74" s="92" t="e">
        <f t="shared" si="41"/>
        <v>#DIV/0!</v>
      </c>
      <c r="AW74" s="92" t="e">
        <f t="shared" si="42"/>
        <v>#DIV/0!</v>
      </c>
    </row>
    <row r="75" spans="1:49" s="40" customFormat="1">
      <c r="A75" s="9">
        <v>42309</v>
      </c>
      <c r="B75" s="43"/>
      <c r="C75" s="43"/>
      <c r="D75" s="41"/>
      <c r="E75" s="41"/>
      <c r="F75" s="41"/>
      <c r="G75" s="41"/>
      <c r="H75" s="41"/>
      <c r="I75" s="41"/>
      <c r="J75" s="41"/>
      <c r="K75" s="41"/>
      <c r="L75" s="41"/>
      <c r="M75" s="41">
        <v>18.239999999999998</v>
      </c>
      <c r="N75" s="6">
        <f t="shared" si="43"/>
        <v>18.239999999999998</v>
      </c>
      <c r="P75" s="9">
        <v>42309</v>
      </c>
      <c r="Q75" s="43"/>
      <c r="R75" s="43"/>
      <c r="S75" s="41"/>
      <c r="T75" s="41"/>
      <c r="U75" s="41"/>
      <c r="V75" s="41"/>
      <c r="W75" s="41"/>
      <c r="X75" s="41"/>
      <c r="Y75" s="41"/>
      <c r="Z75" s="41"/>
      <c r="AA75" s="41"/>
      <c r="AB75" s="41">
        <v>1504879.8</v>
      </c>
      <c r="AC75" s="6">
        <f t="shared" si="44"/>
        <v>1504879.8</v>
      </c>
      <c r="AE75" s="9">
        <v>42309</v>
      </c>
      <c r="AF75" s="43"/>
      <c r="AG75" s="43"/>
      <c r="AH75" s="41"/>
      <c r="AI75" s="41"/>
      <c r="AJ75" s="41"/>
      <c r="AK75" s="41"/>
      <c r="AL75" s="41"/>
      <c r="AM75" s="41"/>
      <c r="AN75" s="41"/>
      <c r="AO75" s="41"/>
      <c r="AP75" s="41"/>
      <c r="AQ75" s="41">
        <v>22561.91604197901</v>
      </c>
      <c r="AR75" s="6">
        <f t="shared" si="45"/>
        <v>22561.91604197901</v>
      </c>
      <c r="AU75" s="92" t="e">
        <f t="shared" si="40"/>
        <v>#DIV/0!</v>
      </c>
      <c r="AV75" s="92" t="e">
        <f t="shared" si="41"/>
        <v>#DIV/0!</v>
      </c>
      <c r="AW75" s="92" t="e">
        <f t="shared" si="42"/>
        <v>#DIV/0!</v>
      </c>
    </row>
    <row r="76" spans="1:49" s="40" customFormat="1">
      <c r="A76" s="9">
        <v>42339</v>
      </c>
      <c r="B76" s="43"/>
      <c r="C76" s="43"/>
      <c r="D76" s="41"/>
      <c r="E76" s="41"/>
      <c r="F76" s="41"/>
      <c r="G76" s="41"/>
      <c r="H76" s="41"/>
      <c r="I76" s="41"/>
      <c r="J76" s="41"/>
      <c r="K76" s="41"/>
      <c r="L76" s="41"/>
      <c r="M76" s="41">
        <v>18.36</v>
      </c>
      <c r="N76" s="6">
        <f t="shared" si="43"/>
        <v>18.36</v>
      </c>
      <c r="P76" s="9">
        <v>42339</v>
      </c>
      <c r="Q76" s="43"/>
      <c r="R76" s="43"/>
      <c r="S76" s="41"/>
      <c r="T76" s="41"/>
      <c r="U76" s="41"/>
      <c r="V76" s="41"/>
      <c r="W76" s="41"/>
      <c r="X76" s="41"/>
      <c r="Y76" s="41"/>
      <c r="Z76" s="41"/>
      <c r="AA76" s="41"/>
      <c r="AB76" s="41">
        <v>1589997.8</v>
      </c>
      <c r="AC76" s="6">
        <f t="shared" si="44"/>
        <v>1589997.8</v>
      </c>
      <c r="AE76" s="9">
        <v>42339</v>
      </c>
      <c r="AF76" s="43"/>
      <c r="AG76" s="43"/>
      <c r="AH76" s="41"/>
      <c r="AI76" s="41"/>
      <c r="AJ76" s="41"/>
      <c r="AK76" s="41"/>
      <c r="AL76" s="41"/>
      <c r="AM76" s="41"/>
      <c r="AN76" s="41"/>
      <c r="AO76" s="41"/>
      <c r="AP76" s="41"/>
      <c r="AQ76" s="41">
        <v>23660.68154761905</v>
      </c>
      <c r="AR76" s="6">
        <f t="shared" si="45"/>
        <v>23660.68154761905</v>
      </c>
      <c r="AU76" s="92" t="e">
        <f t="shared" si="40"/>
        <v>#DIV/0!</v>
      </c>
      <c r="AV76" s="92" t="e">
        <f t="shared" si="41"/>
        <v>#DIV/0!</v>
      </c>
      <c r="AW76" s="92" t="e">
        <f t="shared" si="42"/>
        <v>#DIV/0!</v>
      </c>
    </row>
    <row r="77" spans="1:49" s="40" customFormat="1">
      <c r="A77" s="9">
        <v>42370</v>
      </c>
      <c r="B77" s="43"/>
      <c r="C77" s="43"/>
      <c r="D77" s="41"/>
      <c r="E77" s="41"/>
      <c r="F77" s="41"/>
      <c r="G77" s="41"/>
      <c r="H77" s="41"/>
      <c r="I77" s="41"/>
      <c r="J77" s="41"/>
      <c r="K77" s="41"/>
      <c r="L77" s="41"/>
      <c r="M77" s="41">
        <v>18.450000000000003</v>
      </c>
      <c r="N77" s="6">
        <f t="shared" si="43"/>
        <v>18.450000000000003</v>
      </c>
      <c r="P77" s="9">
        <v>42370</v>
      </c>
      <c r="Q77" s="43"/>
      <c r="R77" s="43"/>
      <c r="S77" s="41"/>
      <c r="T77" s="41"/>
      <c r="U77" s="41"/>
      <c r="V77" s="41"/>
      <c r="W77" s="41"/>
      <c r="X77" s="41"/>
      <c r="Y77" s="41"/>
      <c r="Z77" s="41"/>
      <c r="AA77" s="41"/>
      <c r="AB77" s="41">
        <v>1596603.96</v>
      </c>
      <c r="AC77" s="6">
        <f t="shared" si="44"/>
        <v>1596603.96</v>
      </c>
      <c r="AE77" s="9">
        <v>42370</v>
      </c>
      <c r="AF77" s="43"/>
      <c r="AG77" s="43"/>
      <c r="AH77" s="41"/>
      <c r="AI77" s="41"/>
      <c r="AJ77" s="41"/>
      <c r="AK77" s="41"/>
      <c r="AL77" s="41"/>
      <c r="AM77" s="41"/>
      <c r="AN77" s="41"/>
      <c r="AO77" s="41"/>
      <c r="AP77" s="41"/>
      <c r="AQ77" s="41">
        <v>23670.926019273535</v>
      </c>
      <c r="AR77" s="6">
        <f t="shared" si="45"/>
        <v>23670.926019273535</v>
      </c>
      <c r="AU77" s="92" t="e">
        <f t="shared" si="40"/>
        <v>#DIV/0!</v>
      </c>
      <c r="AV77" s="92" t="e">
        <f t="shared" si="41"/>
        <v>#DIV/0!</v>
      </c>
      <c r="AW77" s="92" t="e">
        <f t="shared" si="42"/>
        <v>#DIV/0!</v>
      </c>
    </row>
    <row r="78" spans="1:49" s="40" customFormat="1">
      <c r="A78" s="9">
        <v>42401</v>
      </c>
      <c r="B78" s="43"/>
      <c r="C78" s="43"/>
      <c r="D78" s="41"/>
      <c r="E78" s="41"/>
      <c r="F78" s="41"/>
      <c r="G78" s="41"/>
      <c r="H78" s="41"/>
      <c r="I78" s="41"/>
      <c r="J78" s="41"/>
      <c r="K78" s="41"/>
      <c r="L78" s="41"/>
      <c r="M78" s="41">
        <v>36.33</v>
      </c>
      <c r="N78" s="6">
        <f t="shared" si="43"/>
        <v>36.33</v>
      </c>
      <c r="P78" s="9">
        <v>42401</v>
      </c>
      <c r="Q78" s="43"/>
      <c r="R78" s="43"/>
      <c r="S78" s="41"/>
      <c r="T78" s="41"/>
      <c r="U78" s="41"/>
      <c r="V78" s="41"/>
      <c r="W78" s="41"/>
      <c r="X78" s="41"/>
      <c r="Y78" s="41"/>
      <c r="Z78" s="41"/>
      <c r="AA78" s="41"/>
      <c r="AB78" s="41">
        <v>2597052.7000000002</v>
      </c>
      <c r="AC78" s="6">
        <f t="shared" si="44"/>
        <v>2597052.7000000002</v>
      </c>
      <c r="AE78" s="9">
        <v>42401</v>
      </c>
      <c r="AF78" s="43"/>
      <c r="AG78" s="43"/>
      <c r="AH78" s="41"/>
      <c r="AI78" s="41"/>
      <c r="AJ78" s="41"/>
      <c r="AK78" s="41"/>
      <c r="AL78" s="41"/>
      <c r="AM78" s="41"/>
      <c r="AN78" s="41"/>
      <c r="AO78" s="41"/>
      <c r="AP78" s="41"/>
      <c r="AQ78" s="41">
        <v>37665.738941261785</v>
      </c>
      <c r="AR78" s="6">
        <f t="shared" si="45"/>
        <v>37665.738941261785</v>
      </c>
      <c r="AU78" s="92" t="e">
        <f t="shared" si="40"/>
        <v>#DIV/0!</v>
      </c>
      <c r="AV78" s="92" t="e">
        <f t="shared" si="41"/>
        <v>#DIV/0!</v>
      </c>
      <c r="AW78" s="92" t="e">
        <f t="shared" si="42"/>
        <v>#DIV/0!</v>
      </c>
    </row>
    <row r="79" spans="1:49" s="40" customFormat="1">
      <c r="A79" s="9">
        <v>42430</v>
      </c>
      <c r="B79" s="43"/>
      <c r="C79" s="43"/>
      <c r="D79" s="41"/>
      <c r="E79" s="41"/>
      <c r="F79" s="41"/>
      <c r="G79" s="41"/>
      <c r="H79" s="41"/>
      <c r="I79" s="41"/>
      <c r="J79" s="41"/>
      <c r="K79" s="41"/>
      <c r="L79" s="41"/>
      <c r="M79" s="41">
        <v>146.54000000000002</v>
      </c>
      <c r="N79" s="6">
        <f t="shared" si="43"/>
        <v>146.54000000000002</v>
      </c>
      <c r="P79" s="9">
        <v>42430</v>
      </c>
      <c r="Q79" s="43"/>
      <c r="R79" s="43"/>
      <c r="S79" s="41"/>
      <c r="T79" s="41"/>
      <c r="U79" s="41"/>
      <c r="V79" s="41"/>
      <c r="W79" s="41"/>
      <c r="X79" s="41"/>
      <c r="Y79" s="41"/>
      <c r="Z79" s="41"/>
      <c r="AA79" s="41"/>
      <c r="AB79" s="41">
        <v>10446781.91</v>
      </c>
      <c r="AC79" s="6">
        <f t="shared" si="44"/>
        <v>10446781.91</v>
      </c>
      <c r="AE79" s="9">
        <v>42430</v>
      </c>
      <c r="AF79" s="43"/>
      <c r="AG79" s="43"/>
      <c r="AH79" s="41"/>
      <c r="AI79" s="41"/>
      <c r="AJ79" s="41"/>
      <c r="AK79" s="41"/>
      <c r="AL79" s="41"/>
      <c r="AM79" s="41"/>
      <c r="AN79" s="41"/>
      <c r="AO79" s="41"/>
      <c r="AP79" s="41"/>
      <c r="AQ79" s="41">
        <v>154408.61874961841</v>
      </c>
      <c r="AR79" s="6">
        <f t="shared" si="45"/>
        <v>154408.61874961841</v>
      </c>
      <c r="AU79" s="92" t="e">
        <f t="shared" si="40"/>
        <v>#DIV/0!</v>
      </c>
      <c r="AV79" s="92" t="e">
        <f t="shared" si="41"/>
        <v>#DIV/0!</v>
      </c>
      <c r="AW79" s="92" t="e">
        <f t="shared" si="42"/>
        <v>#DIV/0!</v>
      </c>
    </row>
    <row r="80" spans="1:49" s="40" customFormat="1">
      <c r="A80" s="128" t="s">
        <v>4</v>
      </c>
      <c r="B80" s="91">
        <f>SUM(B68:B79)</f>
        <v>0</v>
      </c>
      <c r="C80" s="91">
        <f t="shared" ref="C80:M80" si="46">SUM(C68:C79)</f>
        <v>0</v>
      </c>
      <c r="D80" s="91">
        <f t="shared" si="46"/>
        <v>0</v>
      </c>
      <c r="E80" s="91">
        <f t="shared" si="46"/>
        <v>0</v>
      </c>
      <c r="F80" s="91">
        <f t="shared" si="46"/>
        <v>0</v>
      </c>
      <c r="G80" s="91">
        <f t="shared" si="46"/>
        <v>0</v>
      </c>
      <c r="H80" s="91">
        <f t="shared" si="46"/>
        <v>0</v>
      </c>
      <c r="I80" s="91">
        <f t="shared" si="46"/>
        <v>0</v>
      </c>
      <c r="J80" s="91">
        <f t="shared" si="46"/>
        <v>0</v>
      </c>
      <c r="K80" s="91">
        <f t="shared" si="46"/>
        <v>0</v>
      </c>
      <c r="L80" s="91">
        <f t="shared" si="46"/>
        <v>0</v>
      </c>
      <c r="M80" s="91">
        <f t="shared" si="46"/>
        <v>237.92000000000002</v>
      </c>
      <c r="N80" s="127">
        <f t="shared" si="43"/>
        <v>237.92000000000002</v>
      </c>
      <c r="P80" s="128" t="s">
        <v>4</v>
      </c>
      <c r="Q80" s="91">
        <f>SUM(Q68:Q79)</f>
        <v>0</v>
      </c>
      <c r="R80" s="91">
        <f t="shared" ref="R80:AB80" si="47">SUM(R68:R79)</f>
        <v>0</v>
      </c>
      <c r="S80" s="91">
        <f t="shared" si="47"/>
        <v>0</v>
      </c>
      <c r="T80" s="91">
        <f t="shared" si="47"/>
        <v>0</v>
      </c>
      <c r="U80" s="91">
        <f t="shared" si="47"/>
        <v>0</v>
      </c>
      <c r="V80" s="91">
        <f t="shared" si="47"/>
        <v>0</v>
      </c>
      <c r="W80" s="91">
        <f t="shared" si="47"/>
        <v>0</v>
      </c>
      <c r="X80" s="91">
        <f t="shared" si="47"/>
        <v>0</v>
      </c>
      <c r="Y80" s="91">
        <f t="shared" si="47"/>
        <v>0</v>
      </c>
      <c r="Z80" s="91">
        <f t="shared" si="47"/>
        <v>0</v>
      </c>
      <c r="AA80" s="91">
        <f t="shared" si="47"/>
        <v>0</v>
      </c>
      <c r="AB80" s="91">
        <f t="shared" si="47"/>
        <v>17735316.170000002</v>
      </c>
      <c r="AC80" s="127">
        <f t="shared" si="44"/>
        <v>17735316.170000002</v>
      </c>
      <c r="AE80" s="128" t="s">
        <v>4</v>
      </c>
      <c r="AF80" s="91">
        <f>SUM(AF68:AF79)</f>
        <v>0</v>
      </c>
      <c r="AG80" s="91">
        <f t="shared" ref="AG80:AQ80" si="48">SUM(AG68:AG79)</f>
        <v>0</v>
      </c>
      <c r="AH80" s="91">
        <f t="shared" si="48"/>
        <v>0</v>
      </c>
      <c r="AI80" s="91">
        <f t="shared" si="48"/>
        <v>0</v>
      </c>
      <c r="AJ80" s="91">
        <f t="shared" si="48"/>
        <v>0</v>
      </c>
      <c r="AK80" s="91">
        <f t="shared" si="48"/>
        <v>0</v>
      </c>
      <c r="AL80" s="91">
        <f t="shared" si="48"/>
        <v>0</v>
      </c>
      <c r="AM80" s="91">
        <f t="shared" si="48"/>
        <v>0</v>
      </c>
      <c r="AN80" s="91">
        <f t="shared" si="48"/>
        <v>0</v>
      </c>
      <c r="AO80" s="91">
        <f t="shared" si="48"/>
        <v>0</v>
      </c>
      <c r="AP80" s="91">
        <f t="shared" si="48"/>
        <v>0</v>
      </c>
      <c r="AQ80" s="91">
        <f t="shared" si="48"/>
        <v>261967.88129975178</v>
      </c>
      <c r="AR80" s="127">
        <f t="shared" si="45"/>
        <v>261967.88129975178</v>
      </c>
    </row>
    <row r="81" spans="1:49" s="40" customFormat="1"/>
    <row r="82" spans="1:49" s="40" customFormat="1"/>
    <row r="83" spans="1:49">
      <c r="A83" s="25" t="s">
        <v>2</v>
      </c>
      <c r="B83" s="161" t="s">
        <v>133</v>
      </c>
      <c r="C83" s="161" t="s">
        <v>19</v>
      </c>
      <c r="D83" s="161" t="s">
        <v>17</v>
      </c>
      <c r="E83" s="161" t="s">
        <v>134</v>
      </c>
      <c r="F83" s="161" t="s">
        <v>10</v>
      </c>
      <c r="G83" s="161" t="s">
        <v>11</v>
      </c>
      <c r="H83" s="161" t="s">
        <v>12</v>
      </c>
      <c r="I83" s="161" t="s">
        <v>13</v>
      </c>
      <c r="J83" s="161" t="s">
        <v>14</v>
      </c>
      <c r="K83" s="161" t="s">
        <v>18</v>
      </c>
      <c r="L83" s="161" t="s">
        <v>15</v>
      </c>
      <c r="M83" s="161" t="s">
        <v>16</v>
      </c>
      <c r="N83" s="27" t="s">
        <v>20</v>
      </c>
      <c r="O83" s="40"/>
      <c r="P83" s="25" t="s">
        <v>2</v>
      </c>
      <c r="Q83" s="161" t="s">
        <v>133</v>
      </c>
      <c r="R83" s="161" t="s">
        <v>19</v>
      </c>
      <c r="S83" s="161" t="s">
        <v>17</v>
      </c>
      <c r="T83" s="161" t="s">
        <v>134</v>
      </c>
      <c r="U83" s="161" t="s">
        <v>10</v>
      </c>
      <c r="V83" s="161" t="s">
        <v>11</v>
      </c>
      <c r="W83" s="161" t="s">
        <v>12</v>
      </c>
      <c r="X83" s="161" t="s">
        <v>13</v>
      </c>
      <c r="Y83" s="161" t="s">
        <v>14</v>
      </c>
      <c r="Z83" s="161" t="s">
        <v>18</v>
      </c>
      <c r="AA83" s="161" t="s">
        <v>15</v>
      </c>
      <c r="AB83" s="161" t="s">
        <v>16</v>
      </c>
      <c r="AC83" s="27" t="s">
        <v>20</v>
      </c>
      <c r="AD83" s="40"/>
      <c r="AE83" s="25" t="s">
        <v>2</v>
      </c>
      <c r="AF83" s="161" t="s">
        <v>133</v>
      </c>
      <c r="AG83" s="161" t="s">
        <v>19</v>
      </c>
      <c r="AH83" s="161" t="s">
        <v>17</v>
      </c>
      <c r="AI83" s="161" t="s">
        <v>134</v>
      </c>
      <c r="AJ83" s="161" t="s">
        <v>10</v>
      </c>
      <c r="AK83" s="161" t="s">
        <v>11</v>
      </c>
      <c r="AL83" s="161" t="s">
        <v>12</v>
      </c>
      <c r="AM83" s="161" t="s">
        <v>13</v>
      </c>
      <c r="AN83" s="161" t="s">
        <v>14</v>
      </c>
      <c r="AO83" s="161" t="s">
        <v>18</v>
      </c>
      <c r="AP83" s="161" t="s">
        <v>15</v>
      </c>
      <c r="AQ83" s="161" t="s">
        <v>16</v>
      </c>
      <c r="AR83" s="27" t="s">
        <v>20</v>
      </c>
      <c r="AU83" s="40"/>
      <c r="AV83" s="40"/>
      <c r="AW83" s="40"/>
    </row>
    <row r="84" spans="1:49">
      <c r="A84" s="9">
        <v>42095</v>
      </c>
      <c r="B84" s="43"/>
      <c r="C84" s="43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6">
        <f>SUM(B84:M84)</f>
        <v>0</v>
      </c>
      <c r="O84" s="40"/>
      <c r="P84" s="9">
        <v>42095</v>
      </c>
      <c r="Q84" s="43"/>
      <c r="R84" s="43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6">
        <f>SUM(Q84:AB84)</f>
        <v>0</v>
      </c>
      <c r="AD84" s="40"/>
      <c r="AE84" s="9">
        <v>42095</v>
      </c>
      <c r="AF84" s="43"/>
      <c r="AG84" s="43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6">
        <f>SUM(AF84:AQ84)</f>
        <v>0</v>
      </c>
      <c r="AU84" s="92" t="e">
        <f t="shared" ref="AU84:AU95" si="49">+AK84/G84</f>
        <v>#DIV/0!</v>
      </c>
      <c r="AV84" s="92" t="e">
        <f t="shared" ref="AV84:AV95" si="50">+AL84/H84</f>
        <v>#DIV/0!</v>
      </c>
      <c r="AW84" s="92" t="e">
        <f t="shared" ref="AW84:AW95" si="51">+AM84/I84</f>
        <v>#DIV/0!</v>
      </c>
    </row>
    <row r="85" spans="1:49">
      <c r="A85" s="9">
        <v>42125</v>
      </c>
      <c r="B85" s="43"/>
      <c r="C85" s="43"/>
      <c r="D85" s="41"/>
      <c r="E85" s="41"/>
      <c r="F85" s="41"/>
      <c r="G85" s="41">
        <v>75.460000000000008</v>
      </c>
      <c r="H85" s="41"/>
      <c r="I85" s="41"/>
      <c r="J85" s="41"/>
      <c r="K85" s="41"/>
      <c r="L85" s="41"/>
      <c r="M85" s="41"/>
      <c r="N85" s="6">
        <f t="shared" ref="N85:N96" si="52">SUM(B85:M85)</f>
        <v>75.460000000000008</v>
      </c>
      <c r="O85" s="40"/>
      <c r="P85" s="9">
        <v>42125</v>
      </c>
      <c r="Q85" s="43"/>
      <c r="R85" s="43"/>
      <c r="S85" s="41"/>
      <c r="T85" s="41"/>
      <c r="U85" s="41"/>
      <c r="V85" s="41">
        <v>7015599.9800000004</v>
      </c>
      <c r="W85" s="41"/>
      <c r="X85" s="41"/>
      <c r="Y85" s="41"/>
      <c r="Z85" s="41"/>
      <c r="AA85" s="41"/>
      <c r="AB85" s="41"/>
      <c r="AC85" s="6">
        <f t="shared" ref="AC85:AC96" si="53">SUM(Q85:AB85)</f>
        <v>7015599.9800000004</v>
      </c>
      <c r="AD85" s="40"/>
      <c r="AE85" s="9">
        <v>42125</v>
      </c>
      <c r="AF85" s="43"/>
      <c r="AG85" s="43"/>
      <c r="AH85" s="41"/>
      <c r="AI85" s="41"/>
      <c r="AJ85" s="41"/>
      <c r="AK85" s="41">
        <v>109107.30917573873</v>
      </c>
      <c r="AL85" s="41"/>
      <c r="AM85" s="41"/>
      <c r="AN85" s="41"/>
      <c r="AO85" s="41"/>
      <c r="AP85" s="41"/>
      <c r="AQ85" s="41"/>
      <c r="AR85" s="6">
        <f t="shared" ref="AR85:AR96" si="54">SUM(AF85:AQ85)</f>
        <v>109107.30917573873</v>
      </c>
      <c r="AU85" s="92">
        <f t="shared" si="49"/>
        <v>1445.8959604524082</v>
      </c>
      <c r="AV85" s="92" t="e">
        <f t="shared" si="50"/>
        <v>#DIV/0!</v>
      </c>
      <c r="AW85" s="92" t="e">
        <f t="shared" si="51"/>
        <v>#DIV/0!</v>
      </c>
    </row>
    <row r="86" spans="1:49">
      <c r="A86" s="9">
        <v>42156</v>
      </c>
      <c r="B86" s="43"/>
      <c r="C86" s="43"/>
      <c r="D86" s="41"/>
      <c r="E86" s="41"/>
      <c r="F86" s="41"/>
      <c r="G86" s="41">
        <v>228.46</v>
      </c>
      <c r="H86" s="41"/>
      <c r="I86" s="41"/>
      <c r="J86" s="41"/>
      <c r="K86" s="41"/>
      <c r="L86" s="41"/>
      <c r="M86" s="41"/>
      <c r="N86" s="6">
        <f t="shared" si="52"/>
        <v>228.46</v>
      </c>
      <c r="O86" s="40"/>
      <c r="P86" s="9">
        <v>42156</v>
      </c>
      <c r="Q86" s="43"/>
      <c r="R86" s="43"/>
      <c r="S86" s="41"/>
      <c r="T86" s="41"/>
      <c r="U86" s="41"/>
      <c r="V86" s="41">
        <v>21407589.689999998</v>
      </c>
      <c r="W86" s="41"/>
      <c r="X86" s="41"/>
      <c r="Y86" s="41"/>
      <c r="Z86" s="41"/>
      <c r="AA86" s="41"/>
      <c r="AB86" s="41"/>
      <c r="AC86" s="6">
        <f t="shared" si="53"/>
        <v>21407589.689999998</v>
      </c>
      <c r="AD86" s="40"/>
      <c r="AE86" s="9">
        <v>42156</v>
      </c>
      <c r="AF86" s="43"/>
      <c r="AG86" s="43"/>
      <c r="AH86" s="41"/>
      <c r="AI86" s="41"/>
      <c r="AJ86" s="41"/>
      <c r="AK86" s="41">
        <v>331472.4500296379</v>
      </c>
      <c r="AL86" s="41"/>
      <c r="AM86" s="41"/>
      <c r="AN86" s="41"/>
      <c r="AO86" s="41"/>
      <c r="AP86" s="41"/>
      <c r="AQ86" s="41"/>
      <c r="AR86" s="6">
        <f t="shared" si="54"/>
        <v>331472.4500296379</v>
      </c>
      <c r="AU86" s="92">
        <f t="shared" si="49"/>
        <v>1450.8992822797773</v>
      </c>
      <c r="AV86" s="92" t="e">
        <f t="shared" si="50"/>
        <v>#DIV/0!</v>
      </c>
      <c r="AW86" s="92" t="e">
        <f t="shared" si="51"/>
        <v>#DIV/0!</v>
      </c>
    </row>
    <row r="87" spans="1:49">
      <c r="A87" s="9">
        <v>42186</v>
      </c>
      <c r="B87" s="43"/>
      <c r="C87" s="43"/>
      <c r="D87" s="41"/>
      <c r="E87" s="41"/>
      <c r="F87" s="41"/>
      <c r="G87" s="41">
        <v>929.20600000000002</v>
      </c>
      <c r="H87" s="41"/>
      <c r="I87" s="41"/>
      <c r="J87" s="41"/>
      <c r="K87" s="41"/>
      <c r="L87" s="41"/>
      <c r="M87" s="41"/>
      <c r="N87" s="6">
        <f t="shared" si="52"/>
        <v>929.20600000000002</v>
      </c>
      <c r="O87" s="40"/>
      <c r="P87" s="9">
        <v>42186</v>
      </c>
      <c r="Q87" s="43"/>
      <c r="R87" s="43"/>
      <c r="S87" s="41"/>
      <c r="T87" s="41"/>
      <c r="U87" s="41"/>
      <c r="V87" s="41">
        <v>80518847.99000001</v>
      </c>
      <c r="W87" s="41"/>
      <c r="X87" s="41"/>
      <c r="Y87" s="41"/>
      <c r="Z87" s="41"/>
      <c r="AA87" s="41"/>
      <c r="AB87" s="41"/>
      <c r="AC87" s="6">
        <f t="shared" si="53"/>
        <v>80518847.99000001</v>
      </c>
      <c r="AD87" s="40"/>
      <c r="AE87" s="9">
        <v>42186</v>
      </c>
      <c r="AF87" s="43"/>
      <c r="AG87" s="43"/>
      <c r="AH87" s="41"/>
      <c r="AI87" s="41"/>
      <c r="AJ87" s="41"/>
      <c r="AK87" s="41">
        <v>1256144.2744149768</v>
      </c>
      <c r="AL87" s="41"/>
      <c r="AM87" s="41"/>
      <c r="AN87" s="41"/>
      <c r="AO87" s="41"/>
      <c r="AP87" s="41"/>
      <c r="AQ87" s="41"/>
      <c r="AR87" s="6">
        <f t="shared" si="54"/>
        <v>1256144.2744149768</v>
      </c>
      <c r="AU87" s="92">
        <f t="shared" si="49"/>
        <v>1351.8469256709243</v>
      </c>
      <c r="AV87" s="92" t="e">
        <f t="shared" si="50"/>
        <v>#DIV/0!</v>
      </c>
      <c r="AW87" s="92" t="e">
        <f t="shared" si="51"/>
        <v>#DIV/0!</v>
      </c>
    </row>
    <row r="88" spans="1:49">
      <c r="A88" s="9">
        <v>42217</v>
      </c>
      <c r="B88" s="43"/>
      <c r="C88" s="43"/>
      <c r="D88" s="41"/>
      <c r="E88" s="41"/>
      <c r="F88" s="41"/>
      <c r="G88" s="41">
        <v>251.22</v>
      </c>
      <c r="H88" s="41"/>
      <c r="I88" s="41"/>
      <c r="J88" s="41"/>
      <c r="K88" s="41"/>
      <c r="L88" s="41"/>
      <c r="M88" s="41"/>
      <c r="N88" s="6">
        <f t="shared" si="52"/>
        <v>251.22</v>
      </c>
      <c r="O88" s="40"/>
      <c r="P88" s="9">
        <v>42217</v>
      </c>
      <c r="Q88" s="43"/>
      <c r="R88" s="43"/>
      <c r="S88" s="41"/>
      <c r="T88" s="41"/>
      <c r="U88" s="41"/>
      <c r="V88" s="41">
        <v>22098657.699999999</v>
      </c>
      <c r="W88" s="41"/>
      <c r="X88" s="41"/>
      <c r="Y88" s="41"/>
      <c r="Z88" s="41"/>
      <c r="AA88" s="41"/>
      <c r="AB88" s="41"/>
      <c r="AC88" s="6">
        <f t="shared" si="53"/>
        <v>22098657.699999999</v>
      </c>
      <c r="AD88" s="40"/>
      <c r="AE88" s="9">
        <v>42217</v>
      </c>
      <c r="AF88" s="43"/>
      <c r="AG88" s="43"/>
      <c r="AH88" s="41"/>
      <c r="AI88" s="41"/>
      <c r="AJ88" s="41"/>
      <c r="AK88" s="41">
        <v>343413.48407148407</v>
      </c>
      <c r="AL88" s="41"/>
      <c r="AM88" s="41"/>
      <c r="AN88" s="41"/>
      <c r="AO88" s="41"/>
      <c r="AP88" s="41"/>
      <c r="AQ88" s="41"/>
      <c r="AR88" s="6">
        <f t="shared" si="54"/>
        <v>343413.48407148407</v>
      </c>
      <c r="AU88" s="92">
        <f t="shared" si="49"/>
        <v>1366.9830589582202</v>
      </c>
      <c r="AV88" s="92" t="e">
        <f t="shared" si="50"/>
        <v>#DIV/0!</v>
      </c>
      <c r="AW88" s="92" t="e">
        <f t="shared" si="51"/>
        <v>#DIV/0!</v>
      </c>
    </row>
    <row r="89" spans="1:49">
      <c r="A89" s="9">
        <v>42248</v>
      </c>
      <c r="B89" s="43"/>
      <c r="C89" s="43"/>
      <c r="D89" s="41"/>
      <c r="E89" s="41"/>
      <c r="F89" s="41"/>
      <c r="G89" s="41">
        <v>218.8</v>
      </c>
      <c r="H89" s="41"/>
      <c r="I89" s="41"/>
      <c r="J89" s="41"/>
      <c r="K89" s="41"/>
      <c r="L89" s="41"/>
      <c r="M89" s="41"/>
      <c r="N89" s="6">
        <f t="shared" si="52"/>
        <v>218.8</v>
      </c>
      <c r="O89" s="40"/>
      <c r="P89" s="9">
        <v>42248</v>
      </c>
      <c r="Q89" s="43"/>
      <c r="R89" s="43"/>
      <c r="S89" s="41"/>
      <c r="T89" s="41"/>
      <c r="U89" s="41"/>
      <c r="V89" s="41">
        <v>19025066.489999998</v>
      </c>
      <c r="W89" s="41"/>
      <c r="X89" s="41"/>
      <c r="Y89" s="41"/>
      <c r="Z89" s="41"/>
      <c r="AA89" s="41"/>
      <c r="AB89" s="41"/>
      <c r="AC89" s="6">
        <f t="shared" si="53"/>
        <v>19025066.489999998</v>
      </c>
      <c r="AD89" s="40"/>
      <c r="AE89" s="9">
        <v>42248</v>
      </c>
      <c r="AF89" s="43"/>
      <c r="AG89" s="43"/>
      <c r="AH89" s="41"/>
      <c r="AI89" s="41"/>
      <c r="AJ89" s="41"/>
      <c r="AK89" s="41">
        <v>286299.72233297321</v>
      </c>
      <c r="AL89" s="41"/>
      <c r="AM89" s="41"/>
      <c r="AN89" s="41"/>
      <c r="AO89" s="41"/>
      <c r="AP89" s="41"/>
      <c r="AQ89" s="41"/>
      <c r="AR89" s="6">
        <f t="shared" si="54"/>
        <v>286299.72233297321</v>
      </c>
      <c r="AU89" s="92">
        <f t="shared" si="49"/>
        <v>1308.4996450318702</v>
      </c>
      <c r="AV89" s="92" t="e">
        <f t="shared" si="50"/>
        <v>#DIV/0!</v>
      </c>
      <c r="AW89" s="92" t="e">
        <f t="shared" si="51"/>
        <v>#DIV/0!</v>
      </c>
    </row>
    <row r="90" spans="1:49">
      <c r="A90" s="9">
        <v>42278</v>
      </c>
      <c r="B90" s="43"/>
      <c r="C90" s="43"/>
      <c r="D90" s="41"/>
      <c r="E90" s="41"/>
      <c r="F90" s="41"/>
      <c r="G90" s="41">
        <v>476.08600000000001</v>
      </c>
      <c r="H90" s="41"/>
      <c r="I90" s="41"/>
      <c r="J90" s="41"/>
      <c r="K90" s="41"/>
      <c r="L90" s="41"/>
      <c r="M90" s="41"/>
      <c r="N90" s="6">
        <f t="shared" si="52"/>
        <v>476.08600000000001</v>
      </c>
      <c r="O90" s="40"/>
      <c r="P90" s="9">
        <v>42278</v>
      </c>
      <c r="Q90" s="43"/>
      <c r="R90" s="43"/>
      <c r="S90" s="41"/>
      <c r="T90" s="41"/>
      <c r="U90" s="41"/>
      <c r="V90" s="41">
        <v>41317897.140000001</v>
      </c>
      <c r="W90" s="41"/>
      <c r="X90" s="41"/>
      <c r="Y90" s="41"/>
      <c r="Z90" s="41"/>
      <c r="AA90" s="41"/>
      <c r="AB90" s="41"/>
      <c r="AC90" s="6">
        <f t="shared" si="53"/>
        <v>41317897.140000001</v>
      </c>
      <c r="AD90" s="40"/>
      <c r="AE90" s="9">
        <v>42278</v>
      </c>
      <c r="AF90" s="43"/>
      <c r="AG90" s="43"/>
      <c r="AH90" s="41"/>
      <c r="AI90" s="41"/>
      <c r="AJ90" s="41"/>
      <c r="AK90" s="41">
        <v>624497.90310573857</v>
      </c>
      <c r="AL90" s="41"/>
      <c r="AM90" s="41"/>
      <c r="AN90" s="41"/>
      <c r="AO90" s="41"/>
      <c r="AP90" s="41"/>
      <c r="AQ90" s="41"/>
      <c r="AR90" s="6">
        <f t="shared" si="54"/>
        <v>624497.90310573857</v>
      </c>
      <c r="AU90" s="92">
        <f t="shared" si="49"/>
        <v>1311.7333908279986</v>
      </c>
      <c r="AV90" s="92" t="e">
        <f t="shared" si="50"/>
        <v>#DIV/0!</v>
      </c>
      <c r="AW90" s="92" t="e">
        <f t="shared" si="51"/>
        <v>#DIV/0!</v>
      </c>
    </row>
    <row r="91" spans="1:49">
      <c r="A91" s="9">
        <v>42309</v>
      </c>
      <c r="B91" s="43"/>
      <c r="C91" s="43"/>
      <c r="D91" s="41"/>
      <c r="E91" s="41"/>
      <c r="F91" s="41"/>
      <c r="G91" s="41">
        <v>14</v>
      </c>
      <c r="H91" s="41"/>
      <c r="I91" s="41"/>
      <c r="J91" s="41"/>
      <c r="K91" s="41"/>
      <c r="L91" s="41">
        <v>40</v>
      </c>
      <c r="M91" s="41"/>
      <c r="N91" s="6">
        <f t="shared" si="52"/>
        <v>54</v>
      </c>
      <c r="O91" s="40"/>
      <c r="P91" s="9">
        <v>42309</v>
      </c>
      <c r="Q91" s="43"/>
      <c r="R91" s="43"/>
      <c r="S91" s="41"/>
      <c r="T91" s="41"/>
      <c r="U91" s="41"/>
      <c r="V91" s="41">
        <v>1220980.92</v>
      </c>
      <c r="W91" s="41"/>
      <c r="X91" s="41"/>
      <c r="Y91" s="41"/>
      <c r="Z91" s="41"/>
      <c r="AA91" s="41">
        <v>3051994.57</v>
      </c>
      <c r="AB91" s="41"/>
      <c r="AC91" s="6">
        <f t="shared" si="53"/>
        <v>4272975.49</v>
      </c>
      <c r="AD91" s="40"/>
      <c r="AE91" s="9">
        <v>42309</v>
      </c>
      <c r="AF91" s="43"/>
      <c r="AG91" s="43"/>
      <c r="AH91" s="41"/>
      <c r="AI91" s="41"/>
      <c r="AJ91" s="41"/>
      <c r="AK91" s="41">
        <v>18443.820543806643</v>
      </c>
      <c r="AL91" s="41"/>
      <c r="AM91" s="41"/>
      <c r="AN91" s="41"/>
      <c r="AO91" s="41"/>
      <c r="AP91" s="41">
        <v>45757.040029985001</v>
      </c>
      <c r="AQ91" s="41"/>
      <c r="AR91" s="6">
        <f t="shared" si="54"/>
        <v>64200.860573791644</v>
      </c>
      <c r="AU91" s="92">
        <f t="shared" si="49"/>
        <v>1317.4157531290459</v>
      </c>
      <c r="AV91" s="92" t="e">
        <f t="shared" si="50"/>
        <v>#DIV/0!</v>
      </c>
      <c r="AW91" s="92" t="e">
        <f t="shared" si="51"/>
        <v>#DIV/0!</v>
      </c>
    </row>
    <row r="92" spans="1:49">
      <c r="A92" s="9">
        <v>42339</v>
      </c>
      <c r="B92" s="43"/>
      <c r="C92" s="43"/>
      <c r="D92" s="41"/>
      <c r="E92" s="41"/>
      <c r="F92" s="41"/>
      <c r="G92" s="41">
        <v>224</v>
      </c>
      <c r="H92" s="41"/>
      <c r="I92" s="41"/>
      <c r="J92" s="41"/>
      <c r="K92" s="41"/>
      <c r="L92" s="41"/>
      <c r="M92" s="41"/>
      <c r="N92" s="6">
        <f t="shared" si="52"/>
        <v>224</v>
      </c>
      <c r="O92" s="40"/>
      <c r="P92" s="9">
        <v>42339</v>
      </c>
      <c r="Q92" s="43"/>
      <c r="R92" s="43"/>
      <c r="S92" s="41"/>
      <c r="T92" s="41"/>
      <c r="U92" s="41"/>
      <c r="V92" s="41">
        <v>16717498.810000001</v>
      </c>
      <c r="W92" s="41"/>
      <c r="X92" s="41"/>
      <c r="Y92" s="41"/>
      <c r="Z92" s="41"/>
      <c r="AA92" s="41"/>
      <c r="AB92" s="41"/>
      <c r="AC92" s="6">
        <f t="shared" si="53"/>
        <v>16717498.810000001</v>
      </c>
      <c r="AD92" s="40"/>
      <c r="AE92" s="9">
        <v>42339</v>
      </c>
      <c r="AF92" s="43"/>
      <c r="AG92" s="43"/>
      <c r="AH92" s="41"/>
      <c r="AI92" s="41"/>
      <c r="AJ92" s="41"/>
      <c r="AK92" s="41">
        <v>249119.43587015406</v>
      </c>
      <c r="AL92" s="41"/>
      <c r="AM92" s="41"/>
      <c r="AN92" s="41"/>
      <c r="AO92" s="41"/>
      <c r="AP92" s="41"/>
      <c r="AQ92" s="41"/>
      <c r="AR92" s="6">
        <f t="shared" si="54"/>
        <v>249119.43587015406</v>
      </c>
      <c r="AU92" s="92">
        <f t="shared" si="49"/>
        <v>1112.140338706045</v>
      </c>
      <c r="AV92" s="92" t="e">
        <f t="shared" si="50"/>
        <v>#DIV/0!</v>
      </c>
      <c r="AW92" s="92" t="e">
        <f t="shared" si="51"/>
        <v>#DIV/0!</v>
      </c>
    </row>
    <row r="93" spans="1:49">
      <c r="A93" s="9">
        <v>42370</v>
      </c>
      <c r="B93" s="43"/>
      <c r="C93" s="43"/>
      <c r="D93" s="41"/>
      <c r="E93" s="41"/>
      <c r="F93" s="41"/>
      <c r="G93" s="41">
        <v>19.14</v>
      </c>
      <c r="H93" s="41"/>
      <c r="I93" s="41"/>
      <c r="J93" s="41"/>
      <c r="K93" s="41"/>
      <c r="L93" s="41"/>
      <c r="M93" s="41"/>
      <c r="N93" s="6">
        <f t="shared" si="52"/>
        <v>19.14</v>
      </c>
      <c r="O93" s="40"/>
      <c r="P93" s="9">
        <v>42370</v>
      </c>
      <c r="Q93" s="43"/>
      <c r="R93" s="43"/>
      <c r="S93" s="41"/>
      <c r="T93" s="41"/>
      <c r="U93" s="41"/>
      <c r="V93" s="41">
        <v>1582286.21</v>
      </c>
      <c r="W93" s="41"/>
      <c r="X93" s="41"/>
      <c r="Y93" s="41"/>
      <c r="Z93" s="41"/>
      <c r="AA93" s="41"/>
      <c r="AB93" s="41"/>
      <c r="AC93" s="6">
        <f t="shared" si="53"/>
        <v>1582286.21</v>
      </c>
      <c r="AD93" s="40"/>
      <c r="AE93" s="9">
        <v>42370</v>
      </c>
      <c r="AF93" s="43"/>
      <c r="AG93" s="43"/>
      <c r="AH93" s="41"/>
      <c r="AI93" s="41"/>
      <c r="AJ93" s="41"/>
      <c r="AK93" s="41">
        <v>23458.653965900667</v>
      </c>
      <c r="AL93" s="41"/>
      <c r="AM93" s="41"/>
      <c r="AN93" s="41"/>
      <c r="AO93" s="41"/>
      <c r="AP93" s="41"/>
      <c r="AQ93" s="41"/>
      <c r="AR93" s="6">
        <f t="shared" si="54"/>
        <v>23458.653965900667</v>
      </c>
      <c r="AU93" s="92">
        <f t="shared" si="49"/>
        <v>1225.6350034430859</v>
      </c>
      <c r="AV93" s="92" t="e">
        <f t="shared" si="50"/>
        <v>#DIV/0!</v>
      </c>
      <c r="AW93" s="92" t="e">
        <f t="shared" si="51"/>
        <v>#DIV/0!</v>
      </c>
    </row>
    <row r="94" spans="1:49">
      <c r="A94" s="9">
        <v>42401</v>
      </c>
      <c r="B94" s="43"/>
      <c r="C94" s="43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6">
        <f t="shared" si="52"/>
        <v>0</v>
      </c>
      <c r="O94" s="40"/>
      <c r="P94" s="9">
        <v>42401</v>
      </c>
      <c r="Q94" s="43"/>
      <c r="R94" s="43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6">
        <f t="shared" si="53"/>
        <v>0</v>
      </c>
      <c r="AD94" s="40"/>
      <c r="AE94" s="9">
        <v>42401</v>
      </c>
      <c r="AF94" s="43"/>
      <c r="AG94" s="43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6">
        <f t="shared" si="54"/>
        <v>0</v>
      </c>
      <c r="AU94" s="92" t="e">
        <f t="shared" si="49"/>
        <v>#DIV/0!</v>
      </c>
      <c r="AV94" s="92" t="e">
        <f t="shared" si="50"/>
        <v>#DIV/0!</v>
      </c>
      <c r="AW94" s="92" t="e">
        <f t="shared" si="51"/>
        <v>#DIV/0!</v>
      </c>
    </row>
    <row r="95" spans="1:49">
      <c r="A95" s="9">
        <v>42430</v>
      </c>
      <c r="B95" s="43"/>
      <c r="C95" s="43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6">
        <f t="shared" si="52"/>
        <v>0</v>
      </c>
      <c r="O95" s="40"/>
      <c r="P95" s="9">
        <v>42430</v>
      </c>
      <c r="Q95" s="43"/>
      <c r="R95" s="43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6">
        <f t="shared" si="53"/>
        <v>0</v>
      </c>
      <c r="AD95" s="40"/>
      <c r="AE95" s="9">
        <v>42430</v>
      </c>
      <c r="AF95" s="43"/>
      <c r="AG95" s="43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6">
        <f t="shared" si="54"/>
        <v>0</v>
      </c>
      <c r="AU95" s="92" t="e">
        <f t="shared" si="49"/>
        <v>#DIV/0!</v>
      </c>
      <c r="AV95" s="92" t="e">
        <f t="shared" si="50"/>
        <v>#DIV/0!</v>
      </c>
      <c r="AW95" s="92" t="e">
        <f t="shared" si="51"/>
        <v>#DIV/0!</v>
      </c>
    </row>
    <row r="96" spans="1:49">
      <c r="A96" s="128" t="s">
        <v>4</v>
      </c>
      <c r="B96" s="91">
        <f>SUM(B84:B95)</f>
        <v>0</v>
      </c>
      <c r="C96" s="91">
        <f t="shared" ref="C96:M96" si="55">SUM(C84:C95)</f>
        <v>0</v>
      </c>
      <c r="D96" s="91">
        <f t="shared" si="55"/>
        <v>0</v>
      </c>
      <c r="E96" s="91">
        <f t="shared" si="55"/>
        <v>0</v>
      </c>
      <c r="F96" s="91">
        <f t="shared" si="55"/>
        <v>0</v>
      </c>
      <c r="G96" s="91">
        <f t="shared" si="55"/>
        <v>2436.3719999999998</v>
      </c>
      <c r="H96" s="91">
        <f t="shared" si="55"/>
        <v>0</v>
      </c>
      <c r="I96" s="91">
        <f t="shared" si="55"/>
        <v>0</v>
      </c>
      <c r="J96" s="91">
        <f t="shared" si="55"/>
        <v>0</v>
      </c>
      <c r="K96" s="91">
        <f t="shared" si="55"/>
        <v>0</v>
      </c>
      <c r="L96" s="91">
        <f t="shared" si="55"/>
        <v>40</v>
      </c>
      <c r="M96" s="91">
        <f t="shared" si="55"/>
        <v>0</v>
      </c>
      <c r="N96" s="127">
        <f t="shared" si="52"/>
        <v>2476.3719999999998</v>
      </c>
      <c r="O96" s="40"/>
      <c r="P96" s="128" t="s">
        <v>4</v>
      </c>
      <c r="Q96" s="91">
        <f>SUM(Q84:Q95)</f>
        <v>0</v>
      </c>
      <c r="R96" s="91">
        <f t="shared" ref="R96:AB96" si="56">SUM(R84:R95)</f>
        <v>0</v>
      </c>
      <c r="S96" s="91">
        <f t="shared" si="56"/>
        <v>0</v>
      </c>
      <c r="T96" s="91">
        <f t="shared" si="56"/>
        <v>0</v>
      </c>
      <c r="U96" s="91">
        <f t="shared" si="56"/>
        <v>0</v>
      </c>
      <c r="V96" s="91">
        <f t="shared" si="56"/>
        <v>210904424.93000001</v>
      </c>
      <c r="W96" s="91">
        <f t="shared" si="56"/>
        <v>0</v>
      </c>
      <c r="X96" s="91">
        <f t="shared" si="56"/>
        <v>0</v>
      </c>
      <c r="Y96" s="91">
        <f t="shared" si="56"/>
        <v>0</v>
      </c>
      <c r="Z96" s="91">
        <f t="shared" si="56"/>
        <v>0</v>
      </c>
      <c r="AA96" s="91">
        <f t="shared" si="56"/>
        <v>3051994.57</v>
      </c>
      <c r="AB96" s="91">
        <f t="shared" si="56"/>
        <v>0</v>
      </c>
      <c r="AC96" s="127">
        <f t="shared" si="53"/>
        <v>213956419.5</v>
      </c>
      <c r="AD96" s="40"/>
      <c r="AE96" s="128" t="s">
        <v>4</v>
      </c>
      <c r="AF96" s="91">
        <f>SUM(AF84:AF95)</f>
        <v>0</v>
      </c>
      <c r="AG96" s="91">
        <f t="shared" ref="AG96:AQ96" si="57">SUM(AG84:AG95)</f>
        <v>0</v>
      </c>
      <c r="AH96" s="91">
        <f t="shared" si="57"/>
        <v>0</v>
      </c>
      <c r="AI96" s="91">
        <f t="shared" si="57"/>
        <v>0</v>
      </c>
      <c r="AJ96" s="91">
        <f t="shared" si="57"/>
        <v>0</v>
      </c>
      <c r="AK96" s="91">
        <f t="shared" si="57"/>
        <v>3241957.0535104107</v>
      </c>
      <c r="AL96" s="91">
        <f t="shared" si="57"/>
        <v>0</v>
      </c>
      <c r="AM96" s="91">
        <f t="shared" si="57"/>
        <v>0</v>
      </c>
      <c r="AN96" s="91">
        <f t="shared" si="57"/>
        <v>0</v>
      </c>
      <c r="AO96" s="91">
        <f t="shared" si="57"/>
        <v>0</v>
      </c>
      <c r="AP96" s="91">
        <f t="shared" si="57"/>
        <v>45757.040029985001</v>
      </c>
      <c r="AQ96" s="91">
        <f t="shared" si="57"/>
        <v>0</v>
      </c>
      <c r="AR96" s="127">
        <f t="shared" si="54"/>
        <v>3287714.0935403956</v>
      </c>
      <c r="AU96" s="40"/>
      <c r="AV96" s="40"/>
      <c r="AW96" s="40"/>
    </row>
    <row r="97" spans="1:49">
      <c r="A97" s="40"/>
      <c r="D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S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U97" s="40"/>
      <c r="AV97" s="40"/>
      <c r="AW97" s="40"/>
    </row>
    <row r="98" spans="1:49">
      <c r="A98" s="40"/>
      <c r="D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S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U98" s="40"/>
      <c r="AV98" s="40"/>
      <c r="AW98" s="40"/>
    </row>
    <row r="99" spans="1:49">
      <c r="A99" s="25" t="s">
        <v>7</v>
      </c>
      <c r="B99" s="161" t="s">
        <v>133</v>
      </c>
      <c r="C99" s="161" t="s">
        <v>19</v>
      </c>
      <c r="D99" s="161" t="s">
        <v>17</v>
      </c>
      <c r="E99" s="161" t="s">
        <v>134</v>
      </c>
      <c r="F99" s="161" t="s">
        <v>10</v>
      </c>
      <c r="G99" s="161" t="s">
        <v>11</v>
      </c>
      <c r="H99" s="161" t="s">
        <v>12</v>
      </c>
      <c r="I99" s="161" t="s">
        <v>13</v>
      </c>
      <c r="J99" s="161" t="s">
        <v>14</v>
      </c>
      <c r="K99" s="161" t="s">
        <v>18</v>
      </c>
      <c r="L99" s="161" t="s">
        <v>15</v>
      </c>
      <c r="M99" s="161" t="s">
        <v>16</v>
      </c>
      <c r="N99" s="27" t="s">
        <v>20</v>
      </c>
      <c r="O99" s="40"/>
      <c r="P99" s="25" t="s">
        <v>7</v>
      </c>
      <c r="Q99" s="161" t="s">
        <v>133</v>
      </c>
      <c r="R99" s="161" t="s">
        <v>19</v>
      </c>
      <c r="S99" s="161" t="s">
        <v>17</v>
      </c>
      <c r="T99" s="161" t="s">
        <v>134</v>
      </c>
      <c r="U99" s="161" t="s">
        <v>10</v>
      </c>
      <c r="V99" s="161" t="s">
        <v>11</v>
      </c>
      <c r="W99" s="161" t="s">
        <v>12</v>
      </c>
      <c r="X99" s="161" t="s">
        <v>13</v>
      </c>
      <c r="Y99" s="161" t="s">
        <v>14</v>
      </c>
      <c r="Z99" s="161" t="s">
        <v>18</v>
      </c>
      <c r="AA99" s="161" t="s">
        <v>15</v>
      </c>
      <c r="AB99" s="161" t="s">
        <v>16</v>
      </c>
      <c r="AC99" s="27" t="s">
        <v>20</v>
      </c>
      <c r="AD99" s="40"/>
      <c r="AE99" s="25" t="s">
        <v>7</v>
      </c>
      <c r="AF99" s="161" t="s">
        <v>133</v>
      </c>
      <c r="AG99" s="161" t="s">
        <v>19</v>
      </c>
      <c r="AH99" s="161" t="s">
        <v>17</v>
      </c>
      <c r="AI99" s="161" t="s">
        <v>134</v>
      </c>
      <c r="AJ99" s="161" t="s">
        <v>10</v>
      </c>
      <c r="AK99" s="161" t="s">
        <v>11</v>
      </c>
      <c r="AL99" s="161" t="s">
        <v>12</v>
      </c>
      <c r="AM99" s="161" t="s">
        <v>13</v>
      </c>
      <c r="AN99" s="161" t="s">
        <v>14</v>
      </c>
      <c r="AO99" s="161" t="s">
        <v>18</v>
      </c>
      <c r="AP99" s="161" t="s">
        <v>15</v>
      </c>
      <c r="AQ99" s="161" t="s">
        <v>16</v>
      </c>
      <c r="AR99" s="27" t="s">
        <v>20</v>
      </c>
      <c r="AU99" s="40"/>
      <c r="AV99" s="40"/>
      <c r="AW99" s="40"/>
    </row>
    <row r="100" spans="1:49">
      <c r="A100" s="9">
        <v>42095</v>
      </c>
      <c r="B100" s="43"/>
      <c r="C100" s="43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6">
        <f>SUM(B100:M100)</f>
        <v>0</v>
      </c>
      <c r="O100" s="40"/>
      <c r="P100" s="9">
        <v>42095</v>
      </c>
      <c r="Q100" s="43"/>
      <c r="R100" s="43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6">
        <f>SUM(Q100:AB100)</f>
        <v>0</v>
      </c>
      <c r="AD100" s="40"/>
      <c r="AE100" s="9">
        <v>42095</v>
      </c>
      <c r="AF100" s="43"/>
      <c r="AG100" s="43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6">
        <f>SUM(AF100:AQ100)</f>
        <v>0</v>
      </c>
      <c r="AU100" s="92" t="e">
        <f t="shared" ref="AU100:AU111" si="58">+AK100/G100</f>
        <v>#DIV/0!</v>
      </c>
      <c r="AV100" s="92" t="e">
        <f t="shared" ref="AV100:AV111" si="59">+AL100/H100</f>
        <v>#DIV/0!</v>
      </c>
      <c r="AW100" s="92" t="e">
        <f t="shared" ref="AW100:AW111" si="60">+AM100/I100</f>
        <v>#DIV/0!</v>
      </c>
    </row>
    <row r="101" spans="1:49">
      <c r="A101" s="9">
        <v>42125</v>
      </c>
      <c r="B101" s="43"/>
      <c r="C101" s="43"/>
      <c r="D101" s="41">
        <v>13.6</v>
      </c>
      <c r="E101" s="41"/>
      <c r="F101" s="41"/>
      <c r="G101" s="41"/>
      <c r="H101" s="41"/>
      <c r="I101" s="41"/>
      <c r="J101" s="41"/>
      <c r="K101" s="41"/>
      <c r="L101" s="41">
        <v>10.08</v>
      </c>
      <c r="M101" s="41"/>
      <c r="N101" s="6">
        <f t="shared" ref="N101:N112" si="61">SUM(B101:M101)</f>
        <v>23.68</v>
      </c>
      <c r="O101" s="40"/>
      <c r="P101" s="9">
        <v>42125</v>
      </c>
      <c r="Q101" s="43"/>
      <c r="R101" s="43"/>
      <c r="S101" s="41">
        <v>2939006.07</v>
      </c>
      <c r="T101" s="41"/>
      <c r="U101" s="41"/>
      <c r="V101" s="41"/>
      <c r="W101" s="41"/>
      <c r="X101" s="41"/>
      <c r="Y101" s="41"/>
      <c r="Z101" s="41"/>
      <c r="AA101" s="41">
        <v>1367546.14</v>
      </c>
      <c r="AB101" s="41"/>
      <c r="AC101" s="6">
        <f t="shared" ref="AC101:AC112" si="62">SUM(Q101:AB101)</f>
        <v>4306552.21</v>
      </c>
      <c r="AD101" s="40"/>
      <c r="AE101" s="9">
        <v>42125</v>
      </c>
      <c r="AF101" s="43"/>
      <c r="AG101" s="43"/>
      <c r="AH101" s="41">
        <v>45707.714930015551</v>
      </c>
      <c r="AI101" s="41"/>
      <c r="AJ101" s="41"/>
      <c r="AK101" s="41"/>
      <c r="AL101" s="41"/>
      <c r="AM101" s="41"/>
      <c r="AN101" s="41"/>
      <c r="AO101" s="41"/>
      <c r="AP101" s="41">
        <v>21268.21368584759</v>
      </c>
      <c r="AQ101" s="41"/>
      <c r="AR101" s="6">
        <f t="shared" ref="AR101:AR112" si="63">SUM(AF101:AQ101)</f>
        <v>66975.928615863144</v>
      </c>
      <c r="AU101" s="92" t="e">
        <f t="shared" si="58"/>
        <v>#DIV/0!</v>
      </c>
      <c r="AV101" s="92" t="e">
        <f t="shared" si="59"/>
        <v>#DIV/0!</v>
      </c>
      <c r="AW101" s="92" t="e">
        <f t="shared" si="60"/>
        <v>#DIV/0!</v>
      </c>
    </row>
    <row r="102" spans="1:49">
      <c r="A102" s="9">
        <v>42156</v>
      </c>
      <c r="B102" s="43"/>
      <c r="C102" s="43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6">
        <f t="shared" si="61"/>
        <v>0</v>
      </c>
      <c r="O102" s="40"/>
      <c r="P102" s="9">
        <v>42156</v>
      </c>
      <c r="Q102" s="43"/>
      <c r="R102" s="43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6">
        <f t="shared" si="62"/>
        <v>0</v>
      </c>
      <c r="AD102" s="40"/>
      <c r="AE102" s="9">
        <v>42156</v>
      </c>
      <c r="AF102" s="43"/>
      <c r="AG102" s="43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6">
        <f t="shared" si="63"/>
        <v>0</v>
      </c>
      <c r="AU102" s="92" t="e">
        <f t="shared" si="58"/>
        <v>#DIV/0!</v>
      </c>
      <c r="AV102" s="92" t="e">
        <f t="shared" si="59"/>
        <v>#DIV/0!</v>
      </c>
      <c r="AW102" s="92" t="e">
        <f t="shared" si="60"/>
        <v>#DIV/0!</v>
      </c>
    </row>
    <row r="103" spans="1:49">
      <c r="A103" s="9">
        <v>42186</v>
      </c>
      <c r="B103" s="43"/>
      <c r="C103" s="43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6">
        <f t="shared" si="61"/>
        <v>0</v>
      </c>
      <c r="O103" s="40"/>
      <c r="P103" s="9">
        <v>42186</v>
      </c>
      <c r="Q103" s="43"/>
      <c r="R103" s="43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6">
        <f t="shared" si="62"/>
        <v>0</v>
      </c>
      <c r="AD103" s="40"/>
      <c r="AE103" s="9">
        <v>42186</v>
      </c>
      <c r="AF103" s="43"/>
      <c r="AG103" s="43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6">
        <f t="shared" si="63"/>
        <v>0</v>
      </c>
      <c r="AU103" s="92" t="e">
        <f t="shared" si="58"/>
        <v>#DIV/0!</v>
      </c>
      <c r="AV103" s="92" t="e">
        <f t="shared" si="59"/>
        <v>#DIV/0!</v>
      </c>
      <c r="AW103" s="92" t="e">
        <f t="shared" si="60"/>
        <v>#DIV/0!</v>
      </c>
    </row>
    <row r="104" spans="1:49">
      <c r="A104" s="9">
        <v>42217</v>
      </c>
      <c r="B104" s="43"/>
      <c r="C104" s="43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6">
        <f t="shared" si="61"/>
        <v>0</v>
      </c>
      <c r="O104" s="40"/>
      <c r="P104" s="9">
        <v>42217</v>
      </c>
      <c r="Q104" s="43"/>
      <c r="R104" s="43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6">
        <f t="shared" si="62"/>
        <v>0</v>
      </c>
      <c r="AD104" s="40"/>
      <c r="AE104" s="9">
        <v>42217</v>
      </c>
      <c r="AF104" s="43"/>
      <c r="AG104" s="43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6">
        <f t="shared" si="63"/>
        <v>0</v>
      </c>
      <c r="AU104" s="92" t="e">
        <f t="shared" si="58"/>
        <v>#DIV/0!</v>
      </c>
      <c r="AV104" s="92" t="e">
        <f t="shared" si="59"/>
        <v>#DIV/0!</v>
      </c>
      <c r="AW104" s="92" t="e">
        <f t="shared" si="60"/>
        <v>#DIV/0!</v>
      </c>
    </row>
    <row r="105" spans="1:49">
      <c r="A105" s="9">
        <v>42248</v>
      </c>
      <c r="B105" s="43"/>
      <c r="C105" s="43"/>
      <c r="D105" s="41"/>
      <c r="E105" s="41"/>
      <c r="F105" s="41"/>
      <c r="G105" s="41">
        <v>20.501999999999999</v>
      </c>
      <c r="H105" s="41"/>
      <c r="I105" s="41"/>
      <c r="J105" s="41"/>
      <c r="K105" s="41"/>
      <c r="L105" s="41"/>
      <c r="M105" s="41"/>
      <c r="N105" s="6">
        <f t="shared" si="61"/>
        <v>20.501999999999999</v>
      </c>
      <c r="O105" s="40"/>
      <c r="P105" s="9">
        <v>42248</v>
      </c>
      <c r="Q105" s="43"/>
      <c r="R105" s="43"/>
      <c r="S105" s="41"/>
      <c r="T105" s="41"/>
      <c r="U105" s="41"/>
      <c r="V105" s="41">
        <v>1307963.1200000001</v>
      </c>
      <c r="W105" s="41"/>
      <c r="X105" s="41"/>
      <c r="Y105" s="41"/>
      <c r="Z105" s="41"/>
      <c r="AA105" s="41"/>
      <c r="AB105" s="41"/>
      <c r="AC105" s="6">
        <f t="shared" si="62"/>
        <v>1307963.1200000001</v>
      </c>
      <c r="AD105" s="40"/>
      <c r="AE105" s="9">
        <v>42248</v>
      </c>
      <c r="AF105" s="43"/>
      <c r="AG105" s="43"/>
      <c r="AH105" s="41"/>
      <c r="AI105" s="41"/>
      <c r="AJ105" s="41"/>
      <c r="AK105" s="41">
        <v>19892.975209125478</v>
      </c>
      <c r="AL105" s="41"/>
      <c r="AM105" s="41"/>
      <c r="AN105" s="41"/>
      <c r="AO105" s="41"/>
      <c r="AP105" s="41"/>
      <c r="AQ105" s="41"/>
      <c r="AR105" s="6">
        <f t="shared" si="63"/>
        <v>19892.975209125478</v>
      </c>
      <c r="AU105" s="92">
        <f t="shared" si="58"/>
        <v>970.29437172595249</v>
      </c>
      <c r="AV105" s="92" t="e">
        <f t="shared" si="59"/>
        <v>#DIV/0!</v>
      </c>
      <c r="AW105" s="92" t="e">
        <f t="shared" si="60"/>
        <v>#DIV/0!</v>
      </c>
    </row>
    <row r="106" spans="1:49">
      <c r="A106" s="9">
        <v>42278</v>
      </c>
      <c r="B106" s="43"/>
      <c r="C106" s="43"/>
      <c r="D106" s="41"/>
      <c r="E106" s="41"/>
      <c r="F106" s="41"/>
      <c r="G106" s="41"/>
      <c r="H106" s="41"/>
      <c r="I106" s="41"/>
      <c r="J106" s="41"/>
      <c r="K106" s="41"/>
      <c r="L106" s="41">
        <v>2.4</v>
      </c>
      <c r="M106" s="41"/>
      <c r="N106" s="6">
        <f t="shared" si="61"/>
        <v>2.4</v>
      </c>
      <c r="O106" s="40"/>
      <c r="P106" s="9">
        <v>42278</v>
      </c>
      <c r="Q106" s="43"/>
      <c r="R106" s="43"/>
      <c r="S106" s="41"/>
      <c r="T106" s="41"/>
      <c r="U106" s="41"/>
      <c r="V106" s="41"/>
      <c r="W106" s="41"/>
      <c r="X106" s="41"/>
      <c r="Y106" s="41"/>
      <c r="Z106" s="41"/>
      <c r="AA106" s="41">
        <v>293156.15000000002</v>
      </c>
      <c r="AB106" s="41"/>
      <c r="AC106" s="6">
        <f t="shared" si="62"/>
        <v>293156.15000000002</v>
      </c>
      <c r="AD106" s="40"/>
      <c r="AE106" s="9">
        <v>42278</v>
      </c>
      <c r="AF106" s="43"/>
      <c r="AG106" s="43"/>
      <c r="AH106" s="41"/>
      <c r="AI106" s="41"/>
      <c r="AJ106" s="41"/>
      <c r="AK106" s="41"/>
      <c r="AL106" s="41"/>
      <c r="AM106" s="41"/>
      <c r="AN106" s="41"/>
      <c r="AO106" s="41"/>
      <c r="AP106" s="41">
        <v>4431.6878306878307</v>
      </c>
      <c r="AQ106" s="41"/>
      <c r="AR106" s="6">
        <f t="shared" si="63"/>
        <v>4431.6878306878307</v>
      </c>
      <c r="AU106" s="92" t="e">
        <f t="shared" si="58"/>
        <v>#DIV/0!</v>
      </c>
      <c r="AV106" s="92" t="e">
        <f t="shared" si="59"/>
        <v>#DIV/0!</v>
      </c>
      <c r="AW106" s="92" t="e">
        <f t="shared" si="60"/>
        <v>#DIV/0!</v>
      </c>
    </row>
    <row r="107" spans="1:49">
      <c r="A107" s="9">
        <v>42309</v>
      </c>
      <c r="B107" s="43"/>
      <c r="C107" s="43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6">
        <f t="shared" si="61"/>
        <v>0</v>
      </c>
      <c r="O107" s="40"/>
      <c r="P107" s="9">
        <v>42309</v>
      </c>
      <c r="Q107" s="43"/>
      <c r="R107" s="43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6">
        <f t="shared" si="62"/>
        <v>0</v>
      </c>
      <c r="AD107" s="40"/>
      <c r="AE107" s="9">
        <v>42309</v>
      </c>
      <c r="AF107" s="43"/>
      <c r="AG107" s="43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6">
        <f t="shared" si="63"/>
        <v>0</v>
      </c>
      <c r="AU107" s="92" t="e">
        <f t="shared" si="58"/>
        <v>#DIV/0!</v>
      </c>
      <c r="AV107" s="92" t="e">
        <f t="shared" si="59"/>
        <v>#DIV/0!</v>
      </c>
      <c r="AW107" s="92" t="e">
        <f t="shared" si="60"/>
        <v>#DIV/0!</v>
      </c>
    </row>
    <row r="108" spans="1:49">
      <c r="A108" s="9">
        <v>42339</v>
      </c>
      <c r="B108" s="43"/>
      <c r="C108" s="43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6">
        <f t="shared" si="61"/>
        <v>0</v>
      </c>
      <c r="O108" s="40"/>
      <c r="P108" s="9">
        <v>42339</v>
      </c>
      <c r="Q108" s="43"/>
      <c r="R108" s="43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6">
        <f t="shared" si="62"/>
        <v>0</v>
      </c>
      <c r="AD108" s="40"/>
      <c r="AE108" s="9">
        <v>42339</v>
      </c>
      <c r="AF108" s="43"/>
      <c r="AG108" s="43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6">
        <f t="shared" si="63"/>
        <v>0</v>
      </c>
      <c r="AU108" s="92" t="e">
        <f t="shared" si="58"/>
        <v>#DIV/0!</v>
      </c>
      <c r="AV108" s="92" t="e">
        <f t="shared" si="59"/>
        <v>#DIV/0!</v>
      </c>
      <c r="AW108" s="92" t="e">
        <f t="shared" si="60"/>
        <v>#DIV/0!</v>
      </c>
    </row>
    <row r="109" spans="1:49">
      <c r="A109" s="9">
        <v>42370</v>
      </c>
      <c r="B109" s="43"/>
      <c r="C109" s="43"/>
      <c r="D109" s="41"/>
      <c r="E109" s="41"/>
      <c r="F109" s="41"/>
      <c r="G109" s="41"/>
      <c r="H109" s="41"/>
      <c r="I109" s="41"/>
      <c r="J109" s="41">
        <v>1.6</v>
      </c>
      <c r="K109" s="41"/>
      <c r="L109" s="41">
        <f>20*0</f>
        <v>0</v>
      </c>
      <c r="M109" s="41"/>
      <c r="N109" s="6">
        <f t="shared" si="61"/>
        <v>1.6</v>
      </c>
      <c r="O109" s="40"/>
      <c r="P109" s="9">
        <v>42370</v>
      </c>
      <c r="Q109" s="43"/>
      <c r="R109" s="43"/>
      <c r="S109" s="41"/>
      <c r="T109" s="41"/>
      <c r="U109" s="41"/>
      <c r="V109" s="41"/>
      <c r="W109" s="41"/>
      <c r="X109" s="41"/>
      <c r="Y109" s="41">
        <v>311594.09000000003</v>
      </c>
      <c r="Z109" s="41"/>
      <c r="AA109" s="41">
        <f>1932834.22*0</f>
        <v>0</v>
      </c>
      <c r="AB109" s="41"/>
      <c r="AC109" s="6">
        <f t="shared" si="62"/>
        <v>311594.09000000003</v>
      </c>
      <c r="AD109" s="40"/>
      <c r="AE109" s="9">
        <v>42370</v>
      </c>
      <c r="AF109" s="43"/>
      <c r="AG109" s="43"/>
      <c r="AH109" s="41"/>
      <c r="AI109" s="41"/>
      <c r="AJ109" s="41"/>
      <c r="AK109" s="41"/>
      <c r="AL109" s="41"/>
      <c r="AM109" s="41"/>
      <c r="AN109" s="41">
        <v>4555.4691520467841</v>
      </c>
      <c r="AO109" s="41"/>
      <c r="AP109" s="41">
        <f>28257.8102339181*0</f>
        <v>0</v>
      </c>
      <c r="AQ109" s="41"/>
      <c r="AR109" s="6">
        <f t="shared" si="63"/>
        <v>4555.4691520467841</v>
      </c>
      <c r="AU109" s="92" t="e">
        <f t="shared" si="58"/>
        <v>#DIV/0!</v>
      </c>
      <c r="AV109" s="92" t="e">
        <f t="shared" si="59"/>
        <v>#DIV/0!</v>
      </c>
      <c r="AW109" s="92" t="e">
        <f t="shared" si="60"/>
        <v>#DIV/0!</v>
      </c>
    </row>
    <row r="110" spans="1:49">
      <c r="A110" s="9">
        <v>42401</v>
      </c>
      <c r="B110" s="43"/>
      <c r="C110" s="43"/>
      <c r="D110" s="41"/>
      <c r="E110" s="41"/>
      <c r="F110" s="41"/>
      <c r="G110" s="41"/>
      <c r="H110" s="41"/>
      <c r="I110" s="41"/>
      <c r="J110" s="41"/>
      <c r="K110" s="41">
        <v>0.91649999999999998</v>
      </c>
      <c r="L110" s="41"/>
      <c r="M110" s="41"/>
      <c r="N110" s="6">
        <f t="shared" si="61"/>
        <v>0.91649999999999998</v>
      </c>
      <c r="O110" s="40"/>
      <c r="P110" s="9">
        <v>42401</v>
      </c>
      <c r="Q110" s="43"/>
      <c r="R110" s="43"/>
      <c r="S110" s="41"/>
      <c r="T110" s="41"/>
      <c r="U110" s="41"/>
      <c r="V110" s="41"/>
      <c r="W110" s="41"/>
      <c r="X110" s="41"/>
      <c r="Y110" s="41"/>
      <c r="Z110" s="41">
        <v>493425.72</v>
      </c>
      <c r="AA110" s="41"/>
      <c r="AB110" s="41"/>
      <c r="AC110" s="6">
        <f t="shared" si="62"/>
        <v>493425.72</v>
      </c>
      <c r="AD110" s="40"/>
      <c r="AE110" s="9">
        <v>42401</v>
      </c>
      <c r="AF110" s="43"/>
      <c r="AG110" s="43"/>
      <c r="AH110" s="41"/>
      <c r="AI110" s="41"/>
      <c r="AJ110" s="41"/>
      <c r="AK110" s="41"/>
      <c r="AL110" s="41"/>
      <c r="AM110" s="41"/>
      <c r="AN110" s="41"/>
      <c r="AO110" s="41">
        <v>7208.5569028487944</v>
      </c>
      <c r="AP110" s="41"/>
      <c r="AQ110" s="41"/>
      <c r="AR110" s="6">
        <f t="shared" si="63"/>
        <v>7208.5569028487944</v>
      </c>
      <c r="AU110" s="92" t="e">
        <f t="shared" si="58"/>
        <v>#DIV/0!</v>
      </c>
      <c r="AV110" s="92" t="e">
        <f t="shared" si="59"/>
        <v>#DIV/0!</v>
      </c>
      <c r="AW110" s="92" t="e">
        <f t="shared" si="60"/>
        <v>#DIV/0!</v>
      </c>
    </row>
    <row r="111" spans="1:49">
      <c r="A111" s="9">
        <v>42430</v>
      </c>
      <c r="B111" s="43"/>
      <c r="C111" s="43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6">
        <f t="shared" si="61"/>
        <v>0</v>
      </c>
      <c r="O111" s="40"/>
      <c r="P111" s="9">
        <v>42430</v>
      </c>
      <c r="Q111" s="43"/>
      <c r="R111" s="43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6">
        <f t="shared" si="62"/>
        <v>0</v>
      </c>
      <c r="AD111" s="40"/>
      <c r="AE111" s="9">
        <v>42430</v>
      </c>
      <c r="AF111" s="43"/>
      <c r="AG111" s="43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6">
        <f t="shared" si="63"/>
        <v>0</v>
      </c>
      <c r="AU111" s="92" t="e">
        <f t="shared" si="58"/>
        <v>#DIV/0!</v>
      </c>
      <c r="AV111" s="92" t="e">
        <f t="shared" si="59"/>
        <v>#DIV/0!</v>
      </c>
      <c r="AW111" s="92" t="e">
        <f t="shared" si="60"/>
        <v>#DIV/0!</v>
      </c>
    </row>
    <row r="112" spans="1:49">
      <c r="A112" s="128" t="s">
        <v>4</v>
      </c>
      <c r="B112" s="91">
        <f>SUM(B100:B111)</f>
        <v>0</v>
      </c>
      <c r="C112" s="91">
        <f t="shared" ref="C112:M112" si="64">SUM(C100:C111)</f>
        <v>0</v>
      </c>
      <c r="D112" s="91">
        <f t="shared" si="64"/>
        <v>13.6</v>
      </c>
      <c r="E112" s="91">
        <f t="shared" si="64"/>
        <v>0</v>
      </c>
      <c r="F112" s="91">
        <f t="shared" si="64"/>
        <v>0</v>
      </c>
      <c r="G112" s="91">
        <f t="shared" si="64"/>
        <v>20.501999999999999</v>
      </c>
      <c r="H112" s="91">
        <f t="shared" si="64"/>
        <v>0</v>
      </c>
      <c r="I112" s="91">
        <f t="shared" si="64"/>
        <v>0</v>
      </c>
      <c r="J112" s="91">
        <f t="shared" si="64"/>
        <v>1.6</v>
      </c>
      <c r="K112" s="91">
        <f t="shared" si="64"/>
        <v>0.91649999999999998</v>
      </c>
      <c r="L112" s="91">
        <f t="shared" si="64"/>
        <v>12.48</v>
      </c>
      <c r="M112" s="91">
        <f t="shared" si="64"/>
        <v>0</v>
      </c>
      <c r="N112" s="127">
        <f t="shared" si="61"/>
        <v>49.098500000000001</v>
      </c>
      <c r="O112" s="40"/>
      <c r="P112" s="128" t="s">
        <v>4</v>
      </c>
      <c r="Q112" s="91">
        <f>SUM(Q100:Q111)</f>
        <v>0</v>
      </c>
      <c r="R112" s="91">
        <f t="shared" ref="R112:AB112" si="65">SUM(R100:R111)</f>
        <v>0</v>
      </c>
      <c r="S112" s="91">
        <f t="shared" si="65"/>
        <v>2939006.07</v>
      </c>
      <c r="T112" s="91">
        <f t="shared" si="65"/>
        <v>0</v>
      </c>
      <c r="U112" s="91">
        <f t="shared" si="65"/>
        <v>0</v>
      </c>
      <c r="V112" s="91">
        <f t="shared" si="65"/>
        <v>1307963.1200000001</v>
      </c>
      <c r="W112" s="91">
        <f t="shared" si="65"/>
        <v>0</v>
      </c>
      <c r="X112" s="91">
        <f t="shared" si="65"/>
        <v>0</v>
      </c>
      <c r="Y112" s="91">
        <f t="shared" si="65"/>
        <v>311594.09000000003</v>
      </c>
      <c r="Z112" s="91">
        <f t="shared" si="65"/>
        <v>493425.72</v>
      </c>
      <c r="AA112" s="91">
        <f t="shared" si="65"/>
        <v>1660702.29</v>
      </c>
      <c r="AB112" s="91">
        <f t="shared" si="65"/>
        <v>0</v>
      </c>
      <c r="AC112" s="127">
        <f t="shared" si="62"/>
        <v>6712691.2899999991</v>
      </c>
      <c r="AD112" s="40"/>
      <c r="AE112" s="128" t="s">
        <v>4</v>
      </c>
      <c r="AF112" s="91">
        <f>SUM(AF100:AF111)</f>
        <v>0</v>
      </c>
      <c r="AG112" s="91">
        <f t="shared" ref="AG112:AQ112" si="66">SUM(AG100:AG111)</f>
        <v>0</v>
      </c>
      <c r="AH112" s="91">
        <f t="shared" si="66"/>
        <v>45707.714930015551</v>
      </c>
      <c r="AI112" s="91">
        <f t="shared" si="66"/>
        <v>0</v>
      </c>
      <c r="AJ112" s="91">
        <f t="shared" si="66"/>
        <v>0</v>
      </c>
      <c r="AK112" s="91">
        <f t="shared" si="66"/>
        <v>19892.975209125478</v>
      </c>
      <c r="AL112" s="91">
        <f t="shared" si="66"/>
        <v>0</v>
      </c>
      <c r="AM112" s="91">
        <f t="shared" si="66"/>
        <v>0</v>
      </c>
      <c r="AN112" s="91">
        <f t="shared" si="66"/>
        <v>4555.4691520467841</v>
      </c>
      <c r="AO112" s="91">
        <f t="shared" si="66"/>
        <v>7208.5569028487944</v>
      </c>
      <c r="AP112" s="91">
        <f t="shared" si="66"/>
        <v>25699.901516535421</v>
      </c>
      <c r="AQ112" s="91">
        <f t="shared" si="66"/>
        <v>0</v>
      </c>
      <c r="AR112" s="127">
        <f t="shared" si="63"/>
        <v>103064.61771057203</v>
      </c>
    </row>
    <row r="113" spans="1:35">
      <c r="C113" s="1"/>
      <c r="R113" s="1"/>
    </row>
    <row r="114" spans="1:35">
      <c r="C114" s="1"/>
      <c r="N114" s="42"/>
      <c r="O114" s="34"/>
      <c r="R114" s="1"/>
    </row>
    <row r="115" spans="1:35">
      <c r="C115" s="1"/>
      <c r="O115" s="34"/>
      <c r="R115" s="1"/>
    </row>
    <row r="116" spans="1:35" s="40" customFormat="1">
      <c r="A116" s="160" t="s">
        <v>52</v>
      </c>
      <c r="B116" s="162" t="s">
        <v>21</v>
      </c>
      <c r="C116" s="162"/>
      <c r="D116" s="162" t="s">
        <v>84</v>
      </c>
      <c r="E116" s="162"/>
      <c r="F116" s="422" t="s">
        <v>85</v>
      </c>
      <c r="G116" s="423"/>
      <c r="AH116" s="421" t="s">
        <v>84</v>
      </c>
      <c r="AI116" s="421"/>
    </row>
    <row r="117" spans="1:35" s="40" customFormat="1">
      <c r="A117" s="140" t="s">
        <v>32</v>
      </c>
      <c r="B117" s="161" t="s">
        <v>109</v>
      </c>
      <c r="C117" s="161" t="s">
        <v>110</v>
      </c>
      <c r="D117" s="161" t="s">
        <v>109</v>
      </c>
      <c r="E117" s="161" t="s">
        <v>110</v>
      </c>
      <c r="F117" s="27" t="s">
        <v>109</v>
      </c>
      <c r="G117" s="161" t="s">
        <v>110</v>
      </c>
    </row>
    <row r="118" spans="1:35" s="40" customFormat="1">
      <c r="A118" s="9">
        <v>41365</v>
      </c>
      <c r="B118" s="42">
        <f>G20+G36+G52+G68</f>
        <v>3977.8</v>
      </c>
      <c r="C118" s="42">
        <f t="shared" ref="C118:C129" si="67">G84+G100</f>
        <v>0</v>
      </c>
      <c r="D118" s="42">
        <f>AK20+AK36+AK52+AK68</f>
        <v>5476787.1715127714</v>
      </c>
      <c r="E118" s="42">
        <f t="shared" ref="E118:E129" si="68">AK84+AK100</f>
        <v>0</v>
      </c>
      <c r="F118" s="88">
        <f>IF(B118&lt;=0,0,D118/B118)</f>
        <v>1376.8382451387126</v>
      </c>
      <c r="G118" s="43">
        <f>IF(C118&lt;=0,0,E118/C118)</f>
        <v>0</v>
      </c>
    </row>
    <row r="119" spans="1:35" s="40" customFormat="1">
      <c r="A119" s="9">
        <v>41395</v>
      </c>
      <c r="B119" s="42">
        <f t="shared" ref="B119:B130" si="69">G21+G37+G53+G69</f>
        <v>3646.34</v>
      </c>
      <c r="C119" s="42">
        <f t="shared" si="67"/>
        <v>75.460000000000008</v>
      </c>
      <c r="D119" s="42">
        <f t="shared" ref="D119:D130" si="70">AK21+AK37+AK53+AK69</f>
        <v>4991324.6850061053</v>
      </c>
      <c r="E119" s="42">
        <f t="shared" si="68"/>
        <v>109107.30917573873</v>
      </c>
      <c r="F119" s="88">
        <f t="shared" ref="F119:G130" si="71">IF(B119&lt;=0,0,D119/B119)</f>
        <v>1368.8588241925067</v>
      </c>
      <c r="G119" s="43">
        <f t="shared" si="71"/>
        <v>1445.8959604524082</v>
      </c>
    </row>
    <row r="120" spans="1:35" s="40" customFormat="1">
      <c r="A120" s="9">
        <v>41426</v>
      </c>
      <c r="B120" s="42">
        <f t="shared" si="69"/>
        <v>5283.83</v>
      </c>
      <c r="C120" s="42">
        <f t="shared" si="67"/>
        <v>228.46</v>
      </c>
      <c r="D120" s="42">
        <f t="shared" si="70"/>
        <v>7166803.2182185361</v>
      </c>
      <c r="E120" s="42">
        <f t="shared" si="68"/>
        <v>331472.4500296379</v>
      </c>
      <c r="F120" s="88">
        <f t="shared" si="71"/>
        <v>1356.3652158034108</v>
      </c>
      <c r="G120" s="43">
        <f t="shared" si="71"/>
        <v>1450.8992822797773</v>
      </c>
    </row>
    <row r="121" spans="1:35" s="40" customFormat="1">
      <c r="A121" s="9">
        <v>41456</v>
      </c>
      <c r="B121" s="42">
        <f t="shared" si="69"/>
        <v>1801.41</v>
      </c>
      <c r="C121" s="42">
        <f t="shared" si="67"/>
        <v>929.20600000000002</v>
      </c>
      <c r="D121" s="42">
        <f t="shared" si="70"/>
        <v>2449646.3797414061</v>
      </c>
      <c r="E121" s="42">
        <f t="shared" si="68"/>
        <v>1256144.2744149768</v>
      </c>
      <c r="F121" s="88">
        <f t="shared" si="71"/>
        <v>1359.8494400172121</v>
      </c>
      <c r="G121" s="43">
        <f t="shared" si="71"/>
        <v>1351.8469256709243</v>
      </c>
    </row>
    <row r="122" spans="1:35" s="40" customFormat="1">
      <c r="A122" s="9">
        <v>41487</v>
      </c>
      <c r="B122" s="42">
        <f t="shared" si="69"/>
        <v>3316.57</v>
      </c>
      <c r="C122" s="42">
        <f t="shared" si="67"/>
        <v>251.22</v>
      </c>
      <c r="D122" s="42">
        <f t="shared" si="70"/>
        <v>4569371.3752315231</v>
      </c>
      <c r="E122" s="42">
        <f t="shared" si="68"/>
        <v>343413.48407148407</v>
      </c>
      <c r="F122" s="88">
        <f t="shared" si="71"/>
        <v>1377.7400673682519</v>
      </c>
      <c r="G122" s="43">
        <f t="shared" si="71"/>
        <v>1366.9830589582202</v>
      </c>
    </row>
    <row r="123" spans="1:35" s="40" customFormat="1">
      <c r="A123" s="9">
        <v>41518</v>
      </c>
      <c r="B123" s="42">
        <f t="shared" si="69"/>
        <v>879.29</v>
      </c>
      <c r="C123" s="42">
        <f t="shared" si="67"/>
        <v>239.30200000000002</v>
      </c>
      <c r="D123" s="42">
        <f t="shared" si="70"/>
        <v>1145103.6680692467</v>
      </c>
      <c r="E123" s="42">
        <f t="shared" si="68"/>
        <v>306192.6975420987</v>
      </c>
      <c r="F123" s="88">
        <f t="shared" si="71"/>
        <v>1302.3048915252609</v>
      </c>
      <c r="G123" s="43">
        <f t="shared" si="71"/>
        <v>1279.5241892758886</v>
      </c>
    </row>
    <row r="124" spans="1:35" s="40" customFormat="1">
      <c r="A124" s="9">
        <v>41548</v>
      </c>
      <c r="B124" s="42">
        <f t="shared" si="69"/>
        <v>1452.42</v>
      </c>
      <c r="C124" s="42">
        <f t="shared" si="67"/>
        <v>476.08600000000001</v>
      </c>
      <c r="D124" s="42">
        <f t="shared" si="70"/>
        <v>1595755.9561992751</v>
      </c>
      <c r="E124" s="42">
        <f t="shared" si="68"/>
        <v>624497.90310573857</v>
      </c>
      <c r="F124" s="88">
        <f t="shared" si="71"/>
        <v>1098.687677255391</v>
      </c>
      <c r="G124" s="43">
        <f t="shared" si="71"/>
        <v>1311.7333908279986</v>
      </c>
    </row>
    <row r="125" spans="1:35" s="40" customFormat="1">
      <c r="A125" s="9">
        <v>41579</v>
      </c>
      <c r="B125" s="42">
        <f t="shared" si="69"/>
        <v>2033.15</v>
      </c>
      <c r="C125" s="42">
        <f t="shared" si="67"/>
        <v>14</v>
      </c>
      <c r="D125" s="42">
        <f t="shared" si="70"/>
        <v>2119217.3319434095</v>
      </c>
      <c r="E125" s="42">
        <f t="shared" si="68"/>
        <v>18443.820543806643</v>
      </c>
      <c r="F125" s="88">
        <f t="shared" si="71"/>
        <v>1042.3320128585738</v>
      </c>
      <c r="G125" s="43">
        <f t="shared" si="71"/>
        <v>1317.4157531290459</v>
      </c>
    </row>
    <row r="126" spans="1:35" s="40" customFormat="1">
      <c r="A126" s="9">
        <v>41609</v>
      </c>
      <c r="B126" s="42">
        <f t="shared" si="69"/>
        <v>1900</v>
      </c>
      <c r="C126" s="42">
        <f t="shared" si="67"/>
        <v>224</v>
      </c>
      <c r="D126" s="42">
        <f t="shared" si="70"/>
        <v>2197485.6082108873</v>
      </c>
      <c r="E126" s="42">
        <f t="shared" si="68"/>
        <v>249119.43587015406</v>
      </c>
      <c r="F126" s="88">
        <f t="shared" si="71"/>
        <v>1156.5713727425723</v>
      </c>
      <c r="G126" s="43">
        <f t="shared" si="71"/>
        <v>1112.140338706045</v>
      </c>
    </row>
    <row r="127" spans="1:35" s="40" customFormat="1">
      <c r="A127" s="9">
        <v>41640</v>
      </c>
      <c r="B127" s="42">
        <f t="shared" si="69"/>
        <v>1416.8</v>
      </c>
      <c r="C127" s="42">
        <f t="shared" si="67"/>
        <v>19.14</v>
      </c>
      <c r="D127" s="42">
        <f t="shared" si="70"/>
        <v>1577652.4732166021</v>
      </c>
      <c r="E127" s="42">
        <f t="shared" si="68"/>
        <v>23458.653965900667</v>
      </c>
      <c r="F127" s="88">
        <f t="shared" si="71"/>
        <v>1113.5322368835418</v>
      </c>
      <c r="G127" s="43">
        <f t="shared" si="71"/>
        <v>1225.6350034430859</v>
      </c>
    </row>
    <row r="128" spans="1:35" s="40" customFormat="1">
      <c r="A128" s="9">
        <v>41671</v>
      </c>
      <c r="B128" s="42">
        <f t="shared" si="69"/>
        <v>1752.8000000000002</v>
      </c>
      <c r="C128" s="42">
        <f t="shared" si="67"/>
        <v>0</v>
      </c>
      <c r="D128" s="42">
        <f t="shared" si="70"/>
        <v>1932310.2564968492</v>
      </c>
      <c r="E128" s="42">
        <f t="shared" si="68"/>
        <v>0</v>
      </c>
      <c r="F128" s="88">
        <f t="shared" si="71"/>
        <v>1102.4134279420637</v>
      </c>
      <c r="G128" s="43">
        <f t="shared" si="71"/>
        <v>0</v>
      </c>
    </row>
    <row r="129" spans="1:49" s="40" customFormat="1">
      <c r="A129" s="9">
        <v>41699</v>
      </c>
      <c r="B129" s="42">
        <f t="shared" si="69"/>
        <v>1337.79</v>
      </c>
      <c r="C129" s="42">
        <f t="shared" si="67"/>
        <v>0</v>
      </c>
      <c r="D129" s="42">
        <f t="shared" si="70"/>
        <v>1548445.2005305579</v>
      </c>
      <c r="E129" s="42">
        <f t="shared" si="68"/>
        <v>0</v>
      </c>
      <c r="F129" s="88">
        <f t="shared" si="71"/>
        <v>1157.4650733901119</v>
      </c>
      <c r="G129" s="43">
        <f t="shared" si="71"/>
        <v>0</v>
      </c>
    </row>
    <row r="130" spans="1:49" s="40" customFormat="1">
      <c r="A130" s="141" t="s">
        <v>20</v>
      </c>
      <c r="B130" s="131">
        <f t="shared" si="69"/>
        <v>28798.200000000004</v>
      </c>
      <c r="C130" s="93"/>
      <c r="D130" s="131">
        <f t="shared" si="70"/>
        <v>36769903.324377164</v>
      </c>
      <c r="E130" s="93"/>
      <c r="F130" s="130">
        <f t="shared" si="71"/>
        <v>1276.8125551033454</v>
      </c>
      <c r="G130" s="129">
        <f t="shared" si="71"/>
        <v>0</v>
      </c>
    </row>
    <row r="131" spans="1:49" s="40" customFormat="1"/>
    <row r="132" spans="1:49" s="40" customFormat="1"/>
    <row r="133" spans="1:49" s="40" customFormat="1"/>
    <row r="134" spans="1:49" s="40" customFormat="1">
      <c r="A134" s="25" t="s">
        <v>22</v>
      </c>
      <c r="B134" s="16" t="s">
        <v>133</v>
      </c>
      <c r="C134" s="16" t="s">
        <v>19</v>
      </c>
      <c r="D134" s="161" t="s">
        <v>17</v>
      </c>
      <c r="E134" s="161" t="s">
        <v>24</v>
      </c>
      <c r="F134" s="161" t="s">
        <v>10</v>
      </c>
      <c r="G134" s="161" t="s">
        <v>11</v>
      </c>
      <c r="H134" s="161" t="s">
        <v>12</v>
      </c>
      <c r="I134" s="161" t="s">
        <v>13</v>
      </c>
      <c r="J134" s="161" t="s">
        <v>14</v>
      </c>
      <c r="K134" s="161" t="s">
        <v>18</v>
      </c>
      <c r="L134" s="161" t="s">
        <v>15</v>
      </c>
      <c r="M134" s="161" t="s">
        <v>16</v>
      </c>
      <c r="N134" s="27" t="s">
        <v>20</v>
      </c>
      <c r="P134" s="25" t="s">
        <v>22</v>
      </c>
      <c r="Q134" s="161" t="s">
        <v>133</v>
      </c>
      <c r="R134" s="161" t="s">
        <v>19</v>
      </c>
      <c r="S134" s="161" t="s">
        <v>17</v>
      </c>
      <c r="T134" s="161" t="s">
        <v>24</v>
      </c>
      <c r="U134" s="161" t="s">
        <v>10</v>
      </c>
      <c r="V134" s="161" t="s">
        <v>11</v>
      </c>
      <c r="W134" s="161" t="s">
        <v>12</v>
      </c>
      <c r="X134" s="161" t="s">
        <v>13</v>
      </c>
      <c r="Y134" s="161" t="s">
        <v>14</v>
      </c>
      <c r="Z134" s="161" t="s">
        <v>18</v>
      </c>
      <c r="AA134" s="161" t="s">
        <v>15</v>
      </c>
      <c r="AB134" s="161" t="s">
        <v>16</v>
      </c>
      <c r="AC134" s="27" t="s">
        <v>20</v>
      </c>
      <c r="AE134" s="25" t="s">
        <v>22</v>
      </c>
      <c r="AF134" s="161" t="s">
        <v>133</v>
      </c>
      <c r="AG134" s="161" t="s">
        <v>19</v>
      </c>
      <c r="AH134" s="161" t="s">
        <v>17</v>
      </c>
      <c r="AI134" s="161" t="s">
        <v>24</v>
      </c>
      <c r="AJ134" s="161" t="s">
        <v>10</v>
      </c>
      <c r="AK134" s="161" t="s">
        <v>11</v>
      </c>
      <c r="AL134" s="161" t="s">
        <v>12</v>
      </c>
      <c r="AM134" s="161" t="s">
        <v>13</v>
      </c>
      <c r="AN134" s="161" t="s">
        <v>14</v>
      </c>
      <c r="AO134" s="161" t="s">
        <v>18</v>
      </c>
      <c r="AP134" s="161" t="s">
        <v>15</v>
      </c>
      <c r="AQ134" s="161" t="s">
        <v>16</v>
      </c>
      <c r="AR134" s="27" t="s">
        <v>20</v>
      </c>
      <c r="AU134" s="161" t="s">
        <v>11</v>
      </c>
      <c r="AV134" s="161" t="s">
        <v>12</v>
      </c>
      <c r="AW134" s="161" t="s">
        <v>13</v>
      </c>
    </row>
    <row r="135" spans="1:49" s="40" customFormat="1">
      <c r="A135" s="9" t="s">
        <v>119</v>
      </c>
      <c r="B135" s="41">
        <f t="shared" ref="B135:N135" si="72">SUM(B4:B9)</f>
        <v>0</v>
      </c>
      <c r="C135" s="41">
        <f t="shared" si="72"/>
        <v>0</v>
      </c>
      <c r="D135" s="41">
        <f t="shared" si="72"/>
        <v>20.399999999999999</v>
      </c>
      <c r="E135" s="41">
        <f t="shared" si="72"/>
        <v>0</v>
      </c>
      <c r="F135" s="41">
        <f t="shared" si="72"/>
        <v>440.71999999999997</v>
      </c>
      <c r="G135" s="41">
        <f t="shared" si="72"/>
        <v>20628.887999999999</v>
      </c>
      <c r="H135" s="41">
        <f t="shared" si="72"/>
        <v>5705.29</v>
      </c>
      <c r="I135" s="41">
        <f t="shared" si="72"/>
        <v>1198.23</v>
      </c>
      <c r="J135" s="41">
        <f t="shared" si="72"/>
        <v>0</v>
      </c>
      <c r="K135" s="41">
        <f t="shared" si="72"/>
        <v>68.399999999999991</v>
      </c>
      <c r="L135" s="41">
        <f t="shared" si="72"/>
        <v>70.08</v>
      </c>
      <c r="M135" s="41">
        <f t="shared" si="72"/>
        <v>16.899999999999999</v>
      </c>
      <c r="N135" s="6">
        <f t="shared" si="72"/>
        <v>28148.908000000003</v>
      </c>
      <c r="P135" s="9" t="s">
        <v>119</v>
      </c>
      <c r="Q135" s="41">
        <f t="shared" ref="Q135:AC135" si="73">SUM(Q4:Q9)</f>
        <v>0</v>
      </c>
      <c r="R135" s="41">
        <f t="shared" si="73"/>
        <v>0</v>
      </c>
      <c r="S135" s="41">
        <f t="shared" si="73"/>
        <v>4596803.91</v>
      </c>
      <c r="T135" s="41">
        <f t="shared" si="73"/>
        <v>0</v>
      </c>
      <c r="U135" s="41">
        <f t="shared" si="73"/>
        <v>41315332.809999995</v>
      </c>
      <c r="V135" s="41">
        <f t="shared" si="73"/>
        <v>1807886372.8900001</v>
      </c>
      <c r="W135" s="41">
        <f t="shared" si="73"/>
        <v>537789225.26999998</v>
      </c>
      <c r="X135" s="41">
        <f t="shared" si="73"/>
        <v>108710478.91999999</v>
      </c>
      <c r="Y135" s="41">
        <f t="shared" si="73"/>
        <v>0</v>
      </c>
      <c r="Z135" s="41">
        <f t="shared" si="73"/>
        <v>7263825.6899999995</v>
      </c>
      <c r="AA135" s="41">
        <f t="shared" si="73"/>
        <v>6713973.5799999991</v>
      </c>
      <c r="AB135" s="41">
        <f t="shared" si="73"/>
        <v>1666521.5</v>
      </c>
      <c r="AC135" s="6">
        <f t="shared" si="73"/>
        <v>2515942534.5700002</v>
      </c>
      <c r="AE135" s="9" t="s">
        <v>119</v>
      </c>
      <c r="AF135" s="41">
        <f t="shared" ref="AF135:AR135" si="74">SUM(AF4:AF9)</f>
        <v>0</v>
      </c>
      <c r="AG135" s="41">
        <f t="shared" si="74"/>
        <v>0</v>
      </c>
      <c r="AH135" s="41">
        <f t="shared" si="74"/>
        <v>70432.514930015546</v>
      </c>
      <c r="AI135" s="41">
        <f t="shared" si="74"/>
        <v>0</v>
      </c>
      <c r="AJ135" s="41">
        <f t="shared" si="74"/>
        <v>641015.98329931288</v>
      </c>
      <c r="AK135" s="41">
        <f t="shared" si="74"/>
        <v>28145366.713013522</v>
      </c>
      <c r="AL135" s="41">
        <f t="shared" si="74"/>
        <v>8342829.6821065741</v>
      </c>
      <c r="AM135" s="41">
        <f t="shared" si="74"/>
        <v>1674562.4086372603</v>
      </c>
      <c r="AN135" s="41">
        <f t="shared" si="74"/>
        <v>0</v>
      </c>
      <c r="AO135" s="41">
        <f t="shared" si="74"/>
        <v>110967.80008109572</v>
      </c>
      <c r="AP135" s="41">
        <f t="shared" si="74"/>
        <v>102368.57467764681</v>
      </c>
      <c r="AQ135" s="41">
        <f t="shared" si="74"/>
        <v>24915.374320033625</v>
      </c>
      <c r="AR135" s="6">
        <f t="shared" si="74"/>
        <v>39112459.051065467</v>
      </c>
      <c r="AU135" s="92">
        <f t="shared" ref="AU135:AW141" si="75">+AK135/G135</f>
        <v>1364.3666451150214</v>
      </c>
      <c r="AV135" s="92">
        <f t="shared" si="75"/>
        <v>1462.2972157605616</v>
      </c>
      <c r="AW135" s="92">
        <f t="shared" si="75"/>
        <v>1397.5300306596066</v>
      </c>
    </row>
    <row r="136" spans="1:49" s="40" customFormat="1">
      <c r="A136" s="151" t="s">
        <v>117</v>
      </c>
      <c r="B136" s="41">
        <f>SUM(B20:B25)+SUM(B36:B41)+SUM(B52:B57)+SUM(B68:B73)</f>
        <v>0</v>
      </c>
      <c r="C136" s="41">
        <f t="shared" ref="C136:N136" si="76">SUM(C20:C25)+SUM(C36:C41)+SUM(C52:C57)+SUM(C68:C73)</f>
        <v>0</v>
      </c>
      <c r="D136" s="41">
        <f t="shared" si="76"/>
        <v>6.8</v>
      </c>
      <c r="E136" s="41">
        <f t="shared" si="76"/>
        <v>0</v>
      </c>
      <c r="F136" s="41">
        <f t="shared" si="76"/>
        <v>440.72</v>
      </c>
      <c r="G136" s="41">
        <f t="shared" si="76"/>
        <v>18905.240000000005</v>
      </c>
      <c r="H136" s="41">
        <f t="shared" si="76"/>
        <v>5705.2900000000009</v>
      </c>
      <c r="I136" s="41">
        <f t="shared" si="76"/>
        <v>1198.23</v>
      </c>
      <c r="J136" s="41">
        <f t="shared" si="76"/>
        <v>0</v>
      </c>
      <c r="K136" s="41">
        <f t="shared" si="76"/>
        <v>68.399999999999991</v>
      </c>
      <c r="L136" s="41">
        <f t="shared" si="76"/>
        <v>60</v>
      </c>
      <c r="M136" s="41">
        <f t="shared" si="76"/>
        <v>16.899999999999999</v>
      </c>
      <c r="N136" s="6">
        <f t="shared" si="76"/>
        <v>26401.58</v>
      </c>
      <c r="P136" s="151" t="s">
        <v>117</v>
      </c>
      <c r="Q136" s="41">
        <f>SUM(Q20:Q25)+SUM(Q36:Q41)+SUM(Q52:Q57)+SUM(Q68:Q73)</f>
        <v>0</v>
      </c>
      <c r="R136" s="41">
        <f t="shared" ref="R136:AC136" si="77">SUM(R20:R25)+SUM(R36:R41)+SUM(R52:R57)+SUM(R68:R73)</f>
        <v>0</v>
      </c>
      <c r="S136" s="41">
        <f t="shared" si="77"/>
        <v>1657797.84</v>
      </c>
      <c r="T136" s="41">
        <f t="shared" si="77"/>
        <v>0</v>
      </c>
      <c r="U136" s="41">
        <f t="shared" si="77"/>
        <v>41315332.810000002</v>
      </c>
      <c r="V136" s="41">
        <f t="shared" si="77"/>
        <v>1656512647.9200003</v>
      </c>
      <c r="W136" s="41">
        <f t="shared" si="77"/>
        <v>537789225.26999998</v>
      </c>
      <c r="X136" s="41">
        <f t="shared" si="77"/>
        <v>108710478.92</v>
      </c>
      <c r="Y136" s="41">
        <f t="shared" si="77"/>
        <v>0</v>
      </c>
      <c r="Z136" s="41">
        <f t="shared" si="77"/>
        <v>7263825.6899999995</v>
      </c>
      <c r="AA136" s="41">
        <f t="shared" si="77"/>
        <v>5346427.4399999995</v>
      </c>
      <c r="AB136" s="41">
        <f t="shared" si="77"/>
        <v>1666521.5</v>
      </c>
      <c r="AC136" s="6">
        <f t="shared" si="77"/>
        <v>2360262257.3899999</v>
      </c>
      <c r="AE136" s="151" t="s">
        <v>117</v>
      </c>
      <c r="AF136" s="41">
        <f>SUM(AF20:AF25)+SUM(AF36:AF41)+SUM(AF52:AF57)+SUM(AF68:AF73)</f>
        <v>0</v>
      </c>
      <c r="AG136" s="41">
        <f t="shared" ref="AG136:AR136" si="78">SUM(AG20:AG25)+SUM(AG36:AG41)+SUM(AG52:AG57)+SUM(AG68:AG73)</f>
        <v>0</v>
      </c>
      <c r="AH136" s="41">
        <f t="shared" si="78"/>
        <v>24724.800000000003</v>
      </c>
      <c r="AI136" s="41">
        <f t="shared" si="78"/>
        <v>0</v>
      </c>
      <c r="AJ136" s="41">
        <f t="shared" si="78"/>
        <v>641015.98329931276</v>
      </c>
      <c r="AK136" s="41">
        <f t="shared" si="78"/>
        <v>25799036.497779585</v>
      </c>
      <c r="AL136" s="41">
        <f t="shared" si="78"/>
        <v>8342829.6821065731</v>
      </c>
      <c r="AM136" s="41">
        <f t="shared" si="78"/>
        <v>1674562.4086372606</v>
      </c>
      <c r="AN136" s="41">
        <f t="shared" si="78"/>
        <v>0</v>
      </c>
      <c r="AO136" s="41">
        <f t="shared" si="78"/>
        <v>110967.80008109572</v>
      </c>
      <c r="AP136" s="41">
        <f t="shared" si="78"/>
        <v>81100.360991799229</v>
      </c>
      <c r="AQ136" s="41">
        <f t="shared" si="78"/>
        <v>24915.374320033625</v>
      </c>
      <c r="AR136" s="6">
        <f t="shared" si="78"/>
        <v>36699152.907215662</v>
      </c>
      <c r="AU136" s="92">
        <f t="shared" si="75"/>
        <v>1364.6500387077645</v>
      </c>
      <c r="AV136" s="92">
        <f t="shared" si="75"/>
        <v>1462.2972157605611</v>
      </c>
      <c r="AW136" s="92">
        <f t="shared" si="75"/>
        <v>1397.5300306596066</v>
      </c>
    </row>
    <row r="137" spans="1:49" s="40" customFormat="1">
      <c r="A137" s="151" t="s">
        <v>120</v>
      </c>
      <c r="B137" s="41">
        <f t="shared" ref="B137" si="79">SUM(B84:B89)+SUM(B100:B105)</f>
        <v>0</v>
      </c>
      <c r="C137" s="41">
        <f t="shared" ref="C137:N137" si="80">SUM(C84:C89)+SUM(C100:C105)</f>
        <v>0</v>
      </c>
      <c r="D137" s="41">
        <f t="shared" si="80"/>
        <v>13.6</v>
      </c>
      <c r="E137" s="41">
        <f t="shared" si="80"/>
        <v>0</v>
      </c>
      <c r="F137" s="41">
        <f t="shared" si="80"/>
        <v>0</v>
      </c>
      <c r="G137" s="41">
        <f t="shared" si="80"/>
        <v>1723.6479999999999</v>
      </c>
      <c r="H137" s="41">
        <f t="shared" si="80"/>
        <v>0</v>
      </c>
      <c r="I137" s="41">
        <f t="shared" si="80"/>
        <v>0</v>
      </c>
      <c r="J137" s="41">
        <f t="shared" si="80"/>
        <v>0</v>
      </c>
      <c r="K137" s="41">
        <f t="shared" si="80"/>
        <v>0</v>
      </c>
      <c r="L137" s="41">
        <f t="shared" si="80"/>
        <v>10.08</v>
      </c>
      <c r="M137" s="41">
        <f t="shared" si="80"/>
        <v>0</v>
      </c>
      <c r="N137" s="6">
        <f t="shared" si="80"/>
        <v>1747.328</v>
      </c>
      <c r="P137" s="151" t="s">
        <v>120</v>
      </c>
      <c r="Q137" s="41">
        <f t="shared" ref="Q137" si="81">SUM(Q84:Q89)+SUM(Q100:Q105)</f>
        <v>0</v>
      </c>
      <c r="R137" s="41">
        <f t="shared" ref="R137:AC137" si="82">SUM(R84:R89)+SUM(R100:R105)</f>
        <v>0</v>
      </c>
      <c r="S137" s="41">
        <f t="shared" si="82"/>
        <v>2939006.07</v>
      </c>
      <c r="T137" s="41">
        <f t="shared" si="82"/>
        <v>0</v>
      </c>
      <c r="U137" s="41">
        <f t="shared" si="82"/>
        <v>0</v>
      </c>
      <c r="V137" s="41">
        <f t="shared" si="82"/>
        <v>151373724.97000003</v>
      </c>
      <c r="W137" s="41">
        <f t="shared" si="82"/>
        <v>0</v>
      </c>
      <c r="X137" s="41">
        <f t="shared" si="82"/>
        <v>0</v>
      </c>
      <c r="Y137" s="41">
        <f t="shared" si="82"/>
        <v>0</v>
      </c>
      <c r="Z137" s="41">
        <f t="shared" si="82"/>
        <v>0</v>
      </c>
      <c r="AA137" s="41">
        <f t="shared" si="82"/>
        <v>1367546.14</v>
      </c>
      <c r="AB137" s="41">
        <f t="shared" si="82"/>
        <v>0</v>
      </c>
      <c r="AC137" s="6">
        <f t="shared" si="82"/>
        <v>155680277.18000004</v>
      </c>
      <c r="AE137" s="151" t="s">
        <v>120</v>
      </c>
      <c r="AF137" s="41">
        <f t="shared" ref="AF137" si="83">SUM(AF84:AF89)+SUM(AF100:AF105)</f>
        <v>0</v>
      </c>
      <c r="AG137" s="41">
        <f t="shared" ref="AG137:AR137" si="84">SUM(AG84:AG89)+SUM(AG100:AG105)</f>
        <v>0</v>
      </c>
      <c r="AH137" s="41">
        <f t="shared" si="84"/>
        <v>45707.714930015551</v>
      </c>
      <c r="AI137" s="41">
        <f t="shared" si="84"/>
        <v>0</v>
      </c>
      <c r="AJ137" s="41">
        <f t="shared" si="84"/>
        <v>0</v>
      </c>
      <c r="AK137" s="41">
        <f t="shared" si="84"/>
        <v>2346330.215233936</v>
      </c>
      <c r="AL137" s="41">
        <f t="shared" si="84"/>
        <v>0</v>
      </c>
      <c r="AM137" s="41">
        <f t="shared" si="84"/>
        <v>0</v>
      </c>
      <c r="AN137" s="41">
        <f t="shared" si="84"/>
        <v>0</v>
      </c>
      <c r="AO137" s="41">
        <f t="shared" si="84"/>
        <v>0</v>
      </c>
      <c r="AP137" s="41">
        <f t="shared" si="84"/>
        <v>21268.21368584759</v>
      </c>
      <c r="AQ137" s="41">
        <f t="shared" si="84"/>
        <v>0</v>
      </c>
      <c r="AR137" s="6">
        <f t="shared" si="84"/>
        <v>2413306.1438497994</v>
      </c>
      <c r="AU137" s="92">
        <f t="shared" si="75"/>
        <v>1361.2583400055789</v>
      </c>
      <c r="AV137" s="92" t="e">
        <f t="shared" si="75"/>
        <v>#DIV/0!</v>
      </c>
      <c r="AW137" s="92" t="e">
        <f t="shared" si="75"/>
        <v>#DIV/0!</v>
      </c>
    </row>
    <row r="138" spans="1:49" s="40" customFormat="1">
      <c r="A138" s="9" t="s">
        <v>118</v>
      </c>
      <c r="B138" s="41">
        <f t="shared" ref="B138:N138" si="85">SUM(B10:B15)</f>
        <v>0</v>
      </c>
      <c r="C138" s="41">
        <f t="shared" si="85"/>
        <v>2.04</v>
      </c>
      <c r="D138" s="41">
        <f t="shared" si="85"/>
        <v>0</v>
      </c>
      <c r="E138" s="41">
        <f t="shared" si="85"/>
        <v>0</v>
      </c>
      <c r="F138" s="41">
        <f t="shared" si="85"/>
        <v>302.29999999999995</v>
      </c>
      <c r="G138" s="41">
        <f t="shared" si="85"/>
        <v>10626.186000000002</v>
      </c>
      <c r="H138" s="41">
        <f t="shared" si="85"/>
        <v>6164.7500000000009</v>
      </c>
      <c r="I138" s="41">
        <f t="shared" si="85"/>
        <v>666.38000000000011</v>
      </c>
      <c r="J138" s="41">
        <f t="shared" si="85"/>
        <v>1.6</v>
      </c>
      <c r="K138" s="41">
        <f t="shared" si="85"/>
        <v>26.316499999999998</v>
      </c>
      <c r="L138" s="41">
        <f t="shared" si="85"/>
        <v>151.60000000000002</v>
      </c>
      <c r="M138" s="41">
        <f t="shared" si="85"/>
        <v>299.02000000000004</v>
      </c>
      <c r="N138" s="6">
        <f t="shared" si="85"/>
        <v>18240.192500000001</v>
      </c>
      <c r="P138" s="9" t="s">
        <v>118</v>
      </c>
      <c r="Q138" s="41">
        <f t="shared" ref="Q138:AC138" si="86">SUM(Q10:Q15)</f>
        <v>0</v>
      </c>
      <c r="R138" s="41">
        <f t="shared" si="86"/>
        <v>465221.84</v>
      </c>
      <c r="S138" s="41">
        <f t="shared" si="86"/>
        <v>0</v>
      </c>
      <c r="T138" s="41">
        <f t="shared" si="86"/>
        <v>0</v>
      </c>
      <c r="U138" s="41">
        <f t="shared" si="86"/>
        <v>25708531.120000001</v>
      </c>
      <c r="V138" s="41">
        <f t="shared" si="86"/>
        <v>798154127.20000005</v>
      </c>
      <c r="W138" s="41">
        <f t="shared" si="86"/>
        <v>517292087.67000002</v>
      </c>
      <c r="X138" s="41">
        <f t="shared" si="86"/>
        <v>55780421.25</v>
      </c>
      <c r="Y138" s="41">
        <f t="shared" si="86"/>
        <v>311594.09000000003</v>
      </c>
      <c r="Z138" s="41">
        <f t="shared" si="86"/>
        <v>2792676.69</v>
      </c>
      <c r="AA138" s="41">
        <f t="shared" si="86"/>
        <v>12639389.120000001</v>
      </c>
      <c r="AB138" s="41">
        <f t="shared" si="86"/>
        <v>23118612.939999998</v>
      </c>
      <c r="AC138" s="6">
        <f t="shared" si="86"/>
        <v>1436262661.9199998</v>
      </c>
      <c r="AE138" s="9" t="s">
        <v>118</v>
      </c>
      <c r="AF138" s="41">
        <f t="shared" ref="AF138:AR138" si="87">SUM(AF10:AF15)</f>
        <v>0</v>
      </c>
      <c r="AG138" s="41">
        <f t="shared" si="87"/>
        <v>6922.9440476190475</v>
      </c>
      <c r="AH138" s="41">
        <f t="shared" si="87"/>
        <v>0</v>
      </c>
      <c r="AI138" s="41">
        <f t="shared" si="87"/>
        <v>0</v>
      </c>
      <c r="AJ138" s="41">
        <f t="shared" si="87"/>
        <v>380112.27908521937</v>
      </c>
      <c r="AK138" s="41">
        <f t="shared" si="87"/>
        <v>11886386.640083179</v>
      </c>
      <c r="AL138" s="41">
        <f t="shared" si="87"/>
        <v>7670576.9426284386</v>
      </c>
      <c r="AM138" s="41">
        <f t="shared" si="87"/>
        <v>826350.71761716832</v>
      </c>
      <c r="AN138" s="41">
        <f t="shared" si="87"/>
        <v>4555.4691520467841</v>
      </c>
      <c r="AO138" s="41">
        <f t="shared" si="87"/>
        <v>41602.087037621197</v>
      </c>
      <c r="AP138" s="41">
        <f t="shared" si="87"/>
        <v>187689.87427833833</v>
      </c>
      <c r="AQ138" s="41">
        <f t="shared" si="87"/>
        <v>341648.09089728683</v>
      </c>
      <c r="AR138" s="6">
        <f t="shared" si="87"/>
        <v>21345845.044826921</v>
      </c>
      <c r="AU138" s="92">
        <f t="shared" si="75"/>
        <v>1118.5938811990659</v>
      </c>
      <c r="AV138" s="92">
        <f t="shared" si="75"/>
        <v>1244.2640727731762</v>
      </c>
      <c r="AW138" s="92">
        <f t="shared" si="75"/>
        <v>1240.0593019255803</v>
      </c>
    </row>
    <row r="139" spans="1:49" s="40" customFormat="1">
      <c r="A139" s="151" t="s">
        <v>117</v>
      </c>
      <c r="B139" s="41">
        <f>SUM(B26:B31)+SUM(B42:B47)+SUM(B58:B63)+SUM(B74:B79)</f>
        <v>0</v>
      </c>
      <c r="C139" s="41">
        <f t="shared" ref="C139:N139" si="88">SUM(C26:C31)+SUM(C42:C47)+SUM(C58:C63)+SUM(C74:C79)</f>
        <v>2.04</v>
      </c>
      <c r="D139" s="41">
        <f t="shared" si="88"/>
        <v>0</v>
      </c>
      <c r="E139" s="41">
        <f t="shared" si="88"/>
        <v>0</v>
      </c>
      <c r="F139" s="41">
        <f t="shared" si="88"/>
        <v>302.29999999999995</v>
      </c>
      <c r="G139" s="41">
        <f t="shared" si="88"/>
        <v>9892.9599999999991</v>
      </c>
      <c r="H139" s="41">
        <f t="shared" si="88"/>
        <v>6164.75</v>
      </c>
      <c r="I139" s="41">
        <f t="shared" si="88"/>
        <v>666.38</v>
      </c>
      <c r="J139" s="41">
        <f t="shared" si="88"/>
        <v>0</v>
      </c>
      <c r="K139" s="41">
        <f t="shared" si="88"/>
        <v>25.4</v>
      </c>
      <c r="L139" s="41">
        <f t="shared" si="88"/>
        <v>109.2</v>
      </c>
      <c r="M139" s="41">
        <f t="shared" si="88"/>
        <v>299.02000000000004</v>
      </c>
      <c r="N139" s="6">
        <f t="shared" si="88"/>
        <v>17462.049999999996</v>
      </c>
      <c r="P139" s="151" t="s">
        <v>117</v>
      </c>
      <c r="Q139" s="41">
        <f>SUM(Q26:Q31)+SUM(Q42:Q47)+SUM(Q58:Q63)+SUM(Q74:Q79)</f>
        <v>0</v>
      </c>
      <c r="R139" s="41">
        <f t="shared" ref="R139:AC139" si="89">SUM(R26:R31)+SUM(R42:R47)+SUM(R58:R63)+SUM(R74:R79)</f>
        <v>465221.84</v>
      </c>
      <c r="S139" s="41">
        <f t="shared" si="89"/>
        <v>0</v>
      </c>
      <c r="T139" s="41">
        <f t="shared" si="89"/>
        <v>0</v>
      </c>
      <c r="U139" s="41">
        <f t="shared" si="89"/>
        <v>25708531.119999997</v>
      </c>
      <c r="V139" s="41">
        <f t="shared" si="89"/>
        <v>737315464.12</v>
      </c>
      <c r="W139" s="41">
        <f t="shared" si="89"/>
        <v>517292087.67000002</v>
      </c>
      <c r="X139" s="41">
        <f t="shared" si="89"/>
        <v>55780421.25</v>
      </c>
      <c r="Y139" s="41">
        <f t="shared" si="89"/>
        <v>0</v>
      </c>
      <c r="Z139" s="41">
        <f t="shared" si="89"/>
        <v>2299250.9699999997</v>
      </c>
      <c r="AA139" s="41">
        <f t="shared" si="89"/>
        <v>9294238.4000000004</v>
      </c>
      <c r="AB139" s="41">
        <f t="shared" si="89"/>
        <v>23118612.940000001</v>
      </c>
      <c r="AC139" s="6">
        <f t="shared" si="89"/>
        <v>1371273828.3099999</v>
      </c>
      <c r="AE139" s="151" t="s">
        <v>117</v>
      </c>
      <c r="AF139" s="41">
        <f>SUM(AF26:AF31)+SUM(AF42:AF47)+SUM(AF58:AF63)+SUM(AF74:AF79)</f>
        <v>0</v>
      </c>
      <c r="AG139" s="41">
        <f t="shared" ref="AG139:AR139" si="90">SUM(AG26:AG31)+SUM(AG42:AG47)+SUM(AG58:AG63)+SUM(AG74:AG79)</f>
        <v>6922.9440476190475</v>
      </c>
      <c r="AH139" s="41">
        <f t="shared" si="90"/>
        <v>0</v>
      </c>
      <c r="AI139" s="41">
        <f t="shared" si="90"/>
        <v>0</v>
      </c>
      <c r="AJ139" s="41">
        <f t="shared" si="90"/>
        <v>380112.27908521931</v>
      </c>
      <c r="AK139" s="41">
        <f t="shared" si="90"/>
        <v>10970866.826597583</v>
      </c>
      <c r="AL139" s="41">
        <f t="shared" si="90"/>
        <v>7670576.9426284395</v>
      </c>
      <c r="AM139" s="41">
        <f t="shared" si="90"/>
        <v>826350.71761716821</v>
      </c>
      <c r="AN139" s="41">
        <f t="shared" si="90"/>
        <v>0</v>
      </c>
      <c r="AO139" s="41">
        <f t="shared" si="90"/>
        <v>34393.530134772402</v>
      </c>
      <c r="AP139" s="41">
        <f t="shared" si="90"/>
        <v>137501.1464176655</v>
      </c>
      <c r="AQ139" s="41">
        <f t="shared" si="90"/>
        <v>341648.09089728683</v>
      </c>
      <c r="AR139" s="6">
        <f t="shared" si="90"/>
        <v>20368372.47742575</v>
      </c>
      <c r="AU139" s="92">
        <f t="shared" si="75"/>
        <v>1108.9569579375216</v>
      </c>
      <c r="AV139" s="92">
        <f t="shared" si="75"/>
        <v>1244.2640727731764</v>
      </c>
      <c r="AW139" s="92">
        <f t="shared" si="75"/>
        <v>1240.0593019255803</v>
      </c>
    </row>
    <row r="140" spans="1:49" s="40" customFormat="1">
      <c r="A140" s="151" t="s">
        <v>120</v>
      </c>
      <c r="B140" s="41">
        <f t="shared" ref="B140" si="91">SUM(B90:B95)+SUM(B106:B111)</f>
        <v>0</v>
      </c>
      <c r="C140" s="41">
        <f t="shared" ref="C140:N140" si="92">SUM(C90:C95)+SUM(C106:C111)</f>
        <v>0</v>
      </c>
      <c r="D140" s="41">
        <f t="shared" si="92"/>
        <v>0</v>
      </c>
      <c r="E140" s="41">
        <f t="shared" si="92"/>
        <v>0</v>
      </c>
      <c r="F140" s="41">
        <f t="shared" si="92"/>
        <v>0</v>
      </c>
      <c r="G140" s="41">
        <f t="shared" si="92"/>
        <v>733.226</v>
      </c>
      <c r="H140" s="41">
        <f t="shared" si="92"/>
        <v>0</v>
      </c>
      <c r="I140" s="41">
        <f t="shared" si="92"/>
        <v>0</v>
      </c>
      <c r="J140" s="41">
        <f t="shared" si="92"/>
        <v>1.6</v>
      </c>
      <c r="K140" s="41">
        <f t="shared" si="92"/>
        <v>0.91649999999999998</v>
      </c>
      <c r="L140" s="41">
        <f t="shared" si="92"/>
        <v>42.4</v>
      </c>
      <c r="M140" s="41">
        <f t="shared" si="92"/>
        <v>0</v>
      </c>
      <c r="N140" s="6">
        <f t="shared" si="92"/>
        <v>778.14250000000004</v>
      </c>
      <c r="P140" s="151" t="s">
        <v>120</v>
      </c>
      <c r="Q140" s="41">
        <f t="shared" ref="Q140" si="93">SUM(Q90:Q95)+SUM(Q106:Q111)</f>
        <v>0</v>
      </c>
      <c r="R140" s="41">
        <f t="shared" ref="R140:AC140" si="94">SUM(R90:R95)+SUM(R106:R111)</f>
        <v>0</v>
      </c>
      <c r="S140" s="41">
        <f t="shared" si="94"/>
        <v>0</v>
      </c>
      <c r="T140" s="41">
        <f t="shared" si="94"/>
        <v>0</v>
      </c>
      <c r="U140" s="41">
        <f t="shared" si="94"/>
        <v>0</v>
      </c>
      <c r="V140" s="41">
        <f t="shared" si="94"/>
        <v>60838663.080000006</v>
      </c>
      <c r="W140" s="41">
        <f t="shared" si="94"/>
        <v>0</v>
      </c>
      <c r="X140" s="41">
        <f t="shared" si="94"/>
        <v>0</v>
      </c>
      <c r="Y140" s="41">
        <f t="shared" si="94"/>
        <v>311594.09000000003</v>
      </c>
      <c r="Z140" s="41">
        <f t="shared" si="94"/>
        <v>493425.72</v>
      </c>
      <c r="AA140" s="41">
        <f t="shared" si="94"/>
        <v>3345150.7199999997</v>
      </c>
      <c r="AB140" s="41">
        <f t="shared" si="94"/>
        <v>0</v>
      </c>
      <c r="AC140" s="6">
        <f t="shared" si="94"/>
        <v>64988833.610000007</v>
      </c>
      <c r="AE140" s="151" t="s">
        <v>120</v>
      </c>
      <c r="AF140" s="41">
        <f t="shared" ref="AF140" si="95">SUM(AF90:AF95)+SUM(AF106:AF111)</f>
        <v>0</v>
      </c>
      <c r="AG140" s="41">
        <f t="shared" ref="AG140:AR140" si="96">SUM(AG90:AG95)+SUM(AG106:AG111)</f>
        <v>0</v>
      </c>
      <c r="AH140" s="41">
        <f t="shared" si="96"/>
        <v>0</v>
      </c>
      <c r="AI140" s="41">
        <f t="shared" si="96"/>
        <v>0</v>
      </c>
      <c r="AJ140" s="41">
        <f t="shared" si="96"/>
        <v>0</v>
      </c>
      <c r="AK140" s="41">
        <f t="shared" si="96"/>
        <v>915519.81348559994</v>
      </c>
      <c r="AL140" s="41">
        <f t="shared" si="96"/>
        <v>0</v>
      </c>
      <c r="AM140" s="41">
        <f t="shared" si="96"/>
        <v>0</v>
      </c>
      <c r="AN140" s="41">
        <f t="shared" si="96"/>
        <v>4555.4691520467841</v>
      </c>
      <c r="AO140" s="41">
        <f t="shared" si="96"/>
        <v>7208.5569028487944</v>
      </c>
      <c r="AP140" s="41">
        <f t="shared" si="96"/>
        <v>50188.727860672829</v>
      </c>
      <c r="AQ140" s="41">
        <f t="shared" si="96"/>
        <v>0</v>
      </c>
      <c r="AR140" s="6">
        <f t="shared" si="96"/>
        <v>977472.5674011684</v>
      </c>
      <c r="AU140" s="92">
        <f t="shared" si="75"/>
        <v>1248.6188616955753</v>
      </c>
      <c r="AV140" s="92" t="e">
        <f t="shared" si="75"/>
        <v>#DIV/0!</v>
      </c>
      <c r="AW140" s="92" t="e">
        <f t="shared" si="75"/>
        <v>#DIV/0!</v>
      </c>
    </row>
    <row r="141" spans="1:49" s="40" customFormat="1">
      <c r="A141" s="28" t="s">
        <v>4</v>
      </c>
      <c r="B141" s="4">
        <f t="shared" ref="B141:N141" si="97">B135+B138</f>
        <v>0</v>
      </c>
      <c r="C141" s="4">
        <f t="shared" si="97"/>
        <v>2.04</v>
      </c>
      <c r="D141" s="4">
        <f t="shared" si="97"/>
        <v>20.399999999999999</v>
      </c>
      <c r="E141" s="4">
        <f t="shared" si="97"/>
        <v>0</v>
      </c>
      <c r="F141" s="4">
        <f t="shared" si="97"/>
        <v>743.02</v>
      </c>
      <c r="G141" s="4">
        <f t="shared" si="97"/>
        <v>31255.074000000001</v>
      </c>
      <c r="H141" s="4">
        <f t="shared" si="97"/>
        <v>11870.04</v>
      </c>
      <c r="I141" s="4">
        <f t="shared" si="97"/>
        <v>1864.6100000000001</v>
      </c>
      <c r="J141" s="4">
        <f t="shared" si="97"/>
        <v>1.6</v>
      </c>
      <c r="K141" s="4">
        <f t="shared" si="97"/>
        <v>94.716499999999996</v>
      </c>
      <c r="L141" s="4">
        <f t="shared" si="97"/>
        <v>221.68</v>
      </c>
      <c r="M141" s="4">
        <f t="shared" si="97"/>
        <v>315.92</v>
      </c>
      <c r="N141" s="7">
        <f t="shared" si="97"/>
        <v>46389.1005</v>
      </c>
      <c r="P141" s="28" t="s">
        <v>4</v>
      </c>
      <c r="Q141" s="4">
        <f t="shared" ref="Q141:AC141" si="98">Q135+Q138</f>
        <v>0</v>
      </c>
      <c r="R141" s="4">
        <f t="shared" si="98"/>
        <v>465221.84</v>
      </c>
      <c r="S141" s="4">
        <f t="shared" si="98"/>
        <v>4596803.91</v>
      </c>
      <c r="T141" s="4">
        <f t="shared" si="98"/>
        <v>0</v>
      </c>
      <c r="U141" s="4">
        <f t="shared" si="98"/>
        <v>67023863.929999992</v>
      </c>
      <c r="V141" s="4">
        <f t="shared" si="98"/>
        <v>2606040500.0900002</v>
      </c>
      <c r="W141" s="4">
        <f t="shared" si="98"/>
        <v>1055081312.9400001</v>
      </c>
      <c r="X141" s="4">
        <f t="shared" si="98"/>
        <v>164490900.16999999</v>
      </c>
      <c r="Y141" s="4">
        <f t="shared" si="98"/>
        <v>311594.09000000003</v>
      </c>
      <c r="Z141" s="4">
        <f t="shared" si="98"/>
        <v>10056502.379999999</v>
      </c>
      <c r="AA141" s="4">
        <f t="shared" si="98"/>
        <v>19353362.699999999</v>
      </c>
      <c r="AB141" s="4">
        <f t="shared" si="98"/>
        <v>24785134.439999998</v>
      </c>
      <c r="AC141" s="7">
        <f t="shared" si="98"/>
        <v>3952205196.4899998</v>
      </c>
      <c r="AE141" s="28" t="s">
        <v>4</v>
      </c>
      <c r="AF141" s="4">
        <f t="shared" ref="AF141:AR141" si="99">AF135+AF138</f>
        <v>0</v>
      </c>
      <c r="AG141" s="4">
        <f t="shared" si="99"/>
        <v>6922.9440476190475</v>
      </c>
      <c r="AH141" s="4">
        <f t="shared" si="99"/>
        <v>70432.514930015546</v>
      </c>
      <c r="AI141" s="4">
        <f t="shared" si="99"/>
        <v>0</v>
      </c>
      <c r="AJ141" s="4">
        <f t="shared" si="99"/>
        <v>1021128.2623845323</v>
      </c>
      <c r="AK141" s="4">
        <f t="shared" si="99"/>
        <v>40031753.353096701</v>
      </c>
      <c r="AL141" s="4">
        <f t="shared" si="99"/>
        <v>16013406.624735013</v>
      </c>
      <c r="AM141" s="4">
        <f t="shared" si="99"/>
        <v>2500913.1262544286</v>
      </c>
      <c r="AN141" s="4">
        <f t="shared" si="99"/>
        <v>4555.4691520467841</v>
      </c>
      <c r="AO141" s="4">
        <f t="shared" si="99"/>
        <v>152569.8871187169</v>
      </c>
      <c r="AP141" s="4">
        <f t="shared" si="99"/>
        <v>290058.44895598514</v>
      </c>
      <c r="AQ141" s="4">
        <f t="shared" si="99"/>
        <v>366563.46521732048</v>
      </c>
      <c r="AR141" s="7">
        <f t="shared" si="99"/>
        <v>60458304.095892385</v>
      </c>
      <c r="AU141" s="92">
        <f t="shared" si="75"/>
        <v>1280.8081450422003</v>
      </c>
      <c r="AV141" s="92">
        <f t="shared" si="75"/>
        <v>1349.0608814068876</v>
      </c>
      <c r="AW141" s="92">
        <f t="shared" si="75"/>
        <v>1341.2526620872077</v>
      </c>
    </row>
    <row r="150" spans="1:49" s="40" customFormat="1">
      <c r="A150" s="25" t="s">
        <v>109</v>
      </c>
      <c r="B150" s="16" t="s">
        <v>133</v>
      </c>
      <c r="C150" s="16" t="s">
        <v>19</v>
      </c>
      <c r="D150" s="159" t="s">
        <v>17</v>
      </c>
      <c r="E150" s="159" t="s">
        <v>134</v>
      </c>
      <c r="F150" s="387" t="s">
        <v>10</v>
      </c>
      <c r="G150" s="387" t="s">
        <v>11</v>
      </c>
      <c r="H150" s="387" t="s">
        <v>12</v>
      </c>
      <c r="I150" s="387" t="s">
        <v>13</v>
      </c>
      <c r="J150" s="387" t="s">
        <v>14</v>
      </c>
      <c r="K150" s="387" t="s">
        <v>18</v>
      </c>
      <c r="L150" s="387" t="s">
        <v>15</v>
      </c>
      <c r="M150" s="387" t="s">
        <v>16</v>
      </c>
      <c r="N150" s="27" t="s">
        <v>20</v>
      </c>
      <c r="P150" s="25" t="s">
        <v>109</v>
      </c>
      <c r="Q150" s="387" t="s">
        <v>133</v>
      </c>
      <c r="R150" s="387" t="s">
        <v>19</v>
      </c>
      <c r="S150" s="387" t="s">
        <v>17</v>
      </c>
      <c r="T150" s="387" t="s">
        <v>134</v>
      </c>
      <c r="U150" s="387" t="s">
        <v>10</v>
      </c>
      <c r="V150" s="387" t="s">
        <v>11</v>
      </c>
      <c r="W150" s="387" t="s">
        <v>12</v>
      </c>
      <c r="X150" s="387" t="s">
        <v>13</v>
      </c>
      <c r="Y150" s="387" t="s">
        <v>14</v>
      </c>
      <c r="Z150" s="387" t="s">
        <v>18</v>
      </c>
      <c r="AA150" s="387" t="s">
        <v>15</v>
      </c>
      <c r="AB150" s="387" t="s">
        <v>16</v>
      </c>
      <c r="AC150" s="27" t="s">
        <v>20</v>
      </c>
      <c r="AE150" s="25" t="s">
        <v>22</v>
      </c>
      <c r="AF150" s="387" t="s">
        <v>133</v>
      </c>
      <c r="AG150" s="387" t="s">
        <v>19</v>
      </c>
      <c r="AH150" s="387" t="s">
        <v>17</v>
      </c>
      <c r="AI150" s="387" t="s">
        <v>134</v>
      </c>
      <c r="AJ150" s="387" t="s">
        <v>10</v>
      </c>
      <c r="AK150" s="387" t="s">
        <v>11</v>
      </c>
      <c r="AL150" s="387" t="s">
        <v>12</v>
      </c>
      <c r="AM150" s="387" t="s">
        <v>13</v>
      </c>
      <c r="AN150" s="387" t="s">
        <v>14</v>
      </c>
      <c r="AO150" s="387" t="s">
        <v>18</v>
      </c>
      <c r="AP150" s="387" t="s">
        <v>15</v>
      </c>
      <c r="AQ150" s="387" t="s">
        <v>16</v>
      </c>
      <c r="AR150" s="27" t="s">
        <v>20</v>
      </c>
      <c r="AU150" s="387" t="s">
        <v>11</v>
      </c>
      <c r="AV150" s="387" t="s">
        <v>12</v>
      </c>
      <c r="AW150" s="387" t="s">
        <v>13</v>
      </c>
    </row>
    <row r="151" spans="1:49" s="40" customFormat="1">
      <c r="A151" s="9">
        <v>41365</v>
      </c>
      <c r="B151" s="41">
        <f>B20+B36+B52</f>
        <v>0</v>
      </c>
      <c r="C151" s="41">
        <f t="shared" ref="C151:M151" si="100">C20+C36+C52</f>
        <v>0</v>
      </c>
      <c r="D151" s="41">
        <f t="shared" si="100"/>
        <v>0</v>
      </c>
      <c r="E151" s="41">
        <f t="shared" si="100"/>
        <v>0</v>
      </c>
      <c r="F151" s="41">
        <f t="shared" si="100"/>
        <v>56.45</v>
      </c>
      <c r="G151" s="41">
        <f t="shared" si="100"/>
        <v>3977.8</v>
      </c>
      <c r="H151" s="41">
        <f t="shared" si="100"/>
        <v>1098.2400000000002</v>
      </c>
      <c r="I151" s="41">
        <f t="shared" si="100"/>
        <v>176.89</v>
      </c>
      <c r="J151" s="41">
        <f t="shared" si="100"/>
        <v>0</v>
      </c>
      <c r="K151" s="41">
        <f t="shared" si="100"/>
        <v>0</v>
      </c>
      <c r="L151" s="41">
        <f t="shared" si="100"/>
        <v>0</v>
      </c>
      <c r="M151" s="41">
        <f t="shared" si="100"/>
        <v>0</v>
      </c>
      <c r="N151" s="6">
        <f>SUM(B151:M151)</f>
        <v>5309.38</v>
      </c>
      <c r="P151" s="9">
        <v>41365</v>
      </c>
      <c r="Q151" s="41">
        <f>Q20+Q36+Q52</f>
        <v>0</v>
      </c>
      <c r="R151" s="41">
        <f t="shared" ref="R151:AB151" si="101">R20+R36+R52</f>
        <v>0</v>
      </c>
      <c r="S151" s="41">
        <f t="shared" si="101"/>
        <v>0</v>
      </c>
      <c r="T151" s="41">
        <f t="shared" si="101"/>
        <v>0</v>
      </c>
      <c r="U151" s="41">
        <f t="shared" si="101"/>
        <v>5547201.8399999999</v>
      </c>
      <c r="V151" s="41">
        <f t="shared" si="101"/>
        <v>345218793.23000002</v>
      </c>
      <c r="W151" s="41">
        <f t="shared" si="101"/>
        <v>113019988.08</v>
      </c>
      <c r="X151" s="41">
        <f t="shared" si="101"/>
        <v>18289985</v>
      </c>
      <c r="Y151" s="41">
        <f t="shared" si="101"/>
        <v>0</v>
      </c>
      <c r="Z151" s="41">
        <f t="shared" si="101"/>
        <v>0</v>
      </c>
      <c r="AA151" s="41">
        <f t="shared" si="101"/>
        <v>0</v>
      </c>
      <c r="AB151" s="41">
        <f t="shared" si="101"/>
        <v>0</v>
      </c>
      <c r="AC151" s="6">
        <f>SUM(Q151:AB151)</f>
        <v>482075968.14999998</v>
      </c>
      <c r="AE151" s="9">
        <v>41365</v>
      </c>
      <c r="AF151" s="41">
        <f>AF20+AF36+AF52</f>
        <v>0</v>
      </c>
      <c r="AG151" s="41">
        <f t="shared" ref="AG151:AQ151" si="102">AG20+AG36+AG52</f>
        <v>0</v>
      </c>
      <c r="AH151" s="41">
        <f t="shared" si="102"/>
        <v>0</v>
      </c>
      <c r="AI151" s="41">
        <f t="shared" si="102"/>
        <v>0</v>
      </c>
      <c r="AJ151" s="41">
        <f t="shared" si="102"/>
        <v>87999.734652401443</v>
      </c>
      <c r="AK151" s="41">
        <f t="shared" si="102"/>
        <v>5476787.1715127714</v>
      </c>
      <c r="AL151" s="41">
        <f t="shared" si="102"/>
        <v>1792896.6280447727</v>
      </c>
      <c r="AM151" s="41">
        <f t="shared" si="102"/>
        <v>289637.69561876007</v>
      </c>
      <c r="AN151" s="41">
        <f t="shared" si="102"/>
        <v>0</v>
      </c>
      <c r="AO151" s="41">
        <f t="shared" si="102"/>
        <v>0</v>
      </c>
      <c r="AP151" s="41">
        <f t="shared" si="102"/>
        <v>0</v>
      </c>
      <c r="AQ151" s="41">
        <f t="shared" si="102"/>
        <v>0</v>
      </c>
      <c r="AR151" s="6">
        <f>SUM(AF151:AQ151)</f>
        <v>7647321.229828706</v>
      </c>
      <c r="AU151" s="92">
        <f t="shared" ref="AU151:AW162" si="103">+AK151/G151</f>
        <v>1376.8382451387126</v>
      </c>
      <c r="AV151" s="92">
        <f t="shared" si="103"/>
        <v>1632.5180543822592</v>
      </c>
      <c r="AW151" s="92">
        <f t="shared" si="103"/>
        <v>1637.3887479154282</v>
      </c>
    </row>
    <row r="152" spans="1:49" s="40" customFormat="1">
      <c r="A152" s="9">
        <v>41395</v>
      </c>
      <c r="B152" s="41">
        <f t="shared" ref="B152:M162" si="104">B21+B37+B53</f>
        <v>0</v>
      </c>
      <c r="C152" s="41">
        <f t="shared" si="104"/>
        <v>0</v>
      </c>
      <c r="D152" s="41">
        <f t="shared" si="104"/>
        <v>0</v>
      </c>
      <c r="E152" s="41">
        <f t="shared" si="104"/>
        <v>0</v>
      </c>
      <c r="F152" s="41">
        <f t="shared" si="104"/>
        <v>79.289999999999992</v>
      </c>
      <c r="G152" s="41">
        <f t="shared" si="104"/>
        <v>3646.34</v>
      </c>
      <c r="H152" s="41">
        <f t="shared" si="104"/>
        <v>891.48</v>
      </c>
      <c r="I152" s="41">
        <f t="shared" si="104"/>
        <v>172.64999999999998</v>
      </c>
      <c r="J152" s="41">
        <f t="shared" si="104"/>
        <v>0</v>
      </c>
      <c r="K152" s="41">
        <f t="shared" si="104"/>
        <v>23.4</v>
      </c>
      <c r="L152" s="41">
        <f t="shared" si="104"/>
        <v>0</v>
      </c>
      <c r="M152" s="41">
        <f t="shared" si="104"/>
        <v>0.6</v>
      </c>
      <c r="N152" s="6">
        <f t="shared" ref="N152:N163" si="105">SUM(B152:M152)</f>
        <v>4813.76</v>
      </c>
      <c r="P152" s="9">
        <v>41395</v>
      </c>
      <c r="Q152" s="41">
        <f t="shared" ref="Q152:AB162" si="106">Q21+Q37+Q53</f>
        <v>0</v>
      </c>
      <c r="R152" s="41">
        <f t="shared" si="106"/>
        <v>0</v>
      </c>
      <c r="S152" s="41">
        <f t="shared" si="106"/>
        <v>0</v>
      </c>
      <c r="T152" s="41">
        <f t="shared" si="106"/>
        <v>0</v>
      </c>
      <c r="U152" s="41">
        <f t="shared" si="106"/>
        <v>7571978.5600000005</v>
      </c>
      <c r="V152" s="41">
        <f t="shared" si="106"/>
        <v>319425997.90000004</v>
      </c>
      <c r="W152" s="41">
        <f t="shared" si="106"/>
        <v>87642446.769999996</v>
      </c>
      <c r="X152" s="41">
        <f t="shared" si="106"/>
        <v>16451753.369999999</v>
      </c>
      <c r="Y152" s="41">
        <f t="shared" si="106"/>
        <v>0</v>
      </c>
      <c r="Z152" s="41">
        <f t="shared" si="106"/>
        <v>2379880.5599999996</v>
      </c>
      <c r="AA152" s="41">
        <f t="shared" si="106"/>
        <v>0</v>
      </c>
      <c r="AB152" s="41">
        <f t="shared" si="106"/>
        <v>63770.81</v>
      </c>
      <c r="AC152" s="6">
        <f t="shared" ref="AC152:AC163" si="107">SUM(Q152:AB152)</f>
        <v>433535827.97000003</v>
      </c>
      <c r="AE152" s="9">
        <v>41395</v>
      </c>
      <c r="AF152" s="41">
        <f t="shared" ref="AF152:AQ162" si="108">AF21+AF37+AF53</f>
        <v>0</v>
      </c>
      <c r="AG152" s="41">
        <f t="shared" si="108"/>
        <v>0</v>
      </c>
      <c r="AH152" s="41">
        <f t="shared" si="108"/>
        <v>0</v>
      </c>
      <c r="AI152" s="41">
        <f t="shared" si="108"/>
        <v>0</v>
      </c>
      <c r="AJ152" s="41">
        <f t="shared" si="108"/>
        <v>117737.82092536805</v>
      </c>
      <c r="AK152" s="41">
        <f t="shared" si="108"/>
        <v>4991324.6850061053</v>
      </c>
      <c r="AL152" s="41">
        <f t="shared" si="108"/>
        <v>1369379.8414043887</v>
      </c>
      <c r="AM152" s="41">
        <f t="shared" si="108"/>
        <v>257487.500254207</v>
      </c>
      <c r="AN152" s="41">
        <f t="shared" si="108"/>
        <v>0</v>
      </c>
      <c r="AO152" s="41">
        <f t="shared" si="108"/>
        <v>36983.380885780884</v>
      </c>
      <c r="AP152" s="41">
        <f t="shared" si="108"/>
        <v>0</v>
      </c>
      <c r="AQ152" s="41">
        <f t="shared" si="108"/>
        <v>990.99937839937843</v>
      </c>
      <c r="AR152" s="6">
        <f t="shared" ref="AR152:AR163" si="109">SUM(AF152:AQ152)</f>
        <v>6773904.2278542491</v>
      </c>
      <c r="AU152" s="92">
        <f t="shared" si="103"/>
        <v>1368.8588241925067</v>
      </c>
      <c r="AV152" s="92">
        <f t="shared" si="103"/>
        <v>1536.074663934568</v>
      </c>
      <c r="AW152" s="92">
        <f t="shared" si="103"/>
        <v>1491.3843049765828</v>
      </c>
    </row>
    <row r="153" spans="1:49" s="40" customFormat="1">
      <c r="A153" s="9">
        <v>41426</v>
      </c>
      <c r="B153" s="41">
        <f t="shared" si="104"/>
        <v>0</v>
      </c>
      <c r="C153" s="41">
        <f t="shared" si="104"/>
        <v>0</v>
      </c>
      <c r="D153" s="41">
        <f t="shared" si="104"/>
        <v>0</v>
      </c>
      <c r="E153" s="41">
        <f t="shared" si="104"/>
        <v>0</v>
      </c>
      <c r="F153" s="41">
        <f t="shared" si="104"/>
        <v>52.77</v>
      </c>
      <c r="G153" s="41">
        <f t="shared" si="104"/>
        <v>5283.83</v>
      </c>
      <c r="H153" s="41">
        <f t="shared" si="104"/>
        <v>917.07999999999993</v>
      </c>
      <c r="I153" s="41">
        <f t="shared" si="104"/>
        <v>179.32</v>
      </c>
      <c r="J153" s="41">
        <f t="shared" si="104"/>
        <v>0</v>
      </c>
      <c r="K153" s="41">
        <f t="shared" si="104"/>
        <v>3</v>
      </c>
      <c r="L153" s="41">
        <f t="shared" si="104"/>
        <v>0</v>
      </c>
      <c r="M153" s="41">
        <f t="shared" si="104"/>
        <v>0</v>
      </c>
      <c r="N153" s="6">
        <f t="shared" si="105"/>
        <v>6436</v>
      </c>
      <c r="O153" s="42">
        <f>N151+N152+N153</f>
        <v>16559.14</v>
      </c>
      <c r="P153" s="9">
        <v>41426</v>
      </c>
      <c r="Q153" s="41">
        <f t="shared" si="106"/>
        <v>0</v>
      </c>
      <c r="R153" s="41">
        <f t="shared" si="106"/>
        <v>0</v>
      </c>
      <c r="S153" s="41">
        <f t="shared" si="106"/>
        <v>0</v>
      </c>
      <c r="T153" s="41">
        <f t="shared" si="106"/>
        <v>0</v>
      </c>
      <c r="U153" s="41">
        <f t="shared" si="106"/>
        <v>5109537.96</v>
      </c>
      <c r="V153" s="41">
        <f t="shared" si="106"/>
        <v>463060862.80000007</v>
      </c>
      <c r="W153" s="41">
        <f t="shared" si="106"/>
        <v>85101397.180000007</v>
      </c>
      <c r="X153" s="41">
        <f t="shared" si="106"/>
        <v>16631055.18</v>
      </c>
      <c r="Y153" s="41">
        <f t="shared" si="106"/>
        <v>0</v>
      </c>
      <c r="Z153" s="41">
        <f t="shared" si="106"/>
        <v>308179.18</v>
      </c>
      <c r="AA153" s="41">
        <f t="shared" si="106"/>
        <v>0</v>
      </c>
      <c r="AB153" s="41">
        <f t="shared" si="106"/>
        <v>0</v>
      </c>
      <c r="AC153" s="6">
        <f t="shared" si="107"/>
        <v>570211032.29999995</v>
      </c>
      <c r="AE153" s="9">
        <v>41426</v>
      </c>
      <c r="AF153" s="41">
        <f t="shared" si="108"/>
        <v>0</v>
      </c>
      <c r="AG153" s="41">
        <f t="shared" si="108"/>
        <v>0</v>
      </c>
      <c r="AH153" s="41">
        <f t="shared" si="108"/>
        <v>0</v>
      </c>
      <c r="AI153" s="41">
        <f t="shared" si="108"/>
        <v>0</v>
      </c>
      <c r="AJ153" s="41">
        <f t="shared" si="108"/>
        <v>79067.345003872964</v>
      </c>
      <c r="AK153" s="41">
        <f t="shared" si="108"/>
        <v>7166803.2182185361</v>
      </c>
      <c r="AL153" s="41">
        <f t="shared" si="108"/>
        <v>1318266.8795132078</v>
      </c>
      <c r="AM153" s="41">
        <f t="shared" si="108"/>
        <v>257603.36786424625</v>
      </c>
      <c r="AN153" s="41">
        <f t="shared" si="108"/>
        <v>0</v>
      </c>
      <c r="AO153" s="41">
        <f t="shared" si="108"/>
        <v>4759.5240154440153</v>
      </c>
      <c r="AP153" s="41">
        <f t="shared" si="108"/>
        <v>0</v>
      </c>
      <c r="AQ153" s="41">
        <f t="shared" si="108"/>
        <v>0</v>
      </c>
      <c r="AR153" s="6">
        <f t="shared" si="109"/>
        <v>8826500.3346153051</v>
      </c>
      <c r="AU153" s="92">
        <f t="shared" si="103"/>
        <v>1356.3652158034108</v>
      </c>
      <c r="AV153" s="92">
        <f t="shared" si="103"/>
        <v>1437.4611588009857</v>
      </c>
      <c r="AW153" s="92">
        <f t="shared" si="103"/>
        <v>1436.5568138760109</v>
      </c>
    </row>
    <row r="154" spans="1:49" s="40" customFormat="1">
      <c r="A154" s="9">
        <v>41456</v>
      </c>
      <c r="B154" s="41">
        <f t="shared" si="104"/>
        <v>0</v>
      </c>
      <c r="C154" s="41">
        <f t="shared" si="104"/>
        <v>0</v>
      </c>
      <c r="D154" s="41">
        <f t="shared" si="104"/>
        <v>0</v>
      </c>
      <c r="E154" s="41">
        <f t="shared" si="104"/>
        <v>0</v>
      </c>
      <c r="F154" s="41">
        <f t="shared" si="104"/>
        <v>39.269999999999996</v>
      </c>
      <c r="G154" s="41">
        <f t="shared" si="104"/>
        <v>1801.41</v>
      </c>
      <c r="H154" s="41">
        <f t="shared" si="104"/>
        <v>768.81</v>
      </c>
      <c r="I154" s="41">
        <f t="shared" si="104"/>
        <v>115.50999999999999</v>
      </c>
      <c r="J154" s="41">
        <f t="shared" si="104"/>
        <v>0</v>
      </c>
      <c r="K154" s="41">
        <f t="shared" si="104"/>
        <v>11.7</v>
      </c>
      <c r="L154" s="41">
        <f t="shared" si="104"/>
        <v>15</v>
      </c>
      <c r="M154" s="41">
        <f t="shared" si="104"/>
        <v>0.3</v>
      </c>
      <c r="N154" s="6">
        <f t="shared" si="105"/>
        <v>2752</v>
      </c>
      <c r="P154" s="9">
        <v>41456</v>
      </c>
      <c r="Q154" s="41">
        <f t="shared" si="106"/>
        <v>0</v>
      </c>
      <c r="R154" s="41">
        <f t="shared" si="106"/>
        <v>0</v>
      </c>
      <c r="S154" s="41">
        <f t="shared" si="106"/>
        <v>0</v>
      </c>
      <c r="T154" s="41">
        <f t="shared" si="106"/>
        <v>0</v>
      </c>
      <c r="U154" s="41">
        <f t="shared" si="106"/>
        <v>3690748.7</v>
      </c>
      <c r="V154" s="41">
        <f t="shared" si="106"/>
        <v>157180212.94999999</v>
      </c>
      <c r="W154" s="41">
        <f t="shared" si="106"/>
        <v>70167693.449999988</v>
      </c>
      <c r="X154" s="41">
        <f t="shared" si="106"/>
        <v>10411210.960000001</v>
      </c>
      <c r="Y154" s="41">
        <f t="shared" si="106"/>
        <v>0</v>
      </c>
      <c r="Z154" s="41">
        <f t="shared" si="106"/>
        <v>1252749.72</v>
      </c>
      <c r="AA154" s="41">
        <f t="shared" si="106"/>
        <v>1314073.1299999999</v>
      </c>
      <c r="AB154" s="41">
        <f t="shared" si="106"/>
        <v>31635.09</v>
      </c>
      <c r="AC154" s="6">
        <f t="shared" si="107"/>
        <v>244048323.99999997</v>
      </c>
      <c r="AE154" s="9">
        <v>41456</v>
      </c>
      <c r="AF154" s="41">
        <f t="shared" si="108"/>
        <v>0</v>
      </c>
      <c r="AG154" s="41">
        <f t="shared" si="108"/>
        <v>0</v>
      </c>
      <c r="AH154" s="41">
        <f t="shared" si="108"/>
        <v>0</v>
      </c>
      <c r="AI154" s="41">
        <f t="shared" si="108"/>
        <v>0</v>
      </c>
      <c r="AJ154" s="41">
        <f t="shared" si="108"/>
        <v>57510.91513636888</v>
      </c>
      <c r="AK154" s="41">
        <f t="shared" si="108"/>
        <v>2449646.3797414061</v>
      </c>
      <c r="AL154" s="41">
        <f t="shared" si="108"/>
        <v>1093653.4456889466</v>
      </c>
      <c r="AM154" s="41">
        <f t="shared" si="108"/>
        <v>162421.38783151328</v>
      </c>
      <c r="AN154" s="41">
        <f t="shared" si="108"/>
        <v>0</v>
      </c>
      <c r="AO154" s="41">
        <f t="shared" si="108"/>
        <v>19498.050116731516</v>
      </c>
      <c r="AP154" s="41">
        <f t="shared" si="108"/>
        <v>20500.3608424337</v>
      </c>
      <c r="AQ154" s="41">
        <f t="shared" si="108"/>
        <v>492.37494163424122</v>
      </c>
      <c r="AR154" s="6">
        <f t="shared" si="109"/>
        <v>3803722.914299034</v>
      </c>
      <c r="AU154" s="92">
        <f t="shared" si="103"/>
        <v>1359.8494400172121</v>
      </c>
      <c r="AV154" s="92">
        <f t="shared" si="103"/>
        <v>1422.5276019939215</v>
      </c>
      <c r="AW154" s="92">
        <f t="shared" si="103"/>
        <v>1406.1240397499203</v>
      </c>
    </row>
    <row r="155" spans="1:49" s="40" customFormat="1">
      <c r="A155" s="9">
        <v>41487</v>
      </c>
      <c r="B155" s="41">
        <f t="shared" si="104"/>
        <v>0</v>
      </c>
      <c r="C155" s="41">
        <f t="shared" si="104"/>
        <v>0</v>
      </c>
      <c r="D155" s="41">
        <f t="shared" si="104"/>
        <v>0</v>
      </c>
      <c r="E155" s="41">
        <f t="shared" si="104"/>
        <v>0</v>
      </c>
      <c r="F155" s="41">
        <f t="shared" si="104"/>
        <v>185.73999999999998</v>
      </c>
      <c r="G155" s="41">
        <f t="shared" si="104"/>
        <v>3316.57</v>
      </c>
      <c r="H155" s="41">
        <f t="shared" si="104"/>
        <v>1280.46</v>
      </c>
      <c r="I155" s="41">
        <f t="shared" si="104"/>
        <v>196.44</v>
      </c>
      <c r="J155" s="41">
        <f t="shared" si="104"/>
        <v>0</v>
      </c>
      <c r="K155" s="41">
        <f t="shared" si="104"/>
        <v>0.3</v>
      </c>
      <c r="L155" s="41">
        <f t="shared" si="104"/>
        <v>15</v>
      </c>
      <c r="M155" s="41">
        <f t="shared" si="104"/>
        <v>0</v>
      </c>
      <c r="N155" s="6">
        <f t="shared" si="105"/>
        <v>4994.51</v>
      </c>
      <c r="P155" s="9">
        <v>41487</v>
      </c>
      <c r="Q155" s="41">
        <f t="shared" si="106"/>
        <v>0</v>
      </c>
      <c r="R155" s="41">
        <f t="shared" si="106"/>
        <v>0</v>
      </c>
      <c r="S155" s="41">
        <f t="shared" si="106"/>
        <v>0</v>
      </c>
      <c r="T155" s="41">
        <f t="shared" si="106"/>
        <v>0</v>
      </c>
      <c r="U155" s="41">
        <f t="shared" si="106"/>
        <v>16650293.459999997</v>
      </c>
      <c r="V155" s="41">
        <f t="shared" si="106"/>
        <v>295073172.30000001</v>
      </c>
      <c r="W155" s="41">
        <f t="shared" si="106"/>
        <v>114195317.5</v>
      </c>
      <c r="X155" s="41">
        <f t="shared" si="106"/>
        <v>17521096.719999999</v>
      </c>
      <c r="Y155" s="41">
        <f t="shared" si="106"/>
        <v>0</v>
      </c>
      <c r="Z155" s="41">
        <f t="shared" si="106"/>
        <v>31489.35</v>
      </c>
      <c r="AA155" s="41">
        <f t="shared" si="106"/>
        <v>1354713</v>
      </c>
      <c r="AB155" s="41">
        <f t="shared" si="106"/>
        <v>0</v>
      </c>
      <c r="AC155" s="6">
        <f t="shared" si="107"/>
        <v>444826082.33000004</v>
      </c>
      <c r="AE155" s="9">
        <v>41487</v>
      </c>
      <c r="AF155" s="41">
        <f t="shared" si="108"/>
        <v>0</v>
      </c>
      <c r="AG155" s="41">
        <f t="shared" si="108"/>
        <v>0</v>
      </c>
      <c r="AH155" s="41">
        <f t="shared" si="108"/>
        <v>0</v>
      </c>
      <c r="AI155" s="41">
        <f t="shared" si="108"/>
        <v>0</v>
      </c>
      <c r="AJ155" s="41">
        <f t="shared" si="108"/>
        <v>257686.06941557489</v>
      </c>
      <c r="AK155" s="41">
        <f t="shared" si="108"/>
        <v>4569371.3752315231</v>
      </c>
      <c r="AL155" s="41">
        <f t="shared" si="108"/>
        <v>1755732.5517792767</v>
      </c>
      <c r="AM155" s="41">
        <f t="shared" si="108"/>
        <v>268473.84748236777</v>
      </c>
      <c r="AN155" s="41">
        <f t="shared" si="108"/>
        <v>0</v>
      </c>
      <c r="AO155" s="41">
        <f t="shared" si="108"/>
        <v>489.34498834498834</v>
      </c>
      <c r="AP155" s="41">
        <f t="shared" si="108"/>
        <v>20604</v>
      </c>
      <c r="AQ155" s="41">
        <f t="shared" si="108"/>
        <v>0</v>
      </c>
      <c r="AR155" s="6">
        <f t="shared" si="109"/>
        <v>6872357.1888970872</v>
      </c>
      <c r="AU155" s="92">
        <f t="shared" si="103"/>
        <v>1377.7400673682519</v>
      </c>
      <c r="AV155" s="92">
        <f t="shared" si="103"/>
        <v>1371.1732906762231</v>
      </c>
      <c r="AW155" s="92">
        <f t="shared" si="103"/>
        <v>1366.6964339358979</v>
      </c>
    </row>
    <row r="156" spans="1:49" s="40" customFormat="1">
      <c r="A156" s="9">
        <v>41518</v>
      </c>
      <c r="B156" s="41">
        <f t="shared" si="104"/>
        <v>0</v>
      </c>
      <c r="C156" s="41">
        <f t="shared" si="104"/>
        <v>0</v>
      </c>
      <c r="D156" s="41">
        <f t="shared" si="104"/>
        <v>6.8</v>
      </c>
      <c r="E156" s="41">
        <f t="shared" si="104"/>
        <v>0</v>
      </c>
      <c r="F156" s="41">
        <f t="shared" si="104"/>
        <v>27.2</v>
      </c>
      <c r="G156" s="41">
        <f t="shared" si="104"/>
        <v>879.29</v>
      </c>
      <c r="H156" s="41">
        <f t="shared" si="104"/>
        <v>749.22</v>
      </c>
      <c r="I156" s="41">
        <f t="shared" si="104"/>
        <v>357.41999999999996</v>
      </c>
      <c r="J156" s="41">
        <f t="shared" si="104"/>
        <v>0</v>
      </c>
      <c r="K156" s="41">
        <f t="shared" si="104"/>
        <v>30</v>
      </c>
      <c r="L156" s="41">
        <f t="shared" si="104"/>
        <v>30</v>
      </c>
      <c r="M156" s="41">
        <f t="shared" si="104"/>
        <v>16</v>
      </c>
      <c r="N156" s="6">
        <f t="shared" si="105"/>
        <v>2095.9299999999998</v>
      </c>
      <c r="O156" s="42">
        <f>N154+N155+N156</f>
        <v>9842.44</v>
      </c>
      <c r="P156" s="9">
        <v>41518</v>
      </c>
      <c r="Q156" s="41">
        <f t="shared" si="106"/>
        <v>0</v>
      </c>
      <c r="R156" s="41">
        <f t="shared" si="106"/>
        <v>0</v>
      </c>
      <c r="S156" s="41">
        <f t="shared" si="106"/>
        <v>1657797.84</v>
      </c>
      <c r="T156" s="41">
        <f t="shared" si="106"/>
        <v>0</v>
      </c>
      <c r="U156" s="41">
        <f t="shared" si="106"/>
        <v>2745572.29</v>
      </c>
      <c r="V156" s="41">
        <f t="shared" si="106"/>
        <v>76553608.739999995</v>
      </c>
      <c r="W156" s="41">
        <f t="shared" si="106"/>
        <v>67662382.290000007</v>
      </c>
      <c r="X156" s="41">
        <f t="shared" si="106"/>
        <v>29405377.689999998</v>
      </c>
      <c r="Y156" s="41">
        <f t="shared" si="106"/>
        <v>0</v>
      </c>
      <c r="Z156" s="41">
        <f t="shared" si="106"/>
        <v>3291526.88</v>
      </c>
      <c r="AA156" s="41">
        <f t="shared" si="106"/>
        <v>2677641.3099999996</v>
      </c>
      <c r="AB156" s="41">
        <f t="shared" si="106"/>
        <v>1571115.6</v>
      </c>
      <c r="AC156" s="6">
        <f t="shared" si="107"/>
        <v>185565022.63999999</v>
      </c>
      <c r="AE156" s="9">
        <v>41518</v>
      </c>
      <c r="AF156" s="41">
        <f t="shared" si="108"/>
        <v>0</v>
      </c>
      <c r="AG156" s="41">
        <f t="shared" si="108"/>
        <v>0</v>
      </c>
      <c r="AH156" s="41">
        <f t="shared" si="108"/>
        <v>24724.800000000003</v>
      </c>
      <c r="AI156" s="41">
        <f t="shared" si="108"/>
        <v>0</v>
      </c>
      <c r="AJ156" s="41">
        <f t="shared" si="108"/>
        <v>41014.09816572658</v>
      </c>
      <c r="AK156" s="41">
        <f t="shared" si="108"/>
        <v>1145103.6680692467</v>
      </c>
      <c r="AL156" s="41">
        <f t="shared" si="108"/>
        <v>1012900.335675981</v>
      </c>
      <c r="AM156" s="41">
        <f t="shared" si="108"/>
        <v>438938.60958616604</v>
      </c>
      <c r="AN156" s="41">
        <f t="shared" si="108"/>
        <v>0</v>
      </c>
      <c r="AO156" s="41">
        <f t="shared" si="108"/>
        <v>49237.50007479432</v>
      </c>
      <c r="AP156" s="41">
        <f t="shared" si="108"/>
        <v>39996.000149365529</v>
      </c>
      <c r="AQ156" s="41">
        <f t="shared" si="108"/>
        <v>23432.000000000004</v>
      </c>
      <c r="AR156" s="6">
        <f t="shared" si="109"/>
        <v>2775347.0117212804</v>
      </c>
      <c r="AU156" s="92">
        <f t="shared" si="103"/>
        <v>1302.3048915252609</v>
      </c>
      <c r="AV156" s="92">
        <f t="shared" si="103"/>
        <v>1351.9397982915311</v>
      </c>
      <c r="AW156" s="92">
        <f t="shared" si="103"/>
        <v>1228.07512054772</v>
      </c>
    </row>
    <row r="157" spans="1:49" s="40" customFormat="1">
      <c r="A157" s="9">
        <v>41548</v>
      </c>
      <c r="B157" s="41">
        <f t="shared" si="104"/>
        <v>0</v>
      </c>
      <c r="C157" s="41">
        <f t="shared" si="104"/>
        <v>0</v>
      </c>
      <c r="D157" s="41">
        <f t="shared" si="104"/>
        <v>0</v>
      </c>
      <c r="E157" s="41">
        <f t="shared" si="104"/>
        <v>0</v>
      </c>
      <c r="F157" s="41">
        <f t="shared" si="104"/>
        <v>13.6</v>
      </c>
      <c r="G157" s="41">
        <f t="shared" si="104"/>
        <v>1452.42</v>
      </c>
      <c r="H157" s="41">
        <f t="shared" si="104"/>
        <v>710.7</v>
      </c>
      <c r="I157" s="41">
        <f t="shared" si="104"/>
        <v>0</v>
      </c>
      <c r="J157" s="41">
        <f t="shared" si="104"/>
        <v>0</v>
      </c>
      <c r="K157" s="41">
        <f t="shared" si="104"/>
        <v>0</v>
      </c>
      <c r="L157" s="41">
        <f t="shared" si="104"/>
        <v>0</v>
      </c>
      <c r="M157" s="41">
        <f t="shared" si="104"/>
        <v>0</v>
      </c>
      <c r="N157" s="6">
        <f t="shared" si="105"/>
        <v>2176.7200000000003</v>
      </c>
      <c r="P157" s="9">
        <v>41548</v>
      </c>
      <c r="Q157" s="41">
        <f t="shared" si="106"/>
        <v>0</v>
      </c>
      <c r="R157" s="41">
        <f t="shared" si="106"/>
        <v>0</v>
      </c>
      <c r="S157" s="41">
        <f t="shared" si="106"/>
        <v>0</v>
      </c>
      <c r="T157" s="41">
        <f t="shared" si="106"/>
        <v>0</v>
      </c>
      <c r="U157" s="41">
        <f t="shared" si="106"/>
        <v>1184894.83</v>
      </c>
      <c r="V157" s="41">
        <f t="shared" si="106"/>
        <v>105015948.72999999</v>
      </c>
      <c r="W157" s="41">
        <f t="shared" si="106"/>
        <v>60058582.670000002</v>
      </c>
      <c r="X157" s="41">
        <f t="shared" si="106"/>
        <v>0</v>
      </c>
      <c r="Y157" s="41">
        <f t="shared" si="106"/>
        <v>0</v>
      </c>
      <c r="Z157" s="41">
        <f t="shared" si="106"/>
        <v>0</v>
      </c>
      <c r="AA157" s="41">
        <f t="shared" si="106"/>
        <v>0</v>
      </c>
      <c r="AB157" s="41">
        <f t="shared" si="106"/>
        <v>0</v>
      </c>
      <c r="AC157" s="6">
        <f t="shared" si="107"/>
        <v>166259426.22999999</v>
      </c>
      <c r="AE157" s="9">
        <v>41548</v>
      </c>
      <c r="AF157" s="41">
        <f t="shared" si="108"/>
        <v>0</v>
      </c>
      <c r="AG157" s="41">
        <f t="shared" si="108"/>
        <v>0</v>
      </c>
      <c r="AH157" s="41">
        <f t="shared" si="108"/>
        <v>0</v>
      </c>
      <c r="AI157" s="41">
        <f t="shared" si="108"/>
        <v>0</v>
      </c>
      <c r="AJ157" s="41">
        <f t="shared" si="108"/>
        <v>18131.519969395566</v>
      </c>
      <c r="AK157" s="41">
        <f t="shared" si="108"/>
        <v>1595755.9561992751</v>
      </c>
      <c r="AL157" s="41">
        <f t="shared" si="108"/>
        <v>907897.2905493807</v>
      </c>
      <c r="AM157" s="41">
        <f t="shared" si="108"/>
        <v>0</v>
      </c>
      <c r="AN157" s="41">
        <f t="shared" si="108"/>
        <v>0</v>
      </c>
      <c r="AO157" s="41">
        <f t="shared" si="108"/>
        <v>0</v>
      </c>
      <c r="AP157" s="41">
        <f t="shared" si="108"/>
        <v>0</v>
      </c>
      <c r="AQ157" s="41">
        <f t="shared" si="108"/>
        <v>0</v>
      </c>
      <c r="AR157" s="6">
        <f t="shared" si="109"/>
        <v>2521784.7667180514</v>
      </c>
      <c r="AU157" s="92">
        <f t="shared" si="103"/>
        <v>1098.687677255391</v>
      </c>
      <c r="AV157" s="92">
        <f t="shared" si="103"/>
        <v>1277.4691016594634</v>
      </c>
      <c r="AW157" s="92" t="e">
        <f t="shared" si="103"/>
        <v>#DIV/0!</v>
      </c>
    </row>
    <row r="158" spans="1:49" s="40" customFormat="1">
      <c r="A158" s="9">
        <v>41579</v>
      </c>
      <c r="B158" s="41">
        <f t="shared" si="104"/>
        <v>0</v>
      </c>
      <c r="C158" s="41">
        <f t="shared" si="104"/>
        <v>0</v>
      </c>
      <c r="D158" s="41">
        <f t="shared" si="104"/>
        <v>0</v>
      </c>
      <c r="E158" s="41">
        <f t="shared" si="104"/>
        <v>0</v>
      </c>
      <c r="F158" s="41">
        <f t="shared" si="104"/>
        <v>37.019999999999996</v>
      </c>
      <c r="G158" s="41">
        <f t="shared" si="104"/>
        <v>2033.15</v>
      </c>
      <c r="H158" s="41">
        <f t="shared" si="104"/>
        <v>887.16000000000008</v>
      </c>
      <c r="I158" s="41">
        <f t="shared" si="104"/>
        <v>79.210000000000008</v>
      </c>
      <c r="J158" s="41">
        <f t="shared" si="104"/>
        <v>0</v>
      </c>
      <c r="K158" s="41">
        <f t="shared" si="104"/>
        <v>11.4</v>
      </c>
      <c r="L158" s="41">
        <f t="shared" si="104"/>
        <v>15</v>
      </c>
      <c r="M158" s="41">
        <f t="shared" si="104"/>
        <v>1.1000000000000001</v>
      </c>
      <c r="N158" s="6">
        <f t="shared" si="105"/>
        <v>3064.04</v>
      </c>
      <c r="P158" s="9">
        <v>41579</v>
      </c>
      <c r="Q158" s="41">
        <f t="shared" si="106"/>
        <v>0</v>
      </c>
      <c r="R158" s="41">
        <f t="shared" si="106"/>
        <v>0</v>
      </c>
      <c r="S158" s="41">
        <f t="shared" si="106"/>
        <v>0</v>
      </c>
      <c r="T158" s="41">
        <f t="shared" si="106"/>
        <v>0</v>
      </c>
      <c r="U158" s="41">
        <f t="shared" si="106"/>
        <v>3124540.96</v>
      </c>
      <c r="V158" s="41">
        <f t="shared" si="106"/>
        <v>140499599.93000001</v>
      </c>
      <c r="W158" s="41">
        <f t="shared" si="106"/>
        <v>69570630.480000004</v>
      </c>
      <c r="X158" s="41">
        <f t="shared" si="106"/>
        <v>5608770.1099999994</v>
      </c>
      <c r="Y158" s="41">
        <f t="shared" si="106"/>
        <v>0</v>
      </c>
      <c r="Z158" s="41">
        <f t="shared" si="106"/>
        <v>1063306.3899999999</v>
      </c>
      <c r="AA158" s="41">
        <f t="shared" si="106"/>
        <v>1367249.63</v>
      </c>
      <c r="AB158" s="41">
        <f t="shared" si="106"/>
        <v>100927.33</v>
      </c>
      <c r="AC158" s="6">
        <f t="shared" si="107"/>
        <v>221335024.83000001</v>
      </c>
      <c r="AE158" s="9">
        <v>41579</v>
      </c>
      <c r="AF158" s="41">
        <f t="shared" si="108"/>
        <v>0</v>
      </c>
      <c r="AG158" s="41">
        <f t="shared" si="108"/>
        <v>0</v>
      </c>
      <c r="AH158" s="41">
        <f t="shared" si="108"/>
        <v>0</v>
      </c>
      <c r="AI158" s="41">
        <f t="shared" si="108"/>
        <v>0</v>
      </c>
      <c r="AJ158" s="41">
        <f t="shared" si="108"/>
        <v>47324.362357459373</v>
      </c>
      <c r="AK158" s="41">
        <f t="shared" si="108"/>
        <v>2119217.3319434095</v>
      </c>
      <c r="AL158" s="41">
        <f t="shared" si="108"/>
        <v>1049941.9374154643</v>
      </c>
      <c r="AM158" s="41">
        <f t="shared" si="108"/>
        <v>84089.506896551728</v>
      </c>
      <c r="AN158" s="41">
        <f t="shared" si="108"/>
        <v>0</v>
      </c>
      <c r="AO158" s="41">
        <f t="shared" si="108"/>
        <v>16062.030060422958</v>
      </c>
      <c r="AP158" s="41">
        <f t="shared" si="108"/>
        <v>20653.31767371601</v>
      </c>
      <c r="AQ158" s="41">
        <f t="shared" si="108"/>
        <v>1524.5820241691843</v>
      </c>
      <c r="AR158" s="6">
        <f t="shared" si="109"/>
        <v>3338813.0683711935</v>
      </c>
      <c r="AU158" s="92">
        <f t="shared" si="103"/>
        <v>1042.3320128585738</v>
      </c>
      <c r="AV158" s="92">
        <f t="shared" si="103"/>
        <v>1183.4865609534518</v>
      </c>
      <c r="AW158" s="92">
        <f t="shared" si="103"/>
        <v>1061.6021575123307</v>
      </c>
    </row>
    <row r="159" spans="1:49" s="40" customFormat="1">
      <c r="A159" s="9">
        <v>41609</v>
      </c>
      <c r="B159" s="41">
        <f t="shared" si="104"/>
        <v>0</v>
      </c>
      <c r="C159" s="41">
        <f t="shared" si="104"/>
        <v>2.04</v>
      </c>
      <c r="D159" s="41">
        <f t="shared" si="104"/>
        <v>0</v>
      </c>
      <c r="E159" s="41">
        <f t="shared" si="104"/>
        <v>0</v>
      </c>
      <c r="F159" s="41">
        <f t="shared" si="104"/>
        <v>33.229999999999997</v>
      </c>
      <c r="G159" s="41">
        <f t="shared" si="104"/>
        <v>1900</v>
      </c>
      <c r="H159" s="41">
        <f t="shared" si="104"/>
        <v>1065.24</v>
      </c>
      <c r="I159" s="41">
        <f t="shared" si="104"/>
        <v>155.87</v>
      </c>
      <c r="J159" s="41">
        <f t="shared" si="104"/>
        <v>0</v>
      </c>
      <c r="K159" s="41">
        <f t="shared" si="104"/>
        <v>2</v>
      </c>
      <c r="L159" s="41">
        <f t="shared" si="104"/>
        <v>15</v>
      </c>
      <c r="M159" s="41">
        <f t="shared" si="104"/>
        <v>0</v>
      </c>
      <c r="N159" s="6">
        <f t="shared" si="105"/>
        <v>3173.38</v>
      </c>
      <c r="O159" s="42">
        <f>N157+N158+N159</f>
        <v>8414.14</v>
      </c>
      <c r="P159" s="9">
        <v>41609</v>
      </c>
      <c r="Q159" s="41">
        <f t="shared" si="106"/>
        <v>0</v>
      </c>
      <c r="R159" s="41">
        <f t="shared" si="106"/>
        <v>465221.84</v>
      </c>
      <c r="S159" s="41">
        <f t="shared" si="106"/>
        <v>0</v>
      </c>
      <c r="T159" s="41">
        <f t="shared" si="106"/>
        <v>0</v>
      </c>
      <c r="U159" s="41">
        <f t="shared" si="106"/>
        <v>2868943.58</v>
      </c>
      <c r="V159" s="41">
        <f t="shared" si="106"/>
        <v>147542549.50999999</v>
      </c>
      <c r="W159" s="41">
        <f t="shared" si="106"/>
        <v>86583874.349999994</v>
      </c>
      <c r="X159" s="41">
        <f t="shared" si="106"/>
        <v>12894900.800000001</v>
      </c>
      <c r="Y159" s="41">
        <f t="shared" si="106"/>
        <v>0</v>
      </c>
      <c r="Z159" s="41">
        <f t="shared" si="106"/>
        <v>173202.38</v>
      </c>
      <c r="AA159" s="41">
        <f t="shared" si="106"/>
        <v>1273546.8799999999</v>
      </c>
      <c r="AB159" s="41">
        <f t="shared" si="106"/>
        <v>0</v>
      </c>
      <c r="AC159" s="6">
        <f t="shared" si="107"/>
        <v>251802239.33999997</v>
      </c>
      <c r="AE159" s="9">
        <v>41609</v>
      </c>
      <c r="AF159" s="41">
        <f t="shared" si="108"/>
        <v>0</v>
      </c>
      <c r="AG159" s="41">
        <f t="shared" si="108"/>
        <v>6922.9440476190475</v>
      </c>
      <c r="AH159" s="41">
        <f t="shared" si="108"/>
        <v>0</v>
      </c>
      <c r="AI159" s="41">
        <f t="shared" si="108"/>
        <v>0</v>
      </c>
      <c r="AJ159" s="41">
        <f t="shared" si="108"/>
        <v>42692.612797619047</v>
      </c>
      <c r="AK159" s="41">
        <f t="shared" si="108"/>
        <v>2197485.6082108873</v>
      </c>
      <c r="AL159" s="41">
        <f t="shared" si="108"/>
        <v>1287813.9225153788</v>
      </c>
      <c r="AM159" s="41">
        <f t="shared" si="108"/>
        <v>191818.79747731899</v>
      </c>
      <c r="AN159" s="41">
        <f t="shared" si="108"/>
        <v>0</v>
      </c>
      <c r="AO159" s="41">
        <f t="shared" si="108"/>
        <v>2575.5000743494425</v>
      </c>
      <c r="AP159" s="41">
        <f t="shared" si="108"/>
        <v>18937.500074349442</v>
      </c>
      <c r="AQ159" s="41">
        <f t="shared" si="108"/>
        <v>0</v>
      </c>
      <c r="AR159" s="6">
        <f t="shared" si="109"/>
        <v>3748246.8851975217</v>
      </c>
      <c r="AU159" s="92">
        <f t="shared" si="103"/>
        <v>1156.5713727425723</v>
      </c>
      <c r="AV159" s="92">
        <f t="shared" si="103"/>
        <v>1208.942512969264</v>
      </c>
      <c r="AW159" s="92">
        <f t="shared" si="103"/>
        <v>1230.6332038064988</v>
      </c>
    </row>
    <row r="160" spans="1:49" s="40" customFormat="1">
      <c r="A160" s="9">
        <v>41640</v>
      </c>
      <c r="B160" s="41">
        <f t="shared" si="104"/>
        <v>0</v>
      </c>
      <c r="C160" s="41">
        <f t="shared" si="104"/>
        <v>0</v>
      </c>
      <c r="D160" s="41">
        <f t="shared" si="104"/>
        <v>0</v>
      </c>
      <c r="E160" s="41">
        <f t="shared" si="104"/>
        <v>0</v>
      </c>
      <c r="F160" s="41">
        <f t="shared" si="104"/>
        <v>46.809999999999995</v>
      </c>
      <c r="G160" s="41">
        <f t="shared" si="104"/>
        <v>1416.8</v>
      </c>
      <c r="H160" s="41">
        <f t="shared" si="104"/>
        <v>1147.6300000000001</v>
      </c>
      <c r="I160" s="41">
        <f t="shared" si="104"/>
        <v>175.19000000000003</v>
      </c>
      <c r="J160" s="41">
        <f t="shared" si="104"/>
        <v>0</v>
      </c>
      <c r="K160" s="41">
        <f t="shared" si="104"/>
        <v>0</v>
      </c>
      <c r="L160" s="41">
        <f t="shared" si="104"/>
        <v>21</v>
      </c>
      <c r="M160" s="41">
        <f t="shared" si="104"/>
        <v>15</v>
      </c>
      <c r="N160" s="6">
        <f t="shared" si="105"/>
        <v>2822.43</v>
      </c>
      <c r="P160" s="9">
        <v>41640</v>
      </c>
      <c r="Q160" s="41">
        <f t="shared" si="106"/>
        <v>0</v>
      </c>
      <c r="R160" s="41">
        <f t="shared" si="106"/>
        <v>0</v>
      </c>
      <c r="S160" s="41">
        <f t="shared" si="106"/>
        <v>0</v>
      </c>
      <c r="T160" s="41">
        <f t="shared" si="106"/>
        <v>0</v>
      </c>
      <c r="U160" s="41">
        <f t="shared" si="106"/>
        <v>3934308.21</v>
      </c>
      <c r="V160" s="41">
        <f t="shared" si="106"/>
        <v>106615324.82000002</v>
      </c>
      <c r="W160" s="41">
        <f t="shared" si="106"/>
        <v>93973304.719999999</v>
      </c>
      <c r="X160" s="41">
        <f t="shared" si="106"/>
        <v>14691611.729999999</v>
      </c>
      <c r="Y160" s="41">
        <f t="shared" si="106"/>
        <v>0</v>
      </c>
      <c r="Z160" s="41">
        <f t="shared" si="106"/>
        <v>0</v>
      </c>
      <c r="AA160" s="41">
        <f t="shared" si="106"/>
        <v>1811771.08</v>
      </c>
      <c r="AB160" s="41">
        <f t="shared" si="106"/>
        <v>1323504</v>
      </c>
      <c r="AC160" s="6">
        <f t="shared" si="107"/>
        <v>222349824.56</v>
      </c>
      <c r="AE160" s="9">
        <v>41640</v>
      </c>
      <c r="AF160" s="41">
        <f t="shared" si="108"/>
        <v>0</v>
      </c>
      <c r="AG160" s="41">
        <f t="shared" si="108"/>
        <v>0</v>
      </c>
      <c r="AH160" s="41">
        <f t="shared" si="108"/>
        <v>0</v>
      </c>
      <c r="AI160" s="41">
        <f t="shared" si="108"/>
        <v>0</v>
      </c>
      <c r="AJ160" s="41">
        <f t="shared" si="108"/>
        <v>57674.559560359223</v>
      </c>
      <c r="AK160" s="41">
        <f t="shared" si="108"/>
        <v>1577652.4732166021</v>
      </c>
      <c r="AL160" s="41">
        <f t="shared" si="108"/>
        <v>1384211.5606777729</v>
      </c>
      <c r="AM160" s="41">
        <f t="shared" si="108"/>
        <v>218179.97411243778</v>
      </c>
      <c r="AN160" s="41">
        <f t="shared" si="108"/>
        <v>0</v>
      </c>
      <c r="AO160" s="41">
        <f t="shared" si="108"/>
        <v>0</v>
      </c>
      <c r="AP160" s="41">
        <f t="shared" si="108"/>
        <v>26860.950037064493</v>
      </c>
      <c r="AQ160" s="41">
        <f t="shared" si="108"/>
        <v>19622.001482579686</v>
      </c>
      <c r="AR160" s="6">
        <f t="shared" si="109"/>
        <v>3284201.5190868163</v>
      </c>
      <c r="AU160" s="92">
        <f t="shared" si="103"/>
        <v>1113.5322368835418</v>
      </c>
      <c r="AV160" s="92">
        <f t="shared" si="103"/>
        <v>1206.1479402575505</v>
      </c>
      <c r="AW160" s="92">
        <f t="shared" si="103"/>
        <v>1245.3905708798318</v>
      </c>
    </row>
    <row r="161" spans="1:49" s="40" customFormat="1">
      <c r="A161" s="9">
        <v>41671</v>
      </c>
      <c r="B161" s="41">
        <f t="shared" si="104"/>
        <v>0</v>
      </c>
      <c r="C161" s="41">
        <f t="shared" si="104"/>
        <v>0</v>
      </c>
      <c r="D161" s="41">
        <f t="shared" si="104"/>
        <v>0</v>
      </c>
      <c r="E161" s="41">
        <f t="shared" si="104"/>
        <v>0</v>
      </c>
      <c r="F161" s="41">
        <f t="shared" si="104"/>
        <v>72.61</v>
      </c>
      <c r="G161" s="41">
        <f t="shared" si="104"/>
        <v>1752.8000000000002</v>
      </c>
      <c r="H161" s="41">
        <f t="shared" si="104"/>
        <v>945.7700000000001</v>
      </c>
      <c r="I161" s="41">
        <f t="shared" si="104"/>
        <v>98.25</v>
      </c>
      <c r="J161" s="41">
        <f t="shared" si="104"/>
        <v>0</v>
      </c>
      <c r="K161" s="41">
        <f t="shared" si="104"/>
        <v>0</v>
      </c>
      <c r="L161" s="41">
        <f t="shared" si="104"/>
        <v>29.4</v>
      </c>
      <c r="M161" s="41">
        <f t="shared" si="104"/>
        <v>0</v>
      </c>
      <c r="N161" s="6">
        <f t="shared" si="105"/>
        <v>2898.8300000000004</v>
      </c>
      <c r="P161" s="9">
        <v>41671</v>
      </c>
      <c r="Q161" s="41">
        <f t="shared" si="106"/>
        <v>0</v>
      </c>
      <c r="R161" s="41">
        <f t="shared" si="106"/>
        <v>0</v>
      </c>
      <c r="S161" s="41">
        <f t="shared" si="106"/>
        <v>0</v>
      </c>
      <c r="T161" s="41">
        <f t="shared" si="106"/>
        <v>0</v>
      </c>
      <c r="U161" s="41">
        <f t="shared" si="106"/>
        <v>6324975.5599999996</v>
      </c>
      <c r="V161" s="41">
        <f t="shared" si="106"/>
        <v>132588389.13000003</v>
      </c>
      <c r="W161" s="41">
        <f t="shared" si="106"/>
        <v>80721872.909999996</v>
      </c>
      <c r="X161" s="41">
        <f t="shared" si="106"/>
        <v>8119153.5000000009</v>
      </c>
      <c r="Y161" s="41">
        <f t="shared" si="106"/>
        <v>0</v>
      </c>
      <c r="Z161" s="41">
        <f t="shared" si="106"/>
        <v>0</v>
      </c>
      <c r="AA161" s="41">
        <f t="shared" si="106"/>
        <v>2785498.67</v>
      </c>
      <c r="AB161" s="41">
        <f t="shared" si="106"/>
        <v>0</v>
      </c>
      <c r="AC161" s="6">
        <f t="shared" si="107"/>
        <v>230539889.77000001</v>
      </c>
      <c r="AE161" s="9">
        <v>41671</v>
      </c>
      <c r="AF161" s="41">
        <f t="shared" si="108"/>
        <v>0</v>
      </c>
      <c r="AG161" s="41">
        <f t="shared" si="108"/>
        <v>0</v>
      </c>
      <c r="AH161" s="41">
        <f t="shared" si="108"/>
        <v>0</v>
      </c>
      <c r="AI161" s="41">
        <f t="shared" si="108"/>
        <v>0</v>
      </c>
      <c r="AJ161" s="41">
        <f t="shared" si="108"/>
        <v>92255.363039138145</v>
      </c>
      <c r="AK161" s="41">
        <f t="shared" si="108"/>
        <v>1932310.2564968492</v>
      </c>
      <c r="AL161" s="41">
        <f t="shared" si="108"/>
        <v>1175976.4175435686</v>
      </c>
      <c r="AM161" s="41">
        <f t="shared" si="108"/>
        <v>118629.93528411057</v>
      </c>
      <c r="AN161" s="41">
        <f t="shared" si="108"/>
        <v>0</v>
      </c>
      <c r="AO161" s="41">
        <f t="shared" si="108"/>
        <v>0</v>
      </c>
      <c r="AP161" s="41">
        <f t="shared" si="108"/>
        <v>40693.917750182613</v>
      </c>
      <c r="AQ161" s="41">
        <f t="shared" si="108"/>
        <v>0</v>
      </c>
      <c r="AR161" s="6">
        <f t="shared" si="109"/>
        <v>3359865.8901138492</v>
      </c>
      <c r="AU161" s="92">
        <f t="shared" si="103"/>
        <v>1102.4134279420637</v>
      </c>
      <c r="AV161" s="92">
        <f t="shared" si="103"/>
        <v>1243.4063435545306</v>
      </c>
      <c r="AW161" s="92">
        <f t="shared" si="103"/>
        <v>1207.4293667593952</v>
      </c>
    </row>
    <row r="162" spans="1:49" s="40" customFormat="1">
      <c r="A162" s="9">
        <v>41699</v>
      </c>
      <c r="B162" s="41">
        <f t="shared" si="104"/>
        <v>0</v>
      </c>
      <c r="C162" s="41">
        <f t="shared" si="104"/>
        <v>0</v>
      </c>
      <c r="D162" s="41">
        <f t="shared" si="104"/>
        <v>0</v>
      </c>
      <c r="E162" s="41">
        <f t="shared" si="104"/>
        <v>0</v>
      </c>
      <c r="F162" s="41">
        <f t="shared" si="104"/>
        <v>99.03</v>
      </c>
      <c r="G162" s="41">
        <f t="shared" si="104"/>
        <v>1337.79</v>
      </c>
      <c r="H162" s="41">
        <f t="shared" si="104"/>
        <v>1408.25</v>
      </c>
      <c r="I162" s="41">
        <f t="shared" si="104"/>
        <v>157.86000000000001</v>
      </c>
      <c r="J162" s="41">
        <f t="shared" si="104"/>
        <v>0</v>
      </c>
      <c r="K162" s="41">
        <f t="shared" si="104"/>
        <v>12</v>
      </c>
      <c r="L162" s="41">
        <f t="shared" si="104"/>
        <v>28.8</v>
      </c>
      <c r="M162" s="41">
        <f t="shared" si="104"/>
        <v>45</v>
      </c>
      <c r="N162" s="6">
        <f t="shared" si="105"/>
        <v>3088.73</v>
      </c>
      <c r="O162" s="42">
        <f>N160+N161+N162</f>
        <v>8809.99</v>
      </c>
      <c r="P162" s="9">
        <v>41699</v>
      </c>
      <c r="Q162" s="41">
        <f t="shared" si="106"/>
        <v>0</v>
      </c>
      <c r="R162" s="41">
        <f t="shared" si="106"/>
        <v>0</v>
      </c>
      <c r="S162" s="41">
        <f t="shared" si="106"/>
        <v>0</v>
      </c>
      <c r="T162" s="41">
        <f t="shared" si="106"/>
        <v>0</v>
      </c>
      <c r="U162" s="41">
        <f t="shared" si="106"/>
        <v>8270867.9799999995</v>
      </c>
      <c r="V162" s="41">
        <f t="shared" si="106"/>
        <v>105053652</v>
      </c>
      <c r="W162" s="41">
        <f t="shared" si="106"/>
        <v>126383822.54000001</v>
      </c>
      <c r="X162" s="41">
        <f t="shared" si="106"/>
        <v>14465985.110000001</v>
      </c>
      <c r="Y162" s="41">
        <f t="shared" si="106"/>
        <v>0</v>
      </c>
      <c r="Z162" s="41">
        <f t="shared" si="106"/>
        <v>1062742.2</v>
      </c>
      <c r="AA162" s="41">
        <f t="shared" si="106"/>
        <v>2056172.1400000001</v>
      </c>
      <c r="AB162" s="41">
        <f t="shared" si="106"/>
        <v>3958865.44</v>
      </c>
      <c r="AC162" s="6">
        <f t="shared" si="107"/>
        <v>261252107.41</v>
      </c>
      <c r="AE162" s="9">
        <v>41699</v>
      </c>
      <c r="AF162" s="41">
        <f t="shared" si="108"/>
        <v>0</v>
      </c>
      <c r="AG162" s="41">
        <f t="shared" si="108"/>
        <v>0</v>
      </c>
      <c r="AH162" s="41">
        <f t="shared" si="108"/>
        <v>0</v>
      </c>
      <c r="AI162" s="41">
        <f t="shared" si="108"/>
        <v>0</v>
      </c>
      <c r="AJ162" s="41">
        <f t="shared" si="108"/>
        <v>122033.86136124798</v>
      </c>
      <c r="AK162" s="41">
        <f t="shared" si="108"/>
        <v>1548445.2005305579</v>
      </c>
      <c r="AL162" s="41">
        <f t="shared" si="108"/>
        <v>1864735.8139268737</v>
      </c>
      <c r="AM162" s="41">
        <f t="shared" si="108"/>
        <v>213632.5038467492</v>
      </c>
      <c r="AN162" s="41">
        <f t="shared" si="108"/>
        <v>0</v>
      </c>
      <c r="AO162" s="41">
        <f t="shared" si="108"/>
        <v>15755.999999999998</v>
      </c>
      <c r="AP162" s="41">
        <f t="shared" si="108"/>
        <v>30355.460882352942</v>
      </c>
      <c r="AQ162" s="41">
        <f t="shared" si="108"/>
        <v>58533.626090786202</v>
      </c>
      <c r="AR162" s="6">
        <f t="shared" si="109"/>
        <v>3853492.4666385683</v>
      </c>
      <c r="AU162" s="92">
        <f t="shared" si="103"/>
        <v>1157.4650733901119</v>
      </c>
      <c r="AV162" s="92">
        <f t="shared" si="103"/>
        <v>1324.151119422598</v>
      </c>
      <c r="AW162" s="92">
        <f t="shared" si="103"/>
        <v>1353.3035844846647</v>
      </c>
    </row>
    <row r="163" spans="1:49" s="40" customFormat="1">
      <c r="A163" s="28" t="s">
        <v>4</v>
      </c>
      <c r="B163" s="91">
        <f>SUM(B151:B162)</f>
        <v>0</v>
      </c>
      <c r="C163" s="91">
        <f t="shared" ref="C163:M163" si="110">SUM(C151:C162)</f>
        <v>2.04</v>
      </c>
      <c r="D163" s="91">
        <f t="shared" si="110"/>
        <v>6.8</v>
      </c>
      <c r="E163" s="91">
        <f t="shared" si="110"/>
        <v>0</v>
      </c>
      <c r="F163" s="91">
        <f t="shared" si="110"/>
        <v>743.01999999999987</v>
      </c>
      <c r="G163" s="91">
        <f t="shared" si="110"/>
        <v>28798.200000000004</v>
      </c>
      <c r="H163" s="91">
        <f t="shared" si="110"/>
        <v>11870.04</v>
      </c>
      <c r="I163" s="91">
        <f t="shared" si="110"/>
        <v>1864.6100000000001</v>
      </c>
      <c r="J163" s="91">
        <f t="shared" si="110"/>
        <v>0</v>
      </c>
      <c r="K163" s="91">
        <f t="shared" si="110"/>
        <v>93.8</v>
      </c>
      <c r="L163" s="91">
        <f t="shared" si="110"/>
        <v>169.20000000000002</v>
      </c>
      <c r="M163" s="91">
        <f t="shared" si="110"/>
        <v>78</v>
      </c>
      <c r="N163" s="127">
        <f t="shared" si="105"/>
        <v>43625.710000000006</v>
      </c>
      <c r="P163" s="128" t="s">
        <v>4</v>
      </c>
      <c r="Q163" s="91">
        <f>SUM(Q151:Q162)</f>
        <v>0</v>
      </c>
      <c r="R163" s="91">
        <f t="shared" ref="R163:AB163" si="111">SUM(R151:R162)</f>
        <v>465221.84</v>
      </c>
      <c r="S163" s="91">
        <f t="shared" si="111"/>
        <v>1657797.84</v>
      </c>
      <c r="T163" s="91">
        <f t="shared" si="111"/>
        <v>0</v>
      </c>
      <c r="U163" s="91">
        <f t="shared" si="111"/>
        <v>67023863.929999992</v>
      </c>
      <c r="V163" s="91">
        <f t="shared" si="111"/>
        <v>2393828112.0400004</v>
      </c>
      <c r="W163" s="91">
        <f t="shared" si="111"/>
        <v>1055081312.9399999</v>
      </c>
      <c r="X163" s="91">
        <f t="shared" si="111"/>
        <v>164490900.16999999</v>
      </c>
      <c r="Y163" s="91">
        <f t="shared" si="111"/>
        <v>0</v>
      </c>
      <c r="Z163" s="91">
        <f t="shared" si="111"/>
        <v>9563076.6599999983</v>
      </c>
      <c r="AA163" s="91">
        <f t="shared" si="111"/>
        <v>14640665.84</v>
      </c>
      <c r="AB163" s="91">
        <f t="shared" si="111"/>
        <v>7049818.2699999996</v>
      </c>
      <c r="AC163" s="127">
        <f t="shared" si="107"/>
        <v>3713800769.5300007</v>
      </c>
      <c r="AE163" s="128" t="s">
        <v>4</v>
      </c>
      <c r="AF163" s="91">
        <f>SUM(AF151:AF162)</f>
        <v>0</v>
      </c>
      <c r="AG163" s="91">
        <f t="shared" ref="AG163:AQ163" si="112">SUM(AG151:AG162)</f>
        <v>6922.9440476190475</v>
      </c>
      <c r="AH163" s="91">
        <f t="shared" si="112"/>
        <v>24724.800000000003</v>
      </c>
      <c r="AI163" s="91">
        <f t="shared" si="112"/>
        <v>0</v>
      </c>
      <c r="AJ163" s="91">
        <f t="shared" si="112"/>
        <v>1021128.2623845323</v>
      </c>
      <c r="AK163" s="91">
        <f t="shared" si="112"/>
        <v>36769903.324377164</v>
      </c>
      <c r="AL163" s="91">
        <f t="shared" si="112"/>
        <v>16013406.624735015</v>
      </c>
      <c r="AM163" s="91">
        <f t="shared" si="112"/>
        <v>2500913.1262544286</v>
      </c>
      <c r="AN163" s="91">
        <f t="shared" si="112"/>
        <v>0</v>
      </c>
      <c r="AO163" s="91">
        <f t="shared" si="112"/>
        <v>145361.3302158681</v>
      </c>
      <c r="AP163" s="91">
        <f t="shared" si="112"/>
        <v>218601.50740946474</v>
      </c>
      <c r="AQ163" s="91">
        <f t="shared" si="112"/>
        <v>104595.5839175687</v>
      </c>
      <c r="AR163" s="127">
        <f t="shared" si="109"/>
        <v>56805557.503341667</v>
      </c>
    </row>
  </sheetData>
  <mergeCells count="6">
    <mergeCell ref="AU2:AW2"/>
    <mergeCell ref="F116:G116"/>
    <mergeCell ref="AH116:AI116"/>
    <mergeCell ref="D1:M1"/>
    <mergeCell ref="S1:AB1"/>
    <mergeCell ref="AH1:AQ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63"/>
  <sheetViews>
    <sheetView showGridLines="0" topLeftCell="AJ88" zoomScale="90" zoomScaleNormal="90" workbookViewId="0">
      <selection activeCell="AR100" sqref="AR100:AR111"/>
    </sheetView>
  </sheetViews>
  <sheetFormatPr defaultRowHeight="12.75"/>
  <cols>
    <col min="1" max="1" width="17" style="1" bestFit="1" customWidth="1"/>
    <col min="2" max="3" width="17" style="40" customWidth="1"/>
    <col min="4" max="4" width="12.5703125" style="1" bestFit="1" customWidth="1"/>
    <col min="5" max="5" width="15.140625" style="40" bestFit="1" customWidth="1"/>
    <col min="6" max="6" width="11.7109375" style="1" bestFit="1" customWidth="1"/>
    <col min="7" max="9" width="13.85546875" style="1" bestFit="1" customWidth="1"/>
    <col min="10" max="11" width="11.7109375" style="1" bestFit="1" customWidth="1"/>
    <col min="12" max="12" width="13.85546875" style="1" bestFit="1" customWidth="1"/>
    <col min="13" max="13" width="11.7109375" style="1" bestFit="1" customWidth="1"/>
    <col min="14" max="14" width="12" style="1" bestFit="1" customWidth="1"/>
    <col min="15" max="15" width="9.140625" style="1"/>
    <col min="16" max="16" width="17" style="1" bestFit="1" customWidth="1"/>
    <col min="17" max="18" width="17" style="40" customWidth="1"/>
    <col min="19" max="19" width="12.7109375" style="1" bestFit="1" customWidth="1"/>
    <col min="20" max="20" width="12.7109375" style="40" customWidth="1"/>
    <col min="21" max="21" width="13.5703125" style="1" bestFit="1" customWidth="1"/>
    <col min="22" max="23" width="16" style="1" bestFit="1" customWidth="1"/>
    <col min="24" max="24" width="14.5703125" style="1" bestFit="1" customWidth="1"/>
    <col min="25" max="25" width="11.85546875" style="1" bestFit="1" customWidth="1"/>
    <col min="26" max="26" width="13.5703125" style="1" bestFit="1" customWidth="1"/>
    <col min="27" max="27" width="14" style="1" bestFit="1" customWidth="1"/>
    <col min="28" max="28" width="13.5703125" style="1" bestFit="1" customWidth="1"/>
    <col min="29" max="29" width="16" style="1" bestFit="1" customWidth="1"/>
    <col min="30" max="30" width="12" style="1" bestFit="1" customWidth="1"/>
    <col min="31" max="31" width="17" style="40" bestFit="1" customWidth="1"/>
    <col min="32" max="33" width="17" style="40" customWidth="1"/>
    <col min="34" max="34" width="12.7109375" style="40" bestFit="1" customWidth="1"/>
    <col min="35" max="35" width="12.7109375" style="40" customWidth="1"/>
    <col min="36" max="36" width="13.5703125" style="40" bestFit="1" customWidth="1"/>
    <col min="37" max="38" width="16" style="40" bestFit="1" customWidth="1"/>
    <col min="39" max="39" width="14.5703125" style="40" bestFit="1" customWidth="1"/>
    <col min="40" max="40" width="11.85546875" style="40" bestFit="1" customWidth="1"/>
    <col min="41" max="41" width="13.5703125" style="40" bestFit="1" customWidth="1"/>
    <col min="42" max="42" width="14" style="40" bestFit="1" customWidth="1"/>
    <col min="43" max="43" width="13.5703125" style="40" bestFit="1" customWidth="1"/>
    <col min="44" max="44" width="16" style="40" bestFit="1" customWidth="1"/>
    <col min="45" max="45" width="16" style="40" customWidth="1"/>
    <col min="46" max="16384" width="9.140625" style="1"/>
  </cols>
  <sheetData>
    <row r="1" spans="1:49">
      <c r="D1" s="424" t="s">
        <v>21</v>
      </c>
      <c r="E1" s="424"/>
      <c r="F1" s="424"/>
      <c r="G1" s="424"/>
      <c r="H1" s="424"/>
      <c r="I1" s="424"/>
      <c r="J1" s="424"/>
      <c r="K1" s="424"/>
      <c r="L1" s="424"/>
      <c r="M1" s="424"/>
      <c r="S1" s="424" t="s">
        <v>45</v>
      </c>
      <c r="T1" s="424"/>
      <c r="U1" s="424"/>
      <c r="V1" s="424"/>
      <c r="W1" s="424"/>
      <c r="X1" s="424"/>
      <c r="Y1" s="424"/>
      <c r="Z1" s="424"/>
      <c r="AA1" s="424"/>
      <c r="AB1" s="424"/>
      <c r="AH1" s="424" t="s">
        <v>83</v>
      </c>
      <c r="AI1" s="424"/>
      <c r="AJ1" s="424"/>
      <c r="AK1" s="424"/>
      <c r="AL1" s="424"/>
      <c r="AM1" s="424"/>
      <c r="AN1" s="424"/>
      <c r="AO1" s="424"/>
      <c r="AP1" s="424"/>
      <c r="AQ1" s="424"/>
    </row>
    <row r="2" spans="1:49">
      <c r="S2" s="40"/>
      <c r="U2" s="40"/>
      <c r="V2" s="40"/>
      <c r="W2" s="40"/>
      <c r="X2" s="40"/>
      <c r="Y2" s="40"/>
      <c r="Z2" s="40"/>
      <c r="AA2" s="40"/>
      <c r="AB2" s="40"/>
      <c r="AU2" s="421" t="s">
        <v>86</v>
      </c>
      <c r="AV2" s="421"/>
      <c r="AW2" s="421"/>
    </row>
    <row r="3" spans="1:49">
      <c r="A3" s="25" t="s">
        <v>22</v>
      </c>
      <c r="B3" s="161" t="s">
        <v>133</v>
      </c>
      <c r="C3" s="161" t="s">
        <v>19</v>
      </c>
      <c r="D3" s="161" t="s">
        <v>17</v>
      </c>
      <c r="E3" s="161" t="s">
        <v>134</v>
      </c>
      <c r="F3" s="161" t="s">
        <v>10</v>
      </c>
      <c r="G3" s="161" t="s">
        <v>11</v>
      </c>
      <c r="H3" s="161" t="s">
        <v>12</v>
      </c>
      <c r="I3" s="161" t="s">
        <v>13</v>
      </c>
      <c r="J3" s="161" t="s">
        <v>14</v>
      </c>
      <c r="K3" s="161" t="s">
        <v>18</v>
      </c>
      <c r="L3" s="161" t="s">
        <v>15</v>
      </c>
      <c r="M3" s="161" t="s">
        <v>16</v>
      </c>
      <c r="N3" s="27" t="s">
        <v>20</v>
      </c>
      <c r="O3" s="40"/>
      <c r="P3" s="25" t="s">
        <v>22</v>
      </c>
      <c r="Q3" s="161" t="s">
        <v>133</v>
      </c>
      <c r="R3" s="161" t="s">
        <v>19</v>
      </c>
      <c r="S3" s="161" t="s">
        <v>17</v>
      </c>
      <c r="T3" s="161" t="s">
        <v>134</v>
      </c>
      <c r="U3" s="161" t="s">
        <v>10</v>
      </c>
      <c r="V3" s="161" t="s">
        <v>11</v>
      </c>
      <c r="W3" s="161" t="s">
        <v>12</v>
      </c>
      <c r="X3" s="161" t="s">
        <v>13</v>
      </c>
      <c r="Y3" s="161" t="s">
        <v>14</v>
      </c>
      <c r="Z3" s="161" t="s">
        <v>18</v>
      </c>
      <c r="AA3" s="161" t="s">
        <v>15</v>
      </c>
      <c r="AB3" s="161" t="s">
        <v>16</v>
      </c>
      <c r="AC3" s="27" t="s">
        <v>20</v>
      </c>
      <c r="AD3" s="40"/>
      <c r="AE3" s="25" t="s">
        <v>22</v>
      </c>
      <c r="AF3" s="161" t="s">
        <v>133</v>
      </c>
      <c r="AG3" s="161" t="s">
        <v>19</v>
      </c>
      <c r="AH3" s="161" t="s">
        <v>17</v>
      </c>
      <c r="AI3" s="161" t="s">
        <v>134</v>
      </c>
      <c r="AJ3" s="161" t="s">
        <v>10</v>
      </c>
      <c r="AK3" s="161" t="s">
        <v>11</v>
      </c>
      <c r="AL3" s="161" t="s">
        <v>12</v>
      </c>
      <c r="AM3" s="161" t="s">
        <v>13</v>
      </c>
      <c r="AN3" s="161" t="s">
        <v>14</v>
      </c>
      <c r="AO3" s="161" t="s">
        <v>18</v>
      </c>
      <c r="AP3" s="161" t="s">
        <v>15</v>
      </c>
      <c r="AQ3" s="161" t="s">
        <v>16</v>
      </c>
      <c r="AR3" s="27" t="s">
        <v>20</v>
      </c>
      <c r="AS3" s="163"/>
      <c r="AU3" s="90" t="s">
        <v>11</v>
      </c>
      <c r="AV3" s="90" t="s">
        <v>12</v>
      </c>
      <c r="AW3" s="90" t="s">
        <v>13</v>
      </c>
    </row>
    <row r="4" spans="1:49">
      <c r="A4" s="9">
        <v>42461</v>
      </c>
      <c r="B4" s="41">
        <f>B20+B36+B52+B68+B84+B100</f>
        <v>0</v>
      </c>
      <c r="C4" s="41">
        <f t="shared" ref="C4:N4" si="0">C20+C36+C52+C68+C84+C100</f>
        <v>0</v>
      </c>
      <c r="D4" s="41">
        <f t="shared" si="0"/>
        <v>0</v>
      </c>
      <c r="E4" s="41">
        <f t="shared" si="0"/>
        <v>0</v>
      </c>
      <c r="F4" s="41">
        <f t="shared" si="0"/>
        <v>92.210000000000008</v>
      </c>
      <c r="G4" s="41">
        <f t="shared" si="0"/>
        <v>1989.12</v>
      </c>
      <c r="H4" s="41">
        <f t="shared" si="0"/>
        <v>1169.95</v>
      </c>
      <c r="I4" s="41">
        <f t="shared" si="0"/>
        <v>59.23</v>
      </c>
      <c r="J4" s="41">
        <f t="shared" si="0"/>
        <v>0</v>
      </c>
      <c r="K4" s="41">
        <f t="shared" si="0"/>
        <v>11.4</v>
      </c>
      <c r="L4" s="41">
        <f t="shared" si="0"/>
        <v>31.54</v>
      </c>
      <c r="M4" s="41">
        <f t="shared" si="0"/>
        <v>92.6</v>
      </c>
      <c r="N4" s="6">
        <f t="shared" si="0"/>
        <v>3446.0499999999997</v>
      </c>
      <c r="O4" s="41"/>
      <c r="P4" s="9">
        <v>42461</v>
      </c>
      <c r="Q4" s="41">
        <f>Q20+Q36+Q52+Q68+Q84+Q100</f>
        <v>0</v>
      </c>
      <c r="R4" s="41">
        <f t="shared" ref="R4:AC4" si="1">R20+R36+R52+R68+R84+R100</f>
        <v>0</v>
      </c>
      <c r="S4" s="41">
        <f t="shared" si="1"/>
        <v>0</v>
      </c>
      <c r="T4" s="41">
        <f t="shared" si="1"/>
        <v>0</v>
      </c>
      <c r="U4" s="41">
        <f t="shared" si="1"/>
        <v>8742266.4499999993</v>
      </c>
      <c r="V4" s="41">
        <f t="shared" si="1"/>
        <v>161462782.72</v>
      </c>
      <c r="W4" s="41">
        <f t="shared" si="1"/>
        <v>114064141.21999998</v>
      </c>
      <c r="X4" s="41">
        <f t="shared" si="1"/>
        <v>5814727.5599999996</v>
      </c>
      <c r="Y4" s="41">
        <f t="shared" si="1"/>
        <v>0</v>
      </c>
      <c r="Z4" s="41">
        <f t="shared" si="1"/>
        <v>989818.28</v>
      </c>
      <c r="AA4" s="41">
        <f t="shared" si="1"/>
        <v>3126853.79</v>
      </c>
      <c r="AB4" s="41">
        <f t="shared" si="1"/>
        <v>6529144.1900000004</v>
      </c>
      <c r="AC4" s="6">
        <f t="shared" si="1"/>
        <v>300729734.20999998</v>
      </c>
      <c r="AD4" s="40"/>
      <c r="AE4" s="9">
        <v>42461</v>
      </c>
      <c r="AF4" s="41">
        <f>AF20+AF36+AF52+AF68+AF84+AF100</f>
        <v>0</v>
      </c>
      <c r="AG4" s="41">
        <f t="shared" ref="AG4:AR4" si="2">AG20+AG36+AG52+AG68+AG84+AG100</f>
        <v>0</v>
      </c>
      <c r="AH4" s="41">
        <f t="shared" si="2"/>
        <v>0</v>
      </c>
      <c r="AI4" s="41">
        <f t="shared" si="2"/>
        <v>0</v>
      </c>
      <c r="AJ4" s="41">
        <f t="shared" si="2"/>
        <v>129758.03309682777</v>
      </c>
      <c r="AK4" s="41">
        <f t="shared" si="2"/>
        <v>2397195.3305592742</v>
      </c>
      <c r="AL4" s="41">
        <f t="shared" si="2"/>
        <v>1694041.1368211261</v>
      </c>
      <c r="AM4" s="41">
        <f t="shared" si="2"/>
        <v>86916.704932735418</v>
      </c>
      <c r="AN4" s="41">
        <f t="shared" si="2"/>
        <v>0</v>
      </c>
      <c r="AO4" s="41">
        <f t="shared" si="2"/>
        <v>14795.489985052316</v>
      </c>
      <c r="AP4" s="41">
        <f t="shared" si="2"/>
        <v>46343.529059624649</v>
      </c>
      <c r="AQ4" s="41">
        <f t="shared" si="2"/>
        <v>97250.98600298955</v>
      </c>
      <c r="AR4" s="6">
        <f t="shared" si="2"/>
        <v>4466301.2104576305</v>
      </c>
      <c r="AS4" s="30"/>
      <c r="AU4" s="92">
        <f t="shared" ref="AU4:AU15" si="3">+AK4/G4</f>
        <v>1205.1537014153366</v>
      </c>
      <c r="AV4" s="92">
        <f t="shared" ref="AV4:AV15" si="4">+AL4/H4</f>
        <v>1447.9602861841327</v>
      </c>
      <c r="AW4" s="92">
        <f t="shared" ref="AW4:AW15" si="5">+AM4/I4</f>
        <v>1467.4439461883408</v>
      </c>
    </row>
    <row r="5" spans="1:49">
      <c r="A5" s="9">
        <v>42491</v>
      </c>
      <c r="B5" s="41">
        <f t="shared" ref="B5:N16" si="6">B21+B37+B53+B69+B85+B101</f>
        <v>0</v>
      </c>
      <c r="C5" s="41">
        <f t="shared" si="6"/>
        <v>0</v>
      </c>
      <c r="D5" s="41">
        <f t="shared" si="6"/>
        <v>0</v>
      </c>
      <c r="E5" s="41">
        <f t="shared" si="6"/>
        <v>0</v>
      </c>
      <c r="F5" s="41">
        <f t="shared" si="6"/>
        <v>169.14</v>
      </c>
      <c r="G5" s="41">
        <f t="shared" si="6"/>
        <v>2368.5699999999997</v>
      </c>
      <c r="H5" s="41">
        <f t="shared" si="6"/>
        <v>1001.8399999999999</v>
      </c>
      <c r="I5" s="41">
        <f t="shared" si="6"/>
        <v>234.60000000000002</v>
      </c>
      <c r="J5" s="41">
        <f t="shared" si="6"/>
        <v>0</v>
      </c>
      <c r="K5" s="41">
        <f t="shared" si="6"/>
        <v>0</v>
      </c>
      <c r="L5" s="41">
        <f t="shared" si="6"/>
        <v>7.2</v>
      </c>
      <c r="M5" s="41">
        <f t="shared" si="6"/>
        <v>56.209999999999994</v>
      </c>
      <c r="N5" s="6">
        <f t="shared" si="6"/>
        <v>3837.5599999999995</v>
      </c>
      <c r="O5" s="41"/>
      <c r="P5" s="9">
        <v>42491</v>
      </c>
      <c r="Q5" s="41">
        <f t="shared" ref="Q5:AC16" si="7">Q21+Q37+Q53+Q69+Q85+Q101</f>
        <v>0</v>
      </c>
      <c r="R5" s="41">
        <f t="shared" si="7"/>
        <v>0</v>
      </c>
      <c r="S5" s="41">
        <f t="shared" si="7"/>
        <v>0</v>
      </c>
      <c r="T5" s="41">
        <f t="shared" si="7"/>
        <v>0</v>
      </c>
      <c r="U5" s="41">
        <f t="shared" si="7"/>
        <v>15424044.039999999</v>
      </c>
      <c r="V5" s="41">
        <f t="shared" si="7"/>
        <v>241251989.88</v>
      </c>
      <c r="W5" s="41">
        <f t="shared" si="7"/>
        <v>108344158.31</v>
      </c>
      <c r="X5" s="41">
        <f t="shared" si="7"/>
        <v>23828806.129999999</v>
      </c>
      <c r="Y5" s="41">
        <f t="shared" si="7"/>
        <v>0</v>
      </c>
      <c r="Z5" s="41">
        <f t="shared" si="7"/>
        <v>0</v>
      </c>
      <c r="AA5" s="41">
        <f t="shared" si="7"/>
        <v>551795.72</v>
      </c>
      <c r="AB5" s="41">
        <f t="shared" si="7"/>
        <v>4691543.47</v>
      </c>
      <c r="AC5" s="6">
        <f t="shared" si="7"/>
        <v>394092337.54999995</v>
      </c>
      <c r="AD5" s="40"/>
      <c r="AE5" s="9">
        <v>42491</v>
      </c>
      <c r="AF5" s="41">
        <f t="shared" ref="AF5:AR16" si="8">AF21+AF37+AF53+AF69+AF85+AF101</f>
        <v>0</v>
      </c>
      <c r="AG5" s="41">
        <f t="shared" si="8"/>
        <v>0</v>
      </c>
      <c r="AH5" s="41">
        <f t="shared" si="8"/>
        <v>0</v>
      </c>
      <c r="AI5" s="41">
        <f t="shared" si="8"/>
        <v>0</v>
      </c>
      <c r="AJ5" s="41">
        <f t="shared" si="8"/>
        <v>228731.26603987365</v>
      </c>
      <c r="AK5" s="41">
        <f t="shared" si="8"/>
        <v>3572430.1135007287</v>
      </c>
      <c r="AL5" s="41">
        <f t="shared" si="8"/>
        <v>1601973.0521661015</v>
      </c>
      <c r="AM5" s="41">
        <f t="shared" si="8"/>
        <v>353691.16549844679</v>
      </c>
      <c r="AN5" s="41">
        <f t="shared" si="8"/>
        <v>0</v>
      </c>
      <c r="AO5" s="41">
        <f t="shared" si="8"/>
        <v>0</v>
      </c>
      <c r="AP5" s="41">
        <f t="shared" si="8"/>
        <v>8108.6806759735491</v>
      </c>
      <c r="AQ5" s="41">
        <f t="shared" si="8"/>
        <v>69196.024778657447</v>
      </c>
      <c r="AR5" s="6">
        <f t="shared" si="8"/>
        <v>5834130.3026597816</v>
      </c>
      <c r="AS5" s="30"/>
      <c r="AU5" s="92">
        <f t="shared" si="3"/>
        <v>1508.264528175536</v>
      </c>
      <c r="AV5" s="92">
        <f t="shared" si="4"/>
        <v>1599.0308354289125</v>
      </c>
      <c r="AW5" s="92">
        <f t="shared" si="5"/>
        <v>1507.6349765492189</v>
      </c>
    </row>
    <row r="6" spans="1:49">
      <c r="A6" s="9">
        <v>42522</v>
      </c>
      <c r="B6" s="41">
        <f t="shared" si="6"/>
        <v>0</v>
      </c>
      <c r="C6" s="41">
        <f t="shared" si="6"/>
        <v>0</v>
      </c>
      <c r="D6" s="41">
        <f t="shared" si="6"/>
        <v>19</v>
      </c>
      <c r="E6" s="41">
        <f t="shared" si="6"/>
        <v>0</v>
      </c>
      <c r="F6" s="41">
        <f t="shared" si="6"/>
        <v>0</v>
      </c>
      <c r="G6" s="41">
        <f t="shared" si="6"/>
        <v>3228.9399999999996</v>
      </c>
      <c r="H6" s="41">
        <f t="shared" si="6"/>
        <v>1403.89</v>
      </c>
      <c r="I6" s="41">
        <f t="shared" si="6"/>
        <v>0</v>
      </c>
      <c r="J6" s="41">
        <f t="shared" si="6"/>
        <v>0</v>
      </c>
      <c r="K6" s="41">
        <f t="shared" si="6"/>
        <v>12</v>
      </c>
      <c r="L6" s="41">
        <f t="shared" si="6"/>
        <v>31</v>
      </c>
      <c r="M6" s="41">
        <f t="shared" si="6"/>
        <v>45</v>
      </c>
      <c r="N6" s="6">
        <f t="shared" si="6"/>
        <v>4739.83</v>
      </c>
      <c r="O6" s="42">
        <f>N4+N5+N6</f>
        <v>12023.439999999999</v>
      </c>
      <c r="P6" s="9">
        <v>42522</v>
      </c>
      <c r="Q6" s="41">
        <f t="shared" si="7"/>
        <v>0</v>
      </c>
      <c r="R6" s="41">
        <f t="shared" si="7"/>
        <v>0</v>
      </c>
      <c r="S6" s="41">
        <f t="shared" si="7"/>
        <v>2376700.69</v>
      </c>
      <c r="T6" s="41">
        <f t="shared" si="7"/>
        <v>0</v>
      </c>
      <c r="U6" s="41">
        <f t="shared" si="7"/>
        <v>0</v>
      </c>
      <c r="V6" s="41">
        <f t="shared" si="7"/>
        <v>371550376.34000003</v>
      </c>
      <c r="W6" s="41">
        <f t="shared" si="7"/>
        <v>167698169.43000001</v>
      </c>
      <c r="X6" s="41">
        <f t="shared" si="7"/>
        <v>0</v>
      </c>
      <c r="Y6" s="41">
        <f t="shared" si="7"/>
        <v>0</v>
      </c>
      <c r="Z6" s="41">
        <f t="shared" si="7"/>
        <v>1134053.25</v>
      </c>
      <c r="AA6" s="41">
        <f t="shared" si="7"/>
        <v>2797649.42</v>
      </c>
      <c r="AB6" s="41">
        <f t="shared" si="7"/>
        <v>4221899.74</v>
      </c>
      <c r="AC6" s="6">
        <f t="shared" si="7"/>
        <v>549778848.87000024</v>
      </c>
      <c r="AD6" s="40"/>
      <c r="AE6" s="9">
        <v>42522</v>
      </c>
      <c r="AF6" s="41">
        <f t="shared" si="8"/>
        <v>0</v>
      </c>
      <c r="AG6" s="41">
        <f t="shared" si="8"/>
        <v>0</v>
      </c>
      <c r="AH6" s="41">
        <f t="shared" si="8"/>
        <v>34925.800000000003</v>
      </c>
      <c r="AI6" s="41">
        <f t="shared" si="8"/>
        <v>0</v>
      </c>
      <c r="AJ6" s="41">
        <f t="shared" si="8"/>
        <v>0</v>
      </c>
      <c r="AK6" s="41">
        <f t="shared" si="8"/>
        <v>5451875.9396365834</v>
      </c>
      <c r="AL6" s="41">
        <f t="shared" si="8"/>
        <v>2460234.7982571386</v>
      </c>
      <c r="AM6" s="41">
        <f t="shared" si="8"/>
        <v>0</v>
      </c>
      <c r="AN6" s="41">
        <f t="shared" si="8"/>
        <v>0</v>
      </c>
      <c r="AO6" s="41">
        <f t="shared" si="8"/>
        <v>16665</v>
      </c>
      <c r="AP6" s="41">
        <f t="shared" si="8"/>
        <v>41037.092872887581</v>
      </c>
      <c r="AQ6" s="41">
        <f t="shared" si="8"/>
        <v>61891.409992544883</v>
      </c>
      <c r="AR6" s="6">
        <f t="shared" si="8"/>
        <v>8066630.0407591537</v>
      </c>
      <c r="AS6" s="30"/>
      <c r="AU6" s="92">
        <f t="shared" si="3"/>
        <v>1688.4413893217538</v>
      </c>
      <c r="AV6" s="92">
        <f t="shared" si="4"/>
        <v>1752.4412868936586</v>
      </c>
      <c r="AW6" s="92" t="e">
        <f t="shared" si="5"/>
        <v>#DIV/0!</v>
      </c>
    </row>
    <row r="7" spans="1:49">
      <c r="A7" s="9">
        <v>42552</v>
      </c>
      <c r="B7" s="41">
        <f t="shared" si="6"/>
        <v>0</v>
      </c>
      <c r="C7" s="41">
        <f t="shared" si="6"/>
        <v>0</v>
      </c>
      <c r="D7" s="41">
        <f t="shared" si="6"/>
        <v>19.02</v>
      </c>
      <c r="E7" s="41">
        <f t="shared" si="6"/>
        <v>0</v>
      </c>
      <c r="F7" s="41">
        <f t="shared" si="6"/>
        <v>222.42</v>
      </c>
      <c r="G7" s="41">
        <f t="shared" si="6"/>
        <v>2514.0139999999997</v>
      </c>
      <c r="H7" s="41">
        <f t="shared" si="6"/>
        <v>1544.83</v>
      </c>
      <c r="I7" s="41">
        <f t="shared" si="6"/>
        <v>253.92000000000002</v>
      </c>
      <c r="J7" s="41">
        <f t="shared" si="6"/>
        <v>6.12</v>
      </c>
      <c r="K7" s="41">
        <f t="shared" si="6"/>
        <v>2</v>
      </c>
      <c r="L7" s="41">
        <f t="shared" si="6"/>
        <v>68.150000000000006</v>
      </c>
      <c r="M7" s="41">
        <f t="shared" si="6"/>
        <v>0</v>
      </c>
      <c r="N7" s="6">
        <f t="shared" si="6"/>
        <v>4630.4740000000002</v>
      </c>
      <c r="O7" s="40"/>
      <c r="P7" s="9">
        <v>42552</v>
      </c>
      <c r="Q7" s="41">
        <f t="shared" si="7"/>
        <v>0</v>
      </c>
      <c r="R7" s="41">
        <f t="shared" si="7"/>
        <v>0</v>
      </c>
      <c r="S7" s="41">
        <f t="shared" si="7"/>
        <v>2379202.48</v>
      </c>
      <c r="T7" s="41">
        <f t="shared" si="7"/>
        <v>0</v>
      </c>
      <c r="U7" s="41">
        <f t="shared" si="7"/>
        <v>22212706.880000003</v>
      </c>
      <c r="V7" s="41">
        <f t="shared" si="7"/>
        <v>290868110.06999999</v>
      </c>
      <c r="W7" s="41">
        <f t="shared" si="7"/>
        <v>202345014.45999998</v>
      </c>
      <c r="X7" s="41">
        <f t="shared" si="7"/>
        <v>32692561.760000002</v>
      </c>
      <c r="Y7" s="41">
        <f t="shared" si="7"/>
        <v>809391.05</v>
      </c>
      <c r="Z7" s="41">
        <f t="shared" si="7"/>
        <v>182273.29</v>
      </c>
      <c r="AA7" s="41">
        <f t="shared" si="7"/>
        <v>6504876.5300000003</v>
      </c>
      <c r="AB7" s="41">
        <f t="shared" si="7"/>
        <v>0</v>
      </c>
      <c r="AC7" s="6">
        <f t="shared" si="7"/>
        <v>557994136.5200001</v>
      </c>
      <c r="AD7" s="40"/>
      <c r="AE7" s="9">
        <v>42552</v>
      </c>
      <c r="AF7" s="41">
        <f t="shared" si="8"/>
        <v>0</v>
      </c>
      <c r="AG7" s="41">
        <f t="shared" si="8"/>
        <v>0</v>
      </c>
      <c r="AH7" s="41">
        <f t="shared" si="8"/>
        <v>34962.563997060985</v>
      </c>
      <c r="AI7" s="41">
        <f t="shared" si="8"/>
        <v>0</v>
      </c>
      <c r="AJ7" s="41">
        <f t="shared" si="8"/>
        <v>326011.13691415999</v>
      </c>
      <c r="AK7" s="41">
        <f t="shared" si="8"/>
        <v>4265971.9088955922</v>
      </c>
      <c r="AL7" s="41">
        <f t="shared" si="8"/>
        <v>2968400.4917212804</v>
      </c>
      <c r="AM7" s="41">
        <f t="shared" si="8"/>
        <v>479891.57839549903</v>
      </c>
      <c r="AN7" s="41">
        <f t="shared" si="8"/>
        <v>11867.903958944282</v>
      </c>
      <c r="AO7" s="41">
        <f t="shared" si="8"/>
        <v>2672.6288856304986</v>
      </c>
      <c r="AP7" s="41">
        <f t="shared" si="8"/>
        <v>95412.763239404187</v>
      </c>
      <c r="AQ7" s="41">
        <f t="shared" si="8"/>
        <v>0</v>
      </c>
      <c r="AR7" s="6">
        <f t="shared" si="8"/>
        <v>8185190.9760075696</v>
      </c>
      <c r="AS7" s="30"/>
      <c r="AU7" s="92">
        <f t="shared" si="3"/>
        <v>1696.8767512414779</v>
      </c>
      <c r="AV7" s="92">
        <f t="shared" si="4"/>
        <v>1921.5062445196434</v>
      </c>
      <c r="AW7" s="92">
        <f t="shared" si="5"/>
        <v>1889.932177045916</v>
      </c>
    </row>
    <row r="8" spans="1:49">
      <c r="A8" s="9">
        <v>42583</v>
      </c>
      <c r="B8" s="41">
        <f t="shared" si="6"/>
        <v>0</v>
      </c>
      <c r="C8" s="41">
        <f t="shared" si="6"/>
        <v>0</v>
      </c>
      <c r="D8" s="41">
        <f t="shared" si="6"/>
        <v>35.980000000000004</v>
      </c>
      <c r="E8" s="41">
        <f t="shared" si="6"/>
        <v>0</v>
      </c>
      <c r="F8" s="41">
        <f t="shared" si="6"/>
        <v>52.28</v>
      </c>
      <c r="G8" s="41">
        <f t="shared" si="6"/>
        <v>1408</v>
      </c>
      <c r="H8" s="41">
        <f t="shared" si="6"/>
        <v>870.83000000000015</v>
      </c>
      <c r="I8" s="41">
        <f t="shared" si="6"/>
        <v>212.3</v>
      </c>
      <c r="J8" s="41">
        <f t="shared" si="6"/>
        <v>0</v>
      </c>
      <c r="K8" s="41">
        <f t="shared" si="6"/>
        <v>41.4</v>
      </c>
      <c r="L8" s="41">
        <f t="shared" si="6"/>
        <v>0</v>
      </c>
      <c r="M8" s="41">
        <f t="shared" si="6"/>
        <v>30.6</v>
      </c>
      <c r="N8" s="6">
        <f t="shared" si="6"/>
        <v>2651.3900000000003</v>
      </c>
      <c r="O8" s="40"/>
      <c r="P8" s="9">
        <v>42583</v>
      </c>
      <c r="Q8" s="41">
        <f t="shared" si="7"/>
        <v>0</v>
      </c>
      <c r="R8" s="41">
        <f t="shared" si="7"/>
        <v>0</v>
      </c>
      <c r="S8" s="41">
        <f t="shared" si="7"/>
        <v>4480879.04</v>
      </c>
      <c r="T8" s="41">
        <f t="shared" si="7"/>
        <v>0</v>
      </c>
      <c r="U8" s="41">
        <f t="shared" si="7"/>
        <v>5505504.2599999998</v>
      </c>
      <c r="V8" s="41">
        <f t="shared" si="7"/>
        <v>164168135.77000004</v>
      </c>
      <c r="W8" s="41">
        <f t="shared" si="7"/>
        <v>112954174.84</v>
      </c>
      <c r="X8" s="41">
        <f t="shared" si="7"/>
        <v>27515062.490000002</v>
      </c>
      <c r="Y8" s="41">
        <f t="shared" si="7"/>
        <v>0</v>
      </c>
      <c r="Z8" s="41">
        <f t="shared" si="7"/>
        <v>3638632.32</v>
      </c>
      <c r="AA8" s="41">
        <f t="shared" si="7"/>
        <v>0</v>
      </c>
      <c r="AB8" s="41">
        <f t="shared" si="7"/>
        <v>2807732.84</v>
      </c>
      <c r="AC8" s="6">
        <f t="shared" si="7"/>
        <v>321070121.56000006</v>
      </c>
      <c r="AD8" s="40"/>
      <c r="AE8" s="9">
        <v>42583</v>
      </c>
      <c r="AF8" s="41">
        <f t="shared" si="8"/>
        <v>0</v>
      </c>
      <c r="AG8" s="41">
        <f t="shared" si="8"/>
        <v>0</v>
      </c>
      <c r="AH8" s="41">
        <f t="shared" si="8"/>
        <v>66138.43601476014</v>
      </c>
      <c r="AI8" s="41">
        <f t="shared" si="8"/>
        <v>0</v>
      </c>
      <c r="AJ8" s="41">
        <f t="shared" si="8"/>
        <v>81121.139701494161</v>
      </c>
      <c r="AK8" s="41">
        <f t="shared" si="8"/>
        <v>2421442.452257961</v>
      </c>
      <c r="AL8" s="41">
        <f t="shared" si="8"/>
        <v>1667220.2928413285</v>
      </c>
      <c r="AM8" s="41">
        <f t="shared" si="8"/>
        <v>406126.38361623621</v>
      </c>
      <c r="AN8" s="41">
        <f t="shared" si="8"/>
        <v>0</v>
      </c>
      <c r="AO8" s="41">
        <f t="shared" si="8"/>
        <v>53706.750110701105</v>
      </c>
      <c r="AP8" s="41">
        <f t="shared" si="8"/>
        <v>0</v>
      </c>
      <c r="AQ8" s="41">
        <f t="shared" si="8"/>
        <v>41442.551143911434</v>
      </c>
      <c r="AR8" s="6">
        <f t="shared" si="8"/>
        <v>4737198.005686393</v>
      </c>
      <c r="AS8" s="30"/>
      <c r="AU8" s="92">
        <f t="shared" si="3"/>
        <v>1719.774468933211</v>
      </c>
      <c r="AV8" s="92">
        <f t="shared" si="4"/>
        <v>1914.5186693629391</v>
      </c>
      <c r="AW8" s="92">
        <f t="shared" si="5"/>
        <v>1912.9834367227329</v>
      </c>
    </row>
    <row r="9" spans="1:49">
      <c r="A9" s="9">
        <v>42614</v>
      </c>
      <c r="B9" s="41">
        <f t="shared" si="6"/>
        <v>0</v>
      </c>
      <c r="C9" s="41">
        <f t="shared" si="6"/>
        <v>0</v>
      </c>
      <c r="D9" s="41">
        <f t="shared" si="6"/>
        <v>37.959999999999994</v>
      </c>
      <c r="E9" s="41">
        <f t="shared" si="6"/>
        <v>0</v>
      </c>
      <c r="F9" s="41">
        <f t="shared" si="6"/>
        <v>154.16000000000003</v>
      </c>
      <c r="G9" s="41">
        <f t="shared" si="6"/>
        <v>1278.8600000000001</v>
      </c>
      <c r="H9" s="41">
        <f t="shared" si="6"/>
        <v>1597.9999999999998</v>
      </c>
      <c r="I9" s="41">
        <f t="shared" si="6"/>
        <v>79.009999999999991</v>
      </c>
      <c r="J9" s="41">
        <f t="shared" si="6"/>
        <v>0</v>
      </c>
      <c r="K9" s="41">
        <f t="shared" si="6"/>
        <v>30</v>
      </c>
      <c r="L9" s="41">
        <f t="shared" si="6"/>
        <v>60</v>
      </c>
      <c r="M9" s="41">
        <f t="shared" si="6"/>
        <v>51.28</v>
      </c>
      <c r="N9" s="6">
        <f t="shared" si="6"/>
        <v>3289.27</v>
      </c>
      <c r="O9" s="42">
        <f>N7+N8+N9</f>
        <v>10571.134</v>
      </c>
      <c r="P9" s="9">
        <v>42614</v>
      </c>
      <c r="Q9" s="41">
        <f t="shared" si="7"/>
        <v>0</v>
      </c>
      <c r="R9" s="41">
        <f t="shared" si="7"/>
        <v>0</v>
      </c>
      <c r="S9" s="41">
        <f t="shared" si="7"/>
        <v>4732675.67</v>
      </c>
      <c r="T9" s="41">
        <f t="shared" si="7"/>
        <v>0</v>
      </c>
      <c r="U9" s="41">
        <f t="shared" si="7"/>
        <v>14250344.23</v>
      </c>
      <c r="V9" s="41">
        <f t="shared" si="7"/>
        <v>154087507.46000001</v>
      </c>
      <c r="W9" s="41">
        <f t="shared" si="7"/>
        <v>213846759.38999996</v>
      </c>
      <c r="X9" s="41">
        <f t="shared" si="7"/>
        <v>10118346.050000001</v>
      </c>
      <c r="Y9" s="41">
        <f t="shared" si="7"/>
        <v>0</v>
      </c>
      <c r="Z9" s="41">
        <f t="shared" si="7"/>
        <v>2568871.88</v>
      </c>
      <c r="AA9" s="41">
        <f t="shared" si="7"/>
        <v>4893836.33</v>
      </c>
      <c r="AB9" s="41">
        <f t="shared" si="7"/>
        <v>4156196.5500000003</v>
      </c>
      <c r="AC9" s="6">
        <f t="shared" si="7"/>
        <v>408654537.55999994</v>
      </c>
      <c r="AD9" s="40"/>
      <c r="AE9" s="9">
        <v>42614</v>
      </c>
      <c r="AF9" s="41">
        <f t="shared" si="8"/>
        <v>0</v>
      </c>
      <c r="AG9" s="41">
        <f t="shared" si="8"/>
        <v>0</v>
      </c>
      <c r="AH9" s="41">
        <f t="shared" si="8"/>
        <v>69854.991439114383</v>
      </c>
      <c r="AI9" s="41">
        <f t="shared" si="8"/>
        <v>0</v>
      </c>
      <c r="AJ9" s="41">
        <f t="shared" si="8"/>
        <v>210124.36821275044</v>
      </c>
      <c r="AK9" s="41">
        <f t="shared" si="8"/>
        <v>2271688.2721619052</v>
      </c>
      <c r="AL9" s="41">
        <f t="shared" si="8"/>
        <v>3152796.5312078213</v>
      </c>
      <c r="AM9" s="41">
        <f t="shared" si="8"/>
        <v>149348.28118081181</v>
      </c>
      <c r="AN9" s="41">
        <f t="shared" si="8"/>
        <v>0</v>
      </c>
      <c r="AO9" s="41">
        <f t="shared" si="8"/>
        <v>37833.164653902793</v>
      </c>
      <c r="AP9" s="41">
        <f t="shared" si="8"/>
        <v>72153.244723247233</v>
      </c>
      <c r="AQ9" s="41">
        <f t="shared" si="8"/>
        <v>61301.39431038699</v>
      </c>
      <c r="AR9" s="6">
        <f t="shared" si="8"/>
        <v>6025100.2478899397</v>
      </c>
      <c r="AS9" s="30"/>
      <c r="AU9" s="92">
        <f t="shared" si="3"/>
        <v>1776.3385141156225</v>
      </c>
      <c r="AV9" s="92">
        <f t="shared" si="4"/>
        <v>1972.9640370512027</v>
      </c>
      <c r="AW9" s="92">
        <f t="shared" si="5"/>
        <v>1890.2453003520038</v>
      </c>
    </row>
    <row r="10" spans="1:49">
      <c r="A10" s="9">
        <v>42644</v>
      </c>
      <c r="B10" s="41">
        <f t="shared" si="6"/>
        <v>0</v>
      </c>
      <c r="C10" s="41">
        <f t="shared" si="6"/>
        <v>0</v>
      </c>
      <c r="D10" s="41">
        <f t="shared" si="6"/>
        <v>17.97</v>
      </c>
      <c r="E10" s="41">
        <f t="shared" si="6"/>
        <v>0</v>
      </c>
      <c r="F10" s="41">
        <f t="shared" si="6"/>
        <v>89.06</v>
      </c>
      <c r="G10" s="41">
        <f t="shared" si="6"/>
        <v>651.05999999999995</v>
      </c>
      <c r="H10" s="41">
        <f t="shared" si="6"/>
        <v>1383.73</v>
      </c>
      <c r="I10" s="41">
        <f t="shared" si="6"/>
        <v>78.78</v>
      </c>
      <c r="J10" s="41">
        <f t="shared" si="6"/>
        <v>0</v>
      </c>
      <c r="K10" s="41">
        <f t="shared" si="6"/>
        <v>30</v>
      </c>
      <c r="L10" s="41">
        <f t="shared" si="6"/>
        <v>49.559999999999995</v>
      </c>
      <c r="M10" s="41">
        <f t="shared" si="6"/>
        <v>73.81</v>
      </c>
      <c r="N10" s="6">
        <f t="shared" si="6"/>
        <v>2373.9699999999998</v>
      </c>
      <c r="O10" s="40"/>
      <c r="P10" s="9">
        <v>42644</v>
      </c>
      <c r="Q10" s="41">
        <f t="shared" si="7"/>
        <v>0</v>
      </c>
      <c r="R10" s="41">
        <f t="shared" si="7"/>
        <v>0</v>
      </c>
      <c r="S10" s="41">
        <f t="shared" si="7"/>
        <v>2206822.02</v>
      </c>
      <c r="T10" s="41">
        <f t="shared" si="7"/>
        <v>0</v>
      </c>
      <c r="U10" s="41">
        <f t="shared" si="7"/>
        <v>9141229.7300000004</v>
      </c>
      <c r="V10" s="41">
        <f t="shared" si="7"/>
        <v>78703078.539999992</v>
      </c>
      <c r="W10" s="41">
        <f t="shared" si="7"/>
        <v>206615721.03000003</v>
      </c>
      <c r="X10" s="41">
        <f t="shared" si="7"/>
        <v>10891637.560000001</v>
      </c>
      <c r="Y10" s="41">
        <f t="shared" si="7"/>
        <v>0</v>
      </c>
      <c r="Z10" s="41">
        <f t="shared" si="7"/>
        <v>2618889.6</v>
      </c>
      <c r="AA10" s="41">
        <f t="shared" si="7"/>
        <v>4283338.7299999995</v>
      </c>
      <c r="AB10" s="41">
        <f t="shared" si="7"/>
        <v>5803485.4499999993</v>
      </c>
      <c r="AC10" s="6">
        <f t="shared" si="7"/>
        <v>320264202.65999997</v>
      </c>
      <c r="AD10" s="40"/>
      <c r="AE10" s="9">
        <v>42644</v>
      </c>
      <c r="AF10" s="41">
        <f t="shared" si="8"/>
        <v>0</v>
      </c>
      <c r="AG10" s="41">
        <f t="shared" si="8"/>
        <v>0</v>
      </c>
      <c r="AH10" s="41">
        <f t="shared" si="8"/>
        <v>32669.46</v>
      </c>
      <c r="AI10" s="41">
        <f t="shared" si="8"/>
        <v>0</v>
      </c>
      <c r="AJ10" s="41">
        <f t="shared" si="8"/>
        <v>134925.90007380073</v>
      </c>
      <c r="AK10" s="41">
        <f t="shared" si="8"/>
        <v>1166326.3792852263</v>
      </c>
      <c r="AL10" s="41">
        <f t="shared" si="8"/>
        <v>3072891.1086472599</v>
      </c>
      <c r="AM10" s="41">
        <f t="shared" si="8"/>
        <v>161070.49535055351</v>
      </c>
      <c r="AN10" s="41">
        <f t="shared" si="8"/>
        <v>0</v>
      </c>
      <c r="AO10" s="41">
        <f t="shared" si="8"/>
        <v>38784</v>
      </c>
      <c r="AP10" s="41">
        <f t="shared" si="8"/>
        <v>63392.803248325814</v>
      </c>
      <c r="AQ10" s="41">
        <f t="shared" si="8"/>
        <v>85830.347689490212</v>
      </c>
      <c r="AR10" s="6">
        <f t="shared" si="8"/>
        <v>4755890.4942946574</v>
      </c>
      <c r="AS10" s="30"/>
      <c r="AU10" s="92">
        <f t="shared" si="3"/>
        <v>1791.4268720013922</v>
      </c>
      <c r="AV10" s="92">
        <f t="shared" si="4"/>
        <v>2220.7302787735034</v>
      </c>
      <c r="AW10" s="92">
        <f t="shared" si="5"/>
        <v>2044.5607432159622</v>
      </c>
    </row>
    <row r="11" spans="1:49">
      <c r="A11" s="9">
        <v>42675</v>
      </c>
      <c r="B11" s="41">
        <f t="shared" si="6"/>
        <v>0</v>
      </c>
      <c r="C11" s="41">
        <f t="shared" si="6"/>
        <v>0</v>
      </c>
      <c r="D11" s="41">
        <f t="shared" si="6"/>
        <v>18.079999999999998</v>
      </c>
      <c r="E11" s="41">
        <f t="shared" si="6"/>
        <v>0</v>
      </c>
      <c r="F11" s="41">
        <f t="shared" si="6"/>
        <v>0</v>
      </c>
      <c r="G11" s="41">
        <f t="shared" si="6"/>
        <v>857.87999999999988</v>
      </c>
      <c r="H11" s="41">
        <f t="shared" si="6"/>
        <v>1404.77</v>
      </c>
      <c r="I11" s="41">
        <f t="shared" si="6"/>
        <v>118.89</v>
      </c>
      <c r="J11" s="41">
        <f t="shared" si="6"/>
        <v>0</v>
      </c>
      <c r="K11" s="41">
        <f t="shared" si="6"/>
        <v>34</v>
      </c>
      <c r="L11" s="41">
        <f t="shared" si="6"/>
        <v>1.44</v>
      </c>
      <c r="M11" s="41">
        <f t="shared" si="6"/>
        <v>17.940000000000001</v>
      </c>
      <c r="N11" s="6">
        <f t="shared" si="6"/>
        <v>2453</v>
      </c>
      <c r="O11" s="40"/>
      <c r="P11" s="9">
        <v>42675</v>
      </c>
      <c r="Q11" s="41">
        <f t="shared" si="7"/>
        <v>0</v>
      </c>
      <c r="R11" s="41">
        <f t="shared" si="7"/>
        <v>0</v>
      </c>
      <c r="S11" s="41">
        <f t="shared" si="7"/>
        <v>2221974.14</v>
      </c>
      <c r="T11" s="41">
        <f t="shared" si="7"/>
        <v>0</v>
      </c>
      <c r="U11" s="41">
        <f t="shared" si="7"/>
        <v>0</v>
      </c>
      <c r="V11" s="41">
        <f t="shared" si="7"/>
        <v>121246469.28999999</v>
      </c>
      <c r="W11" s="41">
        <f t="shared" si="7"/>
        <v>213983954.25</v>
      </c>
      <c r="X11" s="41">
        <f t="shared" si="7"/>
        <v>16952804.920000002</v>
      </c>
      <c r="Y11" s="41">
        <f t="shared" si="7"/>
        <v>0</v>
      </c>
      <c r="Z11" s="41">
        <f t="shared" si="7"/>
        <v>2997862.61</v>
      </c>
      <c r="AA11" s="41">
        <f t="shared" si="7"/>
        <v>201534.5</v>
      </c>
      <c r="AB11" s="41">
        <f t="shared" si="7"/>
        <v>1347863.58</v>
      </c>
      <c r="AC11" s="6">
        <f t="shared" si="7"/>
        <v>358952463.28999996</v>
      </c>
      <c r="AD11" s="40"/>
      <c r="AE11" s="9">
        <v>42675</v>
      </c>
      <c r="AF11" s="41">
        <f t="shared" si="8"/>
        <v>0</v>
      </c>
      <c r="AG11" s="41">
        <f t="shared" si="8"/>
        <v>0</v>
      </c>
      <c r="AH11" s="41">
        <f t="shared" si="8"/>
        <v>32869.440000000002</v>
      </c>
      <c r="AI11" s="41">
        <f t="shared" si="8"/>
        <v>0</v>
      </c>
      <c r="AJ11" s="41">
        <f t="shared" si="8"/>
        <v>0</v>
      </c>
      <c r="AK11" s="41">
        <f t="shared" si="8"/>
        <v>1789231.7400000002</v>
      </c>
      <c r="AL11" s="41">
        <f t="shared" si="8"/>
        <v>3149710.7600000002</v>
      </c>
      <c r="AM11" s="41">
        <f t="shared" si="8"/>
        <v>250843.55</v>
      </c>
      <c r="AN11" s="41">
        <f t="shared" si="8"/>
        <v>0</v>
      </c>
      <c r="AO11" s="41">
        <f t="shared" si="8"/>
        <v>44008.850000000006</v>
      </c>
      <c r="AP11" s="41">
        <f t="shared" si="8"/>
        <v>2981.28</v>
      </c>
      <c r="AQ11" s="41">
        <f t="shared" si="8"/>
        <v>19938.810000000001</v>
      </c>
      <c r="AR11" s="6">
        <f t="shared" si="8"/>
        <v>5289584.43</v>
      </c>
      <c r="AS11" s="30"/>
      <c r="AU11" s="92">
        <f t="shared" si="3"/>
        <v>2085.6433766960417</v>
      </c>
      <c r="AV11" s="92">
        <f t="shared" si="4"/>
        <v>2242.1540608071073</v>
      </c>
      <c r="AW11" s="92">
        <f t="shared" si="5"/>
        <v>2109.8793001934559</v>
      </c>
    </row>
    <row r="12" spans="1:49">
      <c r="A12" s="9">
        <v>42705</v>
      </c>
      <c r="B12" s="41">
        <f t="shared" si="6"/>
        <v>0</v>
      </c>
      <c r="C12" s="41">
        <f t="shared" si="6"/>
        <v>0</v>
      </c>
      <c r="D12" s="41">
        <f t="shared" si="6"/>
        <v>0</v>
      </c>
      <c r="E12" s="41">
        <f t="shared" si="6"/>
        <v>0</v>
      </c>
      <c r="F12" s="41">
        <f t="shared" si="6"/>
        <v>0</v>
      </c>
      <c r="G12" s="41">
        <f t="shared" si="6"/>
        <v>0</v>
      </c>
      <c r="H12" s="41">
        <f t="shared" si="6"/>
        <v>0</v>
      </c>
      <c r="I12" s="41">
        <f t="shared" si="6"/>
        <v>0</v>
      </c>
      <c r="J12" s="41">
        <f t="shared" si="6"/>
        <v>0</v>
      </c>
      <c r="K12" s="41">
        <f t="shared" si="6"/>
        <v>0</v>
      </c>
      <c r="L12" s="41">
        <f t="shared" si="6"/>
        <v>0</v>
      </c>
      <c r="M12" s="41">
        <f t="shared" si="6"/>
        <v>0</v>
      </c>
      <c r="N12" s="6">
        <f t="shared" si="6"/>
        <v>0</v>
      </c>
      <c r="O12" s="42">
        <f>N10+N11+N12</f>
        <v>4826.9699999999993</v>
      </c>
      <c r="P12" s="9">
        <v>42705</v>
      </c>
      <c r="Q12" s="41">
        <f t="shared" si="7"/>
        <v>0</v>
      </c>
      <c r="R12" s="41">
        <f t="shared" si="7"/>
        <v>0</v>
      </c>
      <c r="S12" s="41">
        <f t="shared" si="7"/>
        <v>0</v>
      </c>
      <c r="T12" s="41">
        <f t="shared" si="7"/>
        <v>0</v>
      </c>
      <c r="U12" s="41">
        <f t="shared" si="7"/>
        <v>0</v>
      </c>
      <c r="V12" s="41">
        <f t="shared" si="7"/>
        <v>0</v>
      </c>
      <c r="W12" s="41">
        <f t="shared" si="7"/>
        <v>0</v>
      </c>
      <c r="X12" s="41">
        <f t="shared" si="7"/>
        <v>0</v>
      </c>
      <c r="Y12" s="41">
        <f t="shared" si="7"/>
        <v>0</v>
      </c>
      <c r="Z12" s="41">
        <f t="shared" si="7"/>
        <v>0</v>
      </c>
      <c r="AA12" s="41">
        <f t="shared" si="7"/>
        <v>0</v>
      </c>
      <c r="AB12" s="41">
        <f t="shared" si="7"/>
        <v>0</v>
      </c>
      <c r="AC12" s="6">
        <f t="shared" si="7"/>
        <v>0</v>
      </c>
      <c r="AD12" s="40"/>
      <c r="AE12" s="9">
        <v>42705</v>
      </c>
      <c r="AF12" s="41">
        <f t="shared" si="8"/>
        <v>0</v>
      </c>
      <c r="AG12" s="41">
        <f t="shared" si="8"/>
        <v>0</v>
      </c>
      <c r="AH12" s="41">
        <f t="shared" si="8"/>
        <v>0</v>
      </c>
      <c r="AI12" s="41">
        <f t="shared" si="8"/>
        <v>0</v>
      </c>
      <c r="AJ12" s="41">
        <f t="shared" si="8"/>
        <v>0</v>
      </c>
      <c r="AK12" s="41">
        <f t="shared" si="8"/>
        <v>0</v>
      </c>
      <c r="AL12" s="41">
        <f t="shared" si="8"/>
        <v>0</v>
      </c>
      <c r="AM12" s="41">
        <f t="shared" si="8"/>
        <v>0</v>
      </c>
      <c r="AN12" s="41">
        <f t="shared" si="8"/>
        <v>0</v>
      </c>
      <c r="AO12" s="41">
        <f t="shared" si="8"/>
        <v>0</v>
      </c>
      <c r="AP12" s="41">
        <f t="shared" si="8"/>
        <v>0</v>
      </c>
      <c r="AQ12" s="41">
        <f t="shared" si="8"/>
        <v>0</v>
      </c>
      <c r="AR12" s="6">
        <f t="shared" si="8"/>
        <v>0</v>
      </c>
      <c r="AS12" s="30"/>
      <c r="AU12" s="92" t="e">
        <f t="shared" si="3"/>
        <v>#DIV/0!</v>
      </c>
      <c r="AV12" s="92" t="e">
        <f t="shared" si="4"/>
        <v>#DIV/0!</v>
      </c>
      <c r="AW12" s="92" t="e">
        <f t="shared" si="5"/>
        <v>#DIV/0!</v>
      </c>
    </row>
    <row r="13" spans="1:49">
      <c r="A13" s="9">
        <v>42736</v>
      </c>
      <c r="B13" s="41">
        <f t="shared" si="6"/>
        <v>0</v>
      </c>
      <c r="C13" s="41">
        <f t="shared" si="6"/>
        <v>0</v>
      </c>
      <c r="D13" s="41">
        <f t="shared" si="6"/>
        <v>0</v>
      </c>
      <c r="E13" s="41">
        <f t="shared" si="6"/>
        <v>0</v>
      </c>
      <c r="F13" s="41">
        <f t="shared" si="6"/>
        <v>0</v>
      </c>
      <c r="G13" s="41">
        <f t="shared" si="6"/>
        <v>0</v>
      </c>
      <c r="H13" s="41">
        <f t="shared" si="6"/>
        <v>0</v>
      </c>
      <c r="I13" s="41">
        <f t="shared" si="6"/>
        <v>0</v>
      </c>
      <c r="J13" s="41">
        <f t="shared" si="6"/>
        <v>0</v>
      </c>
      <c r="K13" s="41">
        <f t="shared" si="6"/>
        <v>0</v>
      </c>
      <c r="L13" s="41">
        <f t="shared" si="6"/>
        <v>0</v>
      </c>
      <c r="M13" s="41">
        <f t="shared" si="6"/>
        <v>0</v>
      </c>
      <c r="N13" s="6">
        <f t="shared" si="6"/>
        <v>0</v>
      </c>
      <c r="O13" s="40"/>
      <c r="P13" s="9">
        <v>42736</v>
      </c>
      <c r="Q13" s="41">
        <f t="shared" si="7"/>
        <v>0</v>
      </c>
      <c r="R13" s="41">
        <f t="shared" si="7"/>
        <v>0</v>
      </c>
      <c r="S13" s="41">
        <f t="shared" si="7"/>
        <v>0</v>
      </c>
      <c r="T13" s="41">
        <f t="shared" si="7"/>
        <v>0</v>
      </c>
      <c r="U13" s="41">
        <f t="shared" si="7"/>
        <v>0</v>
      </c>
      <c r="V13" s="41">
        <f t="shared" si="7"/>
        <v>0</v>
      </c>
      <c r="W13" s="41">
        <f t="shared" si="7"/>
        <v>0</v>
      </c>
      <c r="X13" s="41">
        <f t="shared" si="7"/>
        <v>0</v>
      </c>
      <c r="Y13" s="41">
        <f t="shared" si="7"/>
        <v>0</v>
      </c>
      <c r="Z13" s="41">
        <f t="shared" si="7"/>
        <v>0</v>
      </c>
      <c r="AA13" s="41">
        <f t="shared" si="7"/>
        <v>0</v>
      </c>
      <c r="AB13" s="41">
        <f t="shared" si="7"/>
        <v>0</v>
      </c>
      <c r="AC13" s="6">
        <f t="shared" si="7"/>
        <v>0</v>
      </c>
      <c r="AD13" s="40"/>
      <c r="AE13" s="9">
        <v>42736</v>
      </c>
      <c r="AF13" s="41">
        <f t="shared" si="8"/>
        <v>0</v>
      </c>
      <c r="AG13" s="41">
        <f t="shared" si="8"/>
        <v>0</v>
      </c>
      <c r="AH13" s="41">
        <f t="shared" si="8"/>
        <v>0</v>
      </c>
      <c r="AI13" s="41">
        <f t="shared" si="8"/>
        <v>0</v>
      </c>
      <c r="AJ13" s="41">
        <f t="shared" si="8"/>
        <v>0</v>
      </c>
      <c r="AK13" s="41">
        <f t="shared" si="8"/>
        <v>0</v>
      </c>
      <c r="AL13" s="41">
        <f t="shared" si="8"/>
        <v>0</v>
      </c>
      <c r="AM13" s="41">
        <f t="shared" si="8"/>
        <v>0</v>
      </c>
      <c r="AN13" s="41">
        <f t="shared" si="8"/>
        <v>0</v>
      </c>
      <c r="AO13" s="41">
        <f t="shared" si="8"/>
        <v>0</v>
      </c>
      <c r="AP13" s="41">
        <f t="shared" si="8"/>
        <v>0</v>
      </c>
      <c r="AQ13" s="41">
        <f t="shared" si="8"/>
        <v>0</v>
      </c>
      <c r="AR13" s="6">
        <f t="shared" si="8"/>
        <v>0</v>
      </c>
      <c r="AS13" s="30"/>
      <c r="AU13" s="92" t="e">
        <f t="shared" si="3"/>
        <v>#DIV/0!</v>
      </c>
      <c r="AV13" s="92" t="e">
        <f t="shared" si="4"/>
        <v>#DIV/0!</v>
      </c>
      <c r="AW13" s="92" t="e">
        <f t="shared" si="5"/>
        <v>#DIV/0!</v>
      </c>
    </row>
    <row r="14" spans="1:49">
      <c r="A14" s="9">
        <v>42767</v>
      </c>
      <c r="B14" s="41">
        <f t="shared" si="6"/>
        <v>0</v>
      </c>
      <c r="C14" s="41">
        <f t="shared" si="6"/>
        <v>0</v>
      </c>
      <c r="D14" s="41">
        <f t="shared" si="6"/>
        <v>0</v>
      </c>
      <c r="E14" s="41">
        <f t="shared" si="6"/>
        <v>0</v>
      </c>
      <c r="F14" s="41">
        <f t="shared" si="6"/>
        <v>0</v>
      </c>
      <c r="G14" s="41">
        <f t="shared" si="6"/>
        <v>0</v>
      </c>
      <c r="H14" s="41">
        <f t="shared" si="6"/>
        <v>0</v>
      </c>
      <c r="I14" s="41">
        <f t="shared" si="6"/>
        <v>0</v>
      </c>
      <c r="J14" s="41">
        <f t="shared" si="6"/>
        <v>0</v>
      </c>
      <c r="K14" s="41">
        <f t="shared" si="6"/>
        <v>0</v>
      </c>
      <c r="L14" s="41">
        <f t="shared" si="6"/>
        <v>0</v>
      </c>
      <c r="M14" s="41">
        <f t="shared" si="6"/>
        <v>0</v>
      </c>
      <c r="N14" s="6">
        <f t="shared" si="6"/>
        <v>0</v>
      </c>
      <c r="O14" s="40"/>
      <c r="P14" s="9">
        <v>42767</v>
      </c>
      <c r="Q14" s="41">
        <f t="shared" si="7"/>
        <v>0</v>
      </c>
      <c r="R14" s="41">
        <f t="shared" si="7"/>
        <v>0</v>
      </c>
      <c r="S14" s="41">
        <f t="shared" si="7"/>
        <v>0</v>
      </c>
      <c r="T14" s="41">
        <f t="shared" si="7"/>
        <v>0</v>
      </c>
      <c r="U14" s="41">
        <f t="shared" si="7"/>
        <v>0</v>
      </c>
      <c r="V14" s="41">
        <f t="shared" si="7"/>
        <v>0</v>
      </c>
      <c r="W14" s="41">
        <f t="shared" si="7"/>
        <v>0</v>
      </c>
      <c r="X14" s="41">
        <f t="shared" si="7"/>
        <v>0</v>
      </c>
      <c r="Y14" s="41">
        <f t="shared" si="7"/>
        <v>0</v>
      </c>
      <c r="Z14" s="41">
        <f t="shared" si="7"/>
        <v>0</v>
      </c>
      <c r="AA14" s="41">
        <f t="shared" si="7"/>
        <v>0</v>
      </c>
      <c r="AB14" s="41">
        <f t="shared" si="7"/>
        <v>0</v>
      </c>
      <c r="AC14" s="6">
        <f t="shared" si="7"/>
        <v>0</v>
      </c>
      <c r="AD14" s="40"/>
      <c r="AE14" s="9">
        <v>42767</v>
      </c>
      <c r="AF14" s="41">
        <f t="shared" si="8"/>
        <v>0</v>
      </c>
      <c r="AG14" s="41">
        <f t="shared" si="8"/>
        <v>0</v>
      </c>
      <c r="AH14" s="41">
        <f t="shared" si="8"/>
        <v>0</v>
      </c>
      <c r="AI14" s="41">
        <f t="shared" si="8"/>
        <v>0</v>
      </c>
      <c r="AJ14" s="41">
        <f t="shared" si="8"/>
        <v>0</v>
      </c>
      <c r="AK14" s="41">
        <f t="shared" si="8"/>
        <v>0</v>
      </c>
      <c r="AL14" s="41">
        <f t="shared" si="8"/>
        <v>0</v>
      </c>
      <c r="AM14" s="41">
        <f t="shared" si="8"/>
        <v>0</v>
      </c>
      <c r="AN14" s="41">
        <f t="shared" si="8"/>
        <v>0</v>
      </c>
      <c r="AO14" s="41">
        <f t="shared" si="8"/>
        <v>0</v>
      </c>
      <c r="AP14" s="41">
        <f t="shared" si="8"/>
        <v>0</v>
      </c>
      <c r="AQ14" s="41">
        <f t="shared" si="8"/>
        <v>0</v>
      </c>
      <c r="AR14" s="6">
        <f t="shared" si="8"/>
        <v>0</v>
      </c>
      <c r="AS14" s="30"/>
      <c r="AU14" s="92" t="e">
        <f t="shared" si="3"/>
        <v>#DIV/0!</v>
      </c>
      <c r="AV14" s="92" t="e">
        <f t="shared" si="4"/>
        <v>#DIV/0!</v>
      </c>
      <c r="AW14" s="92" t="e">
        <f t="shared" si="5"/>
        <v>#DIV/0!</v>
      </c>
    </row>
    <row r="15" spans="1:49">
      <c r="A15" s="9">
        <v>42795</v>
      </c>
      <c r="B15" s="41">
        <f t="shared" si="6"/>
        <v>0</v>
      </c>
      <c r="C15" s="41">
        <f t="shared" si="6"/>
        <v>0</v>
      </c>
      <c r="D15" s="41">
        <f t="shared" si="6"/>
        <v>0</v>
      </c>
      <c r="E15" s="41">
        <f t="shared" si="6"/>
        <v>0</v>
      </c>
      <c r="F15" s="41">
        <f t="shared" si="6"/>
        <v>0</v>
      </c>
      <c r="G15" s="41">
        <f t="shared" si="6"/>
        <v>0</v>
      </c>
      <c r="H15" s="41">
        <f t="shared" si="6"/>
        <v>0</v>
      </c>
      <c r="I15" s="41">
        <f t="shared" si="6"/>
        <v>0</v>
      </c>
      <c r="J15" s="41">
        <f t="shared" si="6"/>
        <v>0</v>
      </c>
      <c r="K15" s="41">
        <f t="shared" si="6"/>
        <v>0</v>
      </c>
      <c r="L15" s="41">
        <f t="shared" si="6"/>
        <v>0</v>
      </c>
      <c r="M15" s="41">
        <f t="shared" si="6"/>
        <v>0</v>
      </c>
      <c r="N15" s="6">
        <f t="shared" si="6"/>
        <v>0</v>
      </c>
      <c r="O15" s="42">
        <f>N13+N14+N15</f>
        <v>0</v>
      </c>
      <c r="P15" s="9">
        <v>42795</v>
      </c>
      <c r="Q15" s="41">
        <f t="shared" si="7"/>
        <v>0</v>
      </c>
      <c r="R15" s="41">
        <f t="shared" si="7"/>
        <v>0</v>
      </c>
      <c r="S15" s="41">
        <f t="shared" si="7"/>
        <v>0</v>
      </c>
      <c r="T15" s="41">
        <f t="shared" si="7"/>
        <v>0</v>
      </c>
      <c r="U15" s="41">
        <f t="shared" si="7"/>
        <v>0</v>
      </c>
      <c r="V15" s="41">
        <f t="shared" si="7"/>
        <v>0</v>
      </c>
      <c r="W15" s="41">
        <f t="shared" si="7"/>
        <v>0</v>
      </c>
      <c r="X15" s="41">
        <f t="shared" si="7"/>
        <v>0</v>
      </c>
      <c r="Y15" s="41">
        <f t="shared" si="7"/>
        <v>0</v>
      </c>
      <c r="Z15" s="41">
        <f t="shared" si="7"/>
        <v>0</v>
      </c>
      <c r="AA15" s="41">
        <f t="shared" si="7"/>
        <v>0</v>
      </c>
      <c r="AB15" s="41">
        <f t="shared" si="7"/>
        <v>0</v>
      </c>
      <c r="AC15" s="6">
        <f t="shared" si="7"/>
        <v>0</v>
      </c>
      <c r="AD15" s="40"/>
      <c r="AE15" s="9">
        <v>42795</v>
      </c>
      <c r="AF15" s="41">
        <f t="shared" si="8"/>
        <v>0</v>
      </c>
      <c r="AG15" s="41">
        <f t="shared" si="8"/>
        <v>0</v>
      </c>
      <c r="AH15" s="41">
        <f t="shared" si="8"/>
        <v>0</v>
      </c>
      <c r="AI15" s="41">
        <f t="shared" si="8"/>
        <v>0</v>
      </c>
      <c r="AJ15" s="41">
        <f t="shared" si="8"/>
        <v>0</v>
      </c>
      <c r="AK15" s="41">
        <f t="shared" si="8"/>
        <v>0</v>
      </c>
      <c r="AL15" s="41">
        <f t="shared" si="8"/>
        <v>0</v>
      </c>
      <c r="AM15" s="41">
        <f t="shared" si="8"/>
        <v>0</v>
      </c>
      <c r="AN15" s="41">
        <f t="shared" si="8"/>
        <v>0</v>
      </c>
      <c r="AO15" s="41">
        <f t="shared" si="8"/>
        <v>0</v>
      </c>
      <c r="AP15" s="41">
        <f t="shared" si="8"/>
        <v>0</v>
      </c>
      <c r="AQ15" s="41">
        <f t="shared" si="8"/>
        <v>0</v>
      </c>
      <c r="AR15" s="6">
        <f t="shared" si="8"/>
        <v>0</v>
      </c>
      <c r="AS15" s="30"/>
      <c r="AU15" s="92" t="e">
        <f t="shared" si="3"/>
        <v>#DIV/0!</v>
      </c>
      <c r="AV15" s="92" t="e">
        <f t="shared" si="4"/>
        <v>#DIV/0!</v>
      </c>
      <c r="AW15" s="92" t="e">
        <f t="shared" si="5"/>
        <v>#DIV/0!</v>
      </c>
    </row>
    <row r="16" spans="1:49">
      <c r="A16" s="128" t="s">
        <v>4</v>
      </c>
      <c r="B16" s="91">
        <f t="shared" si="6"/>
        <v>0</v>
      </c>
      <c r="C16" s="91">
        <f t="shared" si="6"/>
        <v>0</v>
      </c>
      <c r="D16" s="91">
        <f t="shared" si="6"/>
        <v>148.01</v>
      </c>
      <c r="E16" s="91">
        <f t="shared" si="6"/>
        <v>0</v>
      </c>
      <c r="F16" s="91">
        <f t="shared" si="6"/>
        <v>779.27</v>
      </c>
      <c r="G16" s="91">
        <f t="shared" si="6"/>
        <v>14296.443999999998</v>
      </c>
      <c r="H16" s="91">
        <f t="shared" si="6"/>
        <v>10377.84</v>
      </c>
      <c r="I16" s="91">
        <f t="shared" si="6"/>
        <v>1036.73</v>
      </c>
      <c r="J16" s="91">
        <f t="shared" si="6"/>
        <v>6.12</v>
      </c>
      <c r="K16" s="91">
        <f t="shared" si="6"/>
        <v>160.80000000000001</v>
      </c>
      <c r="L16" s="91">
        <f t="shared" si="6"/>
        <v>248.89</v>
      </c>
      <c r="M16" s="91">
        <f t="shared" si="6"/>
        <v>367.44</v>
      </c>
      <c r="N16" s="127">
        <f t="shared" si="6"/>
        <v>27421.543999999994</v>
      </c>
      <c r="O16" s="40"/>
      <c r="P16" s="128" t="s">
        <v>4</v>
      </c>
      <c r="Q16" s="91">
        <f t="shared" si="7"/>
        <v>0</v>
      </c>
      <c r="R16" s="91">
        <f t="shared" si="7"/>
        <v>0</v>
      </c>
      <c r="S16" s="91">
        <f t="shared" si="7"/>
        <v>18398254.039999999</v>
      </c>
      <c r="T16" s="91">
        <f t="shared" si="7"/>
        <v>0</v>
      </c>
      <c r="U16" s="91">
        <f t="shared" si="7"/>
        <v>75276095.590000004</v>
      </c>
      <c r="V16" s="91">
        <f t="shared" si="7"/>
        <v>1583338450.0699999</v>
      </c>
      <c r="W16" s="91">
        <f t="shared" si="7"/>
        <v>1339852092.9299998</v>
      </c>
      <c r="X16" s="91">
        <f t="shared" si="7"/>
        <v>127813946.47</v>
      </c>
      <c r="Y16" s="91">
        <f t="shared" si="7"/>
        <v>809391.05</v>
      </c>
      <c r="Z16" s="91">
        <f t="shared" si="7"/>
        <v>14130401.23</v>
      </c>
      <c r="AA16" s="91">
        <f t="shared" si="7"/>
        <v>22359885.020000003</v>
      </c>
      <c r="AB16" s="91">
        <f t="shared" si="7"/>
        <v>29557865.82</v>
      </c>
      <c r="AC16" s="127">
        <f t="shared" si="7"/>
        <v>3211536382.2199998</v>
      </c>
      <c r="AD16" s="40"/>
      <c r="AE16" s="128" t="s">
        <v>4</v>
      </c>
      <c r="AF16" s="91">
        <f t="shared" si="8"/>
        <v>0</v>
      </c>
      <c r="AG16" s="91">
        <f t="shared" si="8"/>
        <v>0</v>
      </c>
      <c r="AH16" s="91">
        <f t="shared" si="8"/>
        <v>271420.6914509355</v>
      </c>
      <c r="AI16" s="91">
        <f t="shared" si="8"/>
        <v>0</v>
      </c>
      <c r="AJ16" s="91">
        <f t="shared" si="8"/>
        <v>1110671.8440389065</v>
      </c>
      <c r="AK16" s="91">
        <f t="shared" si="8"/>
        <v>23336162.136297271</v>
      </c>
      <c r="AL16" s="91">
        <f t="shared" si="8"/>
        <v>19767268.171662055</v>
      </c>
      <c r="AM16" s="91">
        <f t="shared" si="8"/>
        <v>1887888.1589742829</v>
      </c>
      <c r="AN16" s="91">
        <f t="shared" si="8"/>
        <v>11867.903958944282</v>
      </c>
      <c r="AO16" s="91">
        <f t="shared" si="8"/>
        <v>208465.88363528671</v>
      </c>
      <c r="AP16" s="91">
        <f t="shared" si="8"/>
        <v>329429.39381946297</v>
      </c>
      <c r="AQ16" s="91">
        <f t="shared" si="8"/>
        <v>436851.52391798049</v>
      </c>
      <c r="AR16" s="127">
        <f t="shared" si="8"/>
        <v>47360025.707755134</v>
      </c>
      <c r="AS16" s="30"/>
      <c r="AU16" s="40"/>
      <c r="AV16" s="40"/>
      <c r="AW16" s="40"/>
    </row>
    <row r="17" spans="1:49">
      <c r="A17" s="40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0"/>
      <c r="P17" s="40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0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U17" s="40"/>
      <c r="AV17" s="40"/>
      <c r="AW17" s="40"/>
    </row>
    <row r="18" spans="1:49">
      <c r="A18" s="40"/>
      <c r="D18" s="41"/>
      <c r="E18" s="41"/>
      <c r="F18" s="41"/>
      <c r="G18" s="34"/>
      <c r="H18" s="41"/>
      <c r="I18" s="41"/>
      <c r="J18" s="41"/>
      <c r="K18" s="41"/>
      <c r="L18" s="41"/>
      <c r="M18" s="41"/>
      <c r="N18" s="41"/>
      <c r="O18" s="40"/>
      <c r="P18" s="40"/>
      <c r="S18" s="41"/>
      <c r="T18" s="41"/>
      <c r="U18" s="41"/>
      <c r="V18" s="34"/>
      <c r="W18" s="41"/>
      <c r="X18" s="41"/>
      <c r="Y18" s="41"/>
      <c r="Z18" s="41"/>
      <c r="AA18" s="41"/>
      <c r="AB18" s="41"/>
      <c r="AC18" s="41"/>
      <c r="AD18" s="40"/>
      <c r="AH18" s="41"/>
      <c r="AI18" s="41"/>
      <c r="AJ18" s="41"/>
      <c r="AK18" s="34"/>
      <c r="AL18" s="41"/>
      <c r="AM18" s="41"/>
      <c r="AN18" s="41"/>
      <c r="AO18" s="41"/>
      <c r="AP18" s="41"/>
      <c r="AQ18" s="41"/>
      <c r="AR18" s="41"/>
      <c r="AS18" s="42"/>
      <c r="AU18" s="40"/>
      <c r="AV18" s="40"/>
      <c r="AW18" s="40"/>
    </row>
    <row r="19" spans="1:49">
      <c r="A19" s="25" t="s">
        <v>1</v>
      </c>
      <c r="B19" s="161" t="s">
        <v>133</v>
      </c>
      <c r="C19" s="161" t="s">
        <v>19</v>
      </c>
      <c r="D19" s="161" t="s">
        <v>17</v>
      </c>
      <c r="E19" s="161" t="s">
        <v>134</v>
      </c>
      <c r="F19" s="161" t="s">
        <v>10</v>
      </c>
      <c r="G19" s="161" t="s">
        <v>11</v>
      </c>
      <c r="H19" s="161" t="s">
        <v>12</v>
      </c>
      <c r="I19" s="161" t="s">
        <v>13</v>
      </c>
      <c r="J19" s="161" t="s">
        <v>14</v>
      </c>
      <c r="K19" s="161" t="s">
        <v>18</v>
      </c>
      <c r="L19" s="161" t="s">
        <v>15</v>
      </c>
      <c r="M19" s="161" t="s">
        <v>16</v>
      </c>
      <c r="N19" s="27" t="s">
        <v>20</v>
      </c>
      <c r="O19" s="40"/>
      <c r="P19" s="25" t="s">
        <v>1</v>
      </c>
      <c r="Q19" s="161" t="s">
        <v>133</v>
      </c>
      <c r="R19" s="161" t="s">
        <v>19</v>
      </c>
      <c r="S19" s="161" t="s">
        <v>17</v>
      </c>
      <c r="T19" s="161" t="s">
        <v>134</v>
      </c>
      <c r="U19" s="161" t="s">
        <v>10</v>
      </c>
      <c r="V19" s="161" t="s">
        <v>11</v>
      </c>
      <c r="W19" s="161" t="s">
        <v>12</v>
      </c>
      <c r="X19" s="161" t="s">
        <v>13</v>
      </c>
      <c r="Y19" s="161" t="s">
        <v>14</v>
      </c>
      <c r="Z19" s="161" t="s">
        <v>18</v>
      </c>
      <c r="AA19" s="161" t="s">
        <v>15</v>
      </c>
      <c r="AB19" s="161" t="s">
        <v>16</v>
      </c>
      <c r="AC19" s="27" t="s">
        <v>20</v>
      </c>
      <c r="AD19" s="40"/>
      <c r="AE19" s="25" t="s">
        <v>1</v>
      </c>
      <c r="AF19" s="161" t="s">
        <v>133</v>
      </c>
      <c r="AG19" s="161" t="s">
        <v>19</v>
      </c>
      <c r="AH19" s="161" t="s">
        <v>17</v>
      </c>
      <c r="AI19" s="161" t="s">
        <v>134</v>
      </c>
      <c r="AJ19" s="161" t="s">
        <v>10</v>
      </c>
      <c r="AK19" s="161" t="s">
        <v>11</v>
      </c>
      <c r="AL19" s="161" t="s">
        <v>12</v>
      </c>
      <c r="AM19" s="161" t="s">
        <v>13</v>
      </c>
      <c r="AN19" s="161" t="s">
        <v>14</v>
      </c>
      <c r="AO19" s="161" t="s">
        <v>18</v>
      </c>
      <c r="AP19" s="161" t="s">
        <v>15</v>
      </c>
      <c r="AQ19" s="161" t="s">
        <v>16</v>
      </c>
      <c r="AR19" s="27" t="s">
        <v>20</v>
      </c>
      <c r="AS19" s="163"/>
      <c r="AU19" s="40"/>
      <c r="AV19" s="40"/>
      <c r="AW19" s="40"/>
    </row>
    <row r="20" spans="1:49">
      <c r="A20" s="9">
        <f>A4</f>
        <v>42461</v>
      </c>
      <c r="B20" s="43"/>
      <c r="C20" s="43"/>
      <c r="D20" s="41"/>
      <c r="E20" s="41"/>
      <c r="F20" s="41"/>
      <c r="G20" s="41">
        <v>1035.77</v>
      </c>
      <c r="H20" s="41">
        <v>669.29000000000008</v>
      </c>
      <c r="I20" s="41"/>
      <c r="J20" s="41"/>
      <c r="K20" s="41">
        <v>11.4</v>
      </c>
      <c r="L20" s="41">
        <v>14.4</v>
      </c>
      <c r="M20" s="41">
        <v>0.6</v>
      </c>
      <c r="N20" s="6">
        <f>SUM(B20:M20)</f>
        <v>1731.46</v>
      </c>
      <c r="O20" s="40"/>
      <c r="P20" s="9">
        <f>P4</f>
        <v>42461</v>
      </c>
      <c r="Q20" s="43"/>
      <c r="R20" s="43"/>
      <c r="S20" s="41"/>
      <c r="T20" s="41"/>
      <c r="U20" s="41"/>
      <c r="V20" s="41">
        <v>80069678.859999999</v>
      </c>
      <c r="W20" s="41">
        <v>64140509.469999984</v>
      </c>
      <c r="X20" s="41"/>
      <c r="Y20" s="41"/>
      <c r="Z20" s="41">
        <v>989818.28</v>
      </c>
      <c r="AA20" s="41">
        <v>1000612.66</v>
      </c>
      <c r="AB20" s="41">
        <v>53717.36</v>
      </c>
      <c r="AC20" s="6">
        <f>SUM(Q20:AB20)</f>
        <v>146254336.63</v>
      </c>
      <c r="AD20" s="40"/>
      <c r="AE20" s="9">
        <f>AE4</f>
        <v>42461</v>
      </c>
      <c r="AF20" s="43"/>
      <c r="AG20" s="43"/>
      <c r="AH20" s="41"/>
      <c r="AI20" s="41"/>
      <c r="AJ20" s="41"/>
      <c r="AK20" s="41">
        <v>1189580.7567753319</v>
      </c>
      <c r="AL20" s="41">
        <v>952757.83809666149</v>
      </c>
      <c r="AM20" s="41"/>
      <c r="AN20" s="41"/>
      <c r="AO20" s="41">
        <v>14795.489985052316</v>
      </c>
      <c r="AP20" s="41">
        <v>14823.891259259261</v>
      </c>
      <c r="AQ20" s="41">
        <v>802.95007473841554</v>
      </c>
      <c r="AR20" s="6">
        <f>SUM(AF20:AQ20)</f>
        <v>2172760.9261910431</v>
      </c>
      <c r="AS20" s="30"/>
      <c r="AU20" s="92">
        <f t="shared" ref="AU20:AU31" si="9">+AK20/G20</f>
        <v>1148.4989493568378</v>
      </c>
      <c r="AV20" s="92">
        <f t="shared" ref="AV20:AV31" si="10">+AL20/H20</f>
        <v>1423.535146344128</v>
      </c>
      <c r="AW20" s="92" t="e">
        <f t="shared" ref="AW20:AW31" si="11">+AM20/I20</f>
        <v>#DIV/0!</v>
      </c>
    </row>
    <row r="21" spans="1:49">
      <c r="A21" s="9">
        <f t="shared" ref="A21:A31" si="12">A5</f>
        <v>42491</v>
      </c>
      <c r="B21" s="43"/>
      <c r="C21" s="43"/>
      <c r="D21" s="41"/>
      <c r="E21" s="41"/>
      <c r="F21" s="41"/>
      <c r="G21" s="41">
        <v>1405.87</v>
      </c>
      <c r="H21" s="41">
        <v>701.43999999999994</v>
      </c>
      <c r="I21" s="41">
        <v>234.60000000000002</v>
      </c>
      <c r="J21" s="41"/>
      <c r="K21" s="41"/>
      <c r="L21" s="41"/>
      <c r="M21" s="41">
        <v>30</v>
      </c>
      <c r="N21" s="6">
        <f t="shared" ref="N21:N32" si="13">SUM(B21:M21)</f>
        <v>2371.91</v>
      </c>
      <c r="O21" s="40"/>
      <c r="P21" s="9">
        <f t="shared" ref="P21:P31" si="14">P5</f>
        <v>42491</v>
      </c>
      <c r="Q21" s="43"/>
      <c r="R21" s="43"/>
      <c r="S21" s="41"/>
      <c r="T21" s="41"/>
      <c r="U21" s="41"/>
      <c r="V21" s="41">
        <v>116444786.73999998</v>
      </c>
      <c r="W21" s="41">
        <v>69106258.170000002</v>
      </c>
      <c r="X21" s="41">
        <v>23828806.129999999</v>
      </c>
      <c r="Y21" s="41"/>
      <c r="Z21" s="41"/>
      <c r="AA21" s="41"/>
      <c r="AB21" s="41">
        <v>2759409.6399999997</v>
      </c>
      <c r="AC21" s="6">
        <f t="shared" ref="AC21:AC32" si="15">SUM(Q21:AB21)</f>
        <v>212139260.67999995</v>
      </c>
      <c r="AD21" s="40"/>
      <c r="AE21" s="9">
        <f t="shared" ref="AE21:AE31" si="16">AE5</f>
        <v>42491</v>
      </c>
      <c r="AF21" s="43"/>
      <c r="AG21" s="43"/>
      <c r="AH21" s="41"/>
      <c r="AI21" s="41"/>
      <c r="AJ21" s="41"/>
      <c r="AK21" s="41">
        <v>1727219.7893546815</v>
      </c>
      <c r="AL21" s="41">
        <v>1020230.9560631419</v>
      </c>
      <c r="AM21" s="41">
        <v>353691.16549844679</v>
      </c>
      <c r="AN21" s="41"/>
      <c r="AO21" s="41"/>
      <c r="AP21" s="41"/>
      <c r="AQ21" s="41">
        <v>40549.737545922115</v>
      </c>
      <c r="AR21" s="6">
        <f t="shared" ref="AR21:AR32" si="17">SUM(AF21:AQ21)</f>
        <v>3141691.6484621922</v>
      </c>
      <c r="AS21" s="30"/>
      <c r="AU21" s="92">
        <f t="shared" si="9"/>
        <v>1228.577172394803</v>
      </c>
      <c r="AV21" s="92">
        <f t="shared" si="10"/>
        <v>1454.4807197524265</v>
      </c>
      <c r="AW21" s="92">
        <f t="shared" si="11"/>
        <v>1507.6349765492189</v>
      </c>
    </row>
    <row r="22" spans="1:49">
      <c r="A22" s="9">
        <f t="shared" si="12"/>
        <v>42522</v>
      </c>
      <c r="B22" s="43"/>
      <c r="C22" s="43"/>
      <c r="D22" s="41"/>
      <c r="E22" s="41"/>
      <c r="F22" s="41"/>
      <c r="G22" s="41">
        <v>1700.1299999999999</v>
      </c>
      <c r="H22" s="41">
        <v>802.97</v>
      </c>
      <c r="I22" s="41"/>
      <c r="J22" s="41"/>
      <c r="K22" s="41">
        <v>12</v>
      </c>
      <c r="L22" s="41">
        <v>21</v>
      </c>
      <c r="M22" s="41">
        <v>45</v>
      </c>
      <c r="N22" s="6">
        <f t="shared" si="13"/>
        <v>2581.1</v>
      </c>
      <c r="O22" s="40"/>
      <c r="P22" s="9">
        <f t="shared" si="14"/>
        <v>42522</v>
      </c>
      <c r="Q22" s="43"/>
      <c r="R22" s="43"/>
      <c r="S22" s="41"/>
      <c r="T22" s="41"/>
      <c r="U22" s="41"/>
      <c r="V22" s="41">
        <v>183252631.57999998</v>
      </c>
      <c r="W22" s="41">
        <v>91809110.270000011</v>
      </c>
      <c r="X22" s="41"/>
      <c r="Y22" s="41"/>
      <c r="Z22" s="41">
        <v>1134053.25</v>
      </c>
      <c r="AA22" s="41">
        <v>1943275.35</v>
      </c>
      <c r="AB22" s="41">
        <v>4221899.74</v>
      </c>
      <c r="AC22" s="6">
        <f t="shared" si="15"/>
        <v>282360970.19000006</v>
      </c>
      <c r="AD22" s="40"/>
      <c r="AE22" s="9">
        <f t="shared" si="16"/>
        <v>42522</v>
      </c>
      <c r="AF22" s="43"/>
      <c r="AG22" s="43"/>
      <c r="AH22" s="41"/>
      <c r="AI22" s="41"/>
      <c r="AJ22" s="41"/>
      <c r="AK22" s="41">
        <v>2688130.1974441763</v>
      </c>
      <c r="AL22" s="41">
        <v>1346420.2225429586</v>
      </c>
      <c r="AM22" s="41"/>
      <c r="AN22" s="41"/>
      <c r="AO22" s="41">
        <v>16665</v>
      </c>
      <c r="AP22" s="41">
        <v>28482</v>
      </c>
      <c r="AQ22" s="41">
        <v>61891.409992544883</v>
      </c>
      <c r="AR22" s="6">
        <f t="shared" si="17"/>
        <v>4141588.8299796795</v>
      </c>
      <c r="AS22" s="30"/>
      <c r="AU22" s="92">
        <f t="shared" si="9"/>
        <v>1581.1321472147285</v>
      </c>
      <c r="AV22" s="92">
        <f t="shared" si="10"/>
        <v>1676.8001575936319</v>
      </c>
      <c r="AW22" s="92" t="e">
        <f t="shared" si="11"/>
        <v>#DIV/0!</v>
      </c>
    </row>
    <row r="23" spans="1:49">
      <c r="A23" s="9">
        <f t="shared" si="12"/>
        <v>42552</v>
      </c>
      <c r="B23" s="43"/>
      <c r="C23" s="43"/>
      <c r="D23" s="41"/>
      <c r="E23" s="41"/>
      <c r="F23" s="41"/>
      <c r="G23" s="41">
        <v>399.08000000000004</v>
      </c>
      <c r="H23" s="41">
        <v>1004.06</v>
      </c>
      <c r="I23" s="41">
        <v>253.92000000000002</v>
      </c>
      <c r="J23" s="41"/>
      <c r="K23" s="41">
        <v>2</v>
      </c>
      <c r="L23" s="41">
        <v>34.47</v>
      </c>
      <c r="M23" s="41"/>
      <c r="N23" s="6">
        <f t="shared" si="13"/>
        <v>1693.53</v>
      </c>
      <c r="O23" s="40"/>
      <c r="P23" s="9">
        <f t="shared" si="14"/>
        <v>42552</v>
      </c>
      <c r="Q23" s="43"/>
      <c r="R23" s="43"/>
      <c r="S23" s="41"/>
      <c r="T23" s="41"/>
      <c r="U23" s="41"/>
      <c r="V23" s="41">
        <v>55532125.029999994</v>
      </c>
      <c r="W23" s="41">
        <v>133791391.52</v>
      </c>
      <c r="X23" s="41">
        <v>32692561.760000002</v>
      </c>
      <c r="Y23" s="41"/>
      <c r="Z23" s="41">
        <v>182273.29</v>
      </c>
      <c r="AA23" s="41">
        <v>3099356.95</v>
      </c>
      <c r="AB23" s="41"/>
      <c r="AC23" s="6">
        <f t="shared" si="15"/>
        <v>225297708.54999995</v>
      </c>
      <c r="AD23" s="40"/>
      <c r="AE23" s="9">
        <f t="shared" si="16"/>
        <v>42552</v>
      </c>
      <c r="AF23" s="43"/>
      <c r="AG23" s="43"/>
      <c r="AH23" s="41"/>
      <c r="AI23" s="41"/>
      <c r="AJ23" s="41"/>
      <c r="AK23" s="41">
        <v>814308.13394455041</v>
      </c>
      <c r="AL23" s="41">
        <v>1962752.3154481594</v>
      </c>
      <c r="AM23" s="41">
        <v>479891.57839549903</v>
      </c>
      <c r="AN23" s="41"/>
      <c r="AO23" s="41">
        <v>2672.6288856304986</v>
      </c>
      <c r="AP23" s="41">
        <v>45478.45854732208</v>
      </c>
      <c r="AQ23" s="41"/>
      <c r="AR23" s="6">
        <f t="shared" si="17"/>
        <v>3305103.1152211614</v>
      </c>
      <c r="AS23" s="30"/>
      <c r="AU23" s="92">
        <f t="shared" si="9"/>
        <v>2040.4634006829467</v>
      </c>
      <c r="AV23" s="92">
        <f t="shared" si="10"/>
        <v>1954.8157634485583</v>
      </c>
      <c r="AW23" s="92">
        <f t="shared" si="11"/>
        <v>1889.932177045916</v>
      </c>
    </row>
    <row r="24" spans="1:49">
      <c r="A24" s="9">
        <f t="shared" si="12"/>
        <v>42583</v>
      </c>
      <c r="B24" s="43"/>
      <c r="C24" s="43"/>
      <c r="D24" s="41"/>
      <c r="E24" s="41"/>
      <c r="F24" s="41">
        <v>3.57</v>
      </c>
      <c r="G24" s="41">
        <v>514.81000000000006</v>
      </c>
      <c r="H24" s="41">
        <v>870.83000000000015</v>
      </c>
      <c r="I24" s="41">
        <v>212.3</v>
      </c>
      <c r="J24" s="41"/>
      <c r="K24" s="41">
        <v>11.4</v>
      </c>
      <c r="L24" s="41"/>
      <c r="M24" s="41">
        <v>30.6</v>
      </c>
      <c r="N24" s="6">
        <f t="shared" si="13"/>
        <v>1643.5100000000002</v>
      </c>
      <c r="O24" s="40"/>
      <c r="P24" s="9">
        <f t="shared" si="14"/>
        <v>42583</v>
      </c>
      <c r="Q24" s="43"/>
      <c r="R24" s="43"/>
      <c r="S24" s="41"/>
      <c r="T24" s="41"/>
      <c r="U24" s="41">
        <v>473426.61</v>
      </c>
      <c r="V24" s="41">
        <v>60458151.090000004</v>
      </c>
      <c r="W24" s="41">
        <v>112954174.84</v>
      </c>
      <c r="X24" s="41">
        <v>27515062.490000002</v>
      </c>
      <c r="Y24" s="41"/>
      <c r="Z24" s="41">
        <v>1072601.06</v>
      </c>
      <c r="AA24" s="41"/>
      <c r="AB24" s="41">
        <v>2807732.84</v>
      </c>
      <c r="AC24" s="6">
        <f t="shared" si="15"/>
        <v>205281148.93000004</v>
      </c>
      <c r="AD24" s="40"/>
      <c r="AE24" s="9">
        <f t="shared" si="16"/>
        <v>42583</v>
      </c>
      <c r="AF24" s="43"/>
      <c r="AG24" s="43"/>
      <c r="AH24" s="41"/>
      <c r="AI24" s="41"/>
      <c r="AJ24" s="41">
        <v>6987.8466420664208</v>
      </c>
      <c r="AK24" s="41">
        <v>892045.87975222874</v>
      </c>
      <c r="AL24" s="41">
        <v>1667220.2928413285</v>
      </c>
      <c r="AM24" s="41">
        <v>406126.38361623621</v>
      </c>
      <c r="AN24" s="41"/>
      <c r="AO24" s="41">
        <v>15831.749963099632</v>
      </c>
      <c r="AP24" s="41"/>
      <c r="AQ24" s="41">
        <v>41442.551143911434</v>
      </c>
      <c r="AR24" s="6">
        <f t="shared" si="17"/>
        <v>3029654.7039588708</v>
      </c>
      <c r="AS24" s="30"/>
      <c r="AU24" s="92">
        <f t="shared" si="9"/>
        <v>1732.7671951831328</v>
      </c>
      <c r="AV24" s="92">
        <f t="shared" si="10"/>
        <v>1914.5186693629391</v>
      </c>
      <c r="AW24" s="92">
        <f t="shared" si="11"/>
        <v>1912.9834367227329</v>
      </c>
    </row>
    <row r="25" spans="1:49">
      <c r="A25" s="9">
        <f t="shared" si="12"/>
        <v>42614</v>
      </c>
      <c r="B25" s="43"/>
      <c r="C25" s="43"/>
      <c r="D25" s="41"/>
      <c r="E25" s="41"/>
      <c r="F25" s="41"/>
      <c r="G25" s="41">
        <v>678.23000000000013</v>
      </c>
      <c r="H25" s="41">
        <v>1096.9499999999998</v>
      </c>
      <c r="I25" s="41">
        <v>79.009999999999991</v>
      </c>
      <c r="J25" s="41"/>
      <c r="K25" s="41"/>
      <c r="L25" s="41"/>
      <c r="M25" s="41">
        <v>15</v>
      </c>
      <c r="N25" s="6">
        <f t="shared" si="13"/>
        <v>1869.1899999999998</v>
      </c>
      <c r="O25" s="40"/>
      <c r="P25" s="9">
        <f t="shared" si="14"/>
        <v>42614</v>
      </c>
      <c r="Q25" s="43"/>
      <c r="R25" s="43"/>
      <c r="S25" s="41"/>
      <c r="T25" s="41"/>
      <c r="U25" s="41"/>
      <c r="V25" s="41">
        <v>79563731.690000013</v>
      </c>
      <c r="W25" s="41">
        <v>148306318.87999997</v>
      </c>
      <c r="X25" s="41">
        <v>10118346.050000001</v>
      </c>
      <c r="Y25" s="41"/>
      <c r="Z25" s="41"/>
      <c r="AA25" s="41"/>
      <c r="AB25" s="41">
        <v>1370260.69</v>
      </c>
      <c r="AC25" s="6">
        <f t="shared" si="15"/>
        <v>239358657.31</v>
      </c>
      <c r="AD25" s="40"/>
      <c r="AE25" s="9">
        <f t="shared" si="16"/>
        <v>42614</v>
      </c>
      <c r="AF25" s="43"/>
      <c r="AG25" s="43"/>
      <c r="AH25" s="41"/>
      <c r="AI25" s="41"/>
      <c r="AJ25" s="41"/>
      <c r="AK25" s="41">
        <v>1172696.1556819503</v>
      </c>
      <c r="AL25" s="41">
        <v>2186411.0802535745</v>
      </c>
      <c r="AM25" s="41">
        <v>149348.28118081181</v>
      </c>
      <c r="AN25" s="41"/>
      <c r="AO25" s="41"/>
      <c r="AP25" s="41"/>
      <c r="AQ25" s="41">
        <v>20180.569808541972</v>
      </c>
      <c r="AR25" s="6">
        <f t="shared" si="17"/>
        <v>3528636.0869248789</v>
      </c>
      <c r="AS25" s="30"/>
      <c r="AU25" s="92">
        <f t="shared" si="9"/>
        <v>1729.0537954410008</v>
      </c>
      <c r="AV25" s="92">
        <f t="shared" si="10"/>
        <v>1993.1729616241169</v>
      </c>
      <c r="AW25" s="92">
        <f t="shared" si="11"/>
        <v>1890.2453003520038</v>
      </c>
    </row>
    <row r="26" spans="1:49">
      <c r="A26" s="9">
        <f t="shared" si="12"/>
        <v>42644</v>
      </c>
      <c r="B26" s="43"/>
      <c r="C26" s="43"/>
      <c r="D26" s="41"/>
      <c r="E26" s="41"/>
      <c r="F26" s="41"/>
      <c r="G26" s="41">
        <v>223.10999999999999</v>
      </c>
      <c r="H26" s="41">
        <v>902.86</v>
      </c>
      <c r="I26" s="41">
        <v>39.36</v>
      </c>
      <c r="J26" s="41"/>
      <c r="K26" s="41"/>
      <c r="L26" s="41">
        <v>28.8</v>
      </c>
      <c r="M26" s="41">
        <v>38.04</v>
      </c>
      <c r="N26" s="6">
        <f t="shared" si="13"/>
        <v>1232.1699999999998</v>
      </c>
      <c r="O26" s="40"/>
      <c r="P26" s="9">
        <f t="shared" si="14"/>
        <v>42644</v>
      </c>
      <c r="Q26" s="43"/>
      <c r="R26" s="43"/>
      <c r="S26" s="41"/>
      <c r="T26" s="41"/>
      <c r="U26" s="41"/>
      <c r="V26" s="41">
        <v>24595536.329999998</v>
      </c>
      <c r="W26" s="41">
        <v>135002727.23000002</v>
      </c>
      <c r="X26" s="41">
        <v>5639876.0300000003</v>
      </c>
      <c r="Y26" s="41"/>
      <c r="Z26" s="41"/>
      <c r="AA26" s="41">
        <v>2343819.7799999998</v>
      </c>
      <c r="AB26" s="41">
        <v>3110563.61</v>
      </c>
      <c r="AC26" s="6">
        <f t="shared" si="15"/>
        <v>170692522.98000002</v>
      </c>
      <c r="AD26" s="40"/>
      <c r="AE26" s="9">
        <f t="shared" si="16"/>
        <v>42644</v>
      </c>
      <c r="AF26" s="43"/>
      <c r="AG26" s="43"/>
      <c r="AH26" s="41"/>
      <c r="AI26" s="41"/>
      <c r="AJ26" s="41"/>
      <c r="AK26" s="41">
        <v>364285.59777777782</v>
      </c>
      <c r="AL26" s="41">
        <v>2012129.3952398524</v>
      </c>
      <c r="AM26" s="41">
        <v>83553.72</v>
      </c>
      <c r="AN26" s="41"/>
      <c r="AO26" s="41"/>
      <c r="AP26" s="41">
        <v>34659.190952029516</v>
      </c>
      <c r="AQ26" s="41">
        <v>46082.423851851847</v>
      </c>
      <c r="AR26" s="6">
        <f t="shared" si="17"/>
        <v>2540710.3278215118</v>
      </c>
      <c r="AS26" s="30"/>
      <c r="AU26" s="92">
        <f t="shared" si="9"/>
        <v>1632.7623045931507</v>
      </c>
      <c r="AV26" s="92">
        <f t="shared" si="10"/>
        <v>2228.6172775844011</v>
      </c>
      <c r="AW26" s="92">
        <f t="shared" si="11"/>
        <v>2122.8079268292681</v>
      </c>
    </row>
    <row r="27" spans="1:49">
      <c r="A27" s="9">
        <f t="shared" si="12"/>
        <v>42675</v>
      </c>
      <c r="B27" s="43"/>
      <c r="C27" s="43"/>
      <c r="D27" s="41"/>
      <c r="E27" s="41"/>
      <c r="F27" s="41"/>
      <c r="G27" s="41">
        <v>93.240000000000009</v>
      </c>
      <c r="H27" s="41">
        <v>743.70999999999992</v>
      </c>
      <c r="I27" s="41">
        <v>118.89</v>
      </c>
      <c r="J27" s="41"/>
      <c r="K27" s="41">
        <v>4</v>
      </c>
      <c r="L27" s="41"/>
      <c r="M27" s="41"/>
      <c r="N27" s="6">
        <f t="shared" si="13"/>
        <v>959.83999999999992</v>
      </c>
      <c r="O27" s="40"/>
      <c r="P27" s="9">
        <f t="shared" si="14"/>
        <v>42675</v>
      </c>
      <c r="Q27" s="43"/>
      <c r="R27" s="43"/>
      <c r="S27" s="41"/>
      <c r="T27" s="41"/>
      <c r="U27" s="41"/>
      <c r="V27" s="41">
        <v>9544552.5199999996</v>
      </c>
      <c r="W27" s="41">
        <v>112893069.03</v>
      </c>
      <c r="X27" s="41">
        <v>16952804.920000002</v>
      </c>
      <c r="Y27" s="41"/>
      <c r="Z27" s="41">
        <v>376064.21</v>
      </c>
      <c r="AA27" s="41"/>
      <c r="AB27" s="41"/>
      <c r="AC27" s="6">
        <f t="shared" si="15"/>
        <v>139766490.68000001</v>
      </c>
      <c r="AD27" s="40"/>
      <c r="AE27" s="9">
        <f t="shared" si="16"/>
        <v>42675</v>
      </c>
      <c r="AF27" s="43"/>
      <c r="AG27" s="43"/>
      <c r="AH27" s="41"/>
      <c r="AI27" s="41"/>
      <c r="AJ27" s="41"/>
      <c r="AK27" s="41">
        <v>141191.6</v>
      </c>
      <c r="AL27" s="41">
        <v>1659341.1</v>
      </c>
      <c r="AM27" s="41">
        <v>250843.55</v>
      </c>
      <c r="AN27" s="41"/>
      <c r="AO27" s="41">
        <v>5563.08</v>
      </c>
      <c r="AP27" s="41"/>
      <c r="AQ27" s="41"/>
      <c r="AR27" s="6">
        <f t="shared" si="17"/>
        <v>2056939.3300000003</v>
      </c>
      <c r="AS27" s="30"/>
      <c r="AU27" s="92">
        <f t="shared" si="9"/>
        <v>1514.2814242814243</v>
      </c>
      <c r="AV27" s="92">
        <f t="shared" si="10"/>
        <v>2231.1668526710682</v>
      </c>
      <c r="AW27" s="92">
        <f t="shared" si="11"/>
        <v>2109.8793001934559</v>
      </c>
    </row>
    <row r="28" spans="1:49">
      <c r="A28" s="9">
        <f t="shared" si="12"/>
        <v>42705</v>
      </c>
      <c r="B28" s="43"/>
      <c r="C28" s="43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6">
        <f t="shared" si="13"/>
        <v>0</v>
      </c>
      <c r="O28" s="40"/>
      <c r="P28" s="9">
        <f t="shared" si="14"/>
        <v>42705</v>
      </c>
      <c r="Q28" s="43"/>
      <c r="R28" s="43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6">
        <f t="shared" si="15"/>
        <v>0</v>
      </c>
      <c r="AD28" s="40"/>
      <c r="AE28" s="9">
        <f t="shared" si="16"/>
        <v>42705</v>
      </c>
      <c r="AF28" s="43"/>
      <c r="AG28" s="43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6">
        <f t="shared" si="17"/>
        <v>0</v>
      </c>
      <c r="AS28" s="30"/>
      <c r="AU28" s="92" t="e">
        <f t="shared" si="9"/>
        <v>#DIV/0!</v>
      </c>
      <c r="AV28" s="92" t="e">
        <f t="shared" si="10"/>
        <v>#DIV/0!</v>
      </c>
      <c r="AW28" s="92" t="e">
        <f t="shared" si="11"/>
        <v>#DIV/0!</v>
      </c>
    </row>
    <row r="29" spans="1:49">
      <c r="A29" s="9">
        <f t="shared" si="12"/>
        <v>42736</v>
      </c>
      <c r="B29" s="43"/>
      <c r="C29" s="43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6">
        <f t="shared" si="13"/>
        <v>0</v>
      </c>
      <c r="O29" s="40"/>
      <c r="P29" s="9">
        <f t="shared" si="14"/>
        <v>42736</v>
      </c>
      <c r="Q29" s="43"/>
      <c r="R29" s="43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6">
        <f t="shared" si="15"/>
        <v>0</v>
      </c>
      <c r="AD29" s="40"/>
      <c r="AE29" s="9">
        <f t="shared" si="16"/>
        <v>42736</v>
      </c>
      <c r="AF29" s="43"/>
      <c r="AG29" s="43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6">
        <f t="shared" si="17"/>
        <v>0</v>
      </c>
      <c r="AS29" s="30"/>
      <c r="AU29" s="92" t="e">
        <f t="shared" si="9"/>
        <v>#DIV/0!</v>
      </c>
      <c r="AV29" s="92" t="e">
        <f t="shared" si="10"/>
        <v>#DIV/0!</v>
      </c>
      <c r="AW29" s="92" t="e">
        <f t="shared" si="11"/>
        <v>#DIV/0!</v>
      </c>
    </row>
    <row r="30" spans="1:49">
      <c r="A30" s="9">
        <f t="shared" si="12"/>
        <v>42767</v>
      </c>
      <c r="B30" s="43"/>
      <c r="C30" s="43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6">
        <f t="shared" si="13"/>
        <v>0</v>
      </c>
      <c r="O30" s="40"/>
      <c r="P30" s="9">
        <f t="shared" si="14"/>
        <v>42767</v>
      </c>
      <c r="Q30" s="43"/>
      <c r="R30" s="43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6">
        <f t="shared" si="15"/>
        <v>0</v>
      </c>
      <c r="AD30" s="40"/>
      <c r="AE30" s="9">
        <f t="shared" si="16"/>
        <v>42767</v>
      </c>
      <c r="AF30" s="43"/>
      <c r="AG30" s="43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6">
        <f t="shared" si="17"/>
        <v>0</v>
      </c>
      <c r="AS30" s="30"/>
      <c r="AU30" s="92" t="e">
        <f t="shared" si="9"/>
        <v>#DIV/0!</v>
      </c>
      <c r="AV30" s="92" t="e">
        <f t="shared" si="10"/>
        <v>#DIV/0!</v>
      </c>
      <c r="AW30" s="92" t="e">
        <f t="shared" si="11"/>
        <v>#DIV/0!</v>
      </c>
    </row>
    <row r="31" spans="1:49">
      <c r="A31" s="9">
        <f t="shared" si="12"/>
        <v>42795</v>
      </c>
      <c r="B31" s="43"/>
      <c r="C31" s="43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6">
        <f t="shared" si="13"/>
        <v>0</v>
      </c>
      <c r="O31" s="40"/>
      <c r="P31" s="9">
        <f t="shared" si="14"/>
        <v>42795</v>
      </c>
      <c r="Q31" s="43"/>
      <c r="R31" s="43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6">
        <f t="shared" si="15"/>
        <v>0</v>
      </c>
      <c r="AD31" s="40"/>
      <c r="AE31" s="9">
        <f t="shared" si="16"/>
        <v>42795</v>
      </c>
      <c r="AF31" s="43"/>
      <c r="AG31" s="43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6">
        <f t="shared" si="17"/>
        <v>0</v>
      </c>
      <c r="AS31" s="30"/>
      <c r="AU31" s="92" t="e">
        <f t="shared" si="9"/>
        <v>#DIV/0!</v>
      </c>
      <c r="AV31" s="92" t="e">
        <f t="shared" si="10"/>
        <v>#DIV/0!</v>
      </c>
      <c r="AW31" s="92" t="e">
        <f t="shared" si="11"/>
        <v>#DIV/0!</v>
      </c>
    </row>
    <row r="32" spans="1:49">
      <c r="A32" s="128" t="s">
        <v>4</v>
      </c>
      <c r="B32" s="91">
        <f>SUM(B20:B31)</f>
        <v>0</v>
      </c>
      <c r="C32" s="91">
        <f t="shared" ref="C32:M32" si="18">SUM(C20:C31)</f>
        <v>0</v>
      </c>
      <c r="D32" s="91">
        <f t="shared" si="18"/>
        <v>0</v>
      </c>
      <c r="E32" s="91">
        <f t="shared" si="18"/>
        <v>0</v>
      </c>
      <c r="F32" s="91">
        <f t="shared" si="18"/>
        <v>3.57</v>
      </c>
      <c r="G32" s="91">
        <f t="shared" si="18"/>
        <v>6050.24</v>
      </c>
      <c r="H32" s="91">
        <f t="shared" si="18"/>
        <v>6792.11</v>
      </c>
      <c r="I32" s="91">
        <f t="shared" si="18"/>
        <v>938.08</v>
      </c>
      <c r="J32" s="91">
        <f t="shared" si="18"/>
        <v>0</v>
      </c>
      <c r="K32" s="91">
        <f t="shared" si="18"/>
        <v>40.799999999999997</v>
      </c>
      <c r="L32" s="91">
        <f t="shared" si="18"/>
        <v>98.67</v>
      </c>
      <c r="M32" s="91">
        <f t="shared" si="18"/>
        <v>159.23999999999998</v>
      </c>
      <c r="N32" s="127">
        <f t="shared" si="13"/>
        <v>14082.709999999997</v>
      </c>
      <c r="O32" s="40"/>
      <c r="P32" s="128" t="s">
        <v>4</v>
      </c>
      <c r="Q32" s="91">
        <f>SUM(Q20:Q31)</f>
        <v>0</v>
      </c>
      <c r="R32" s="91">
        <f t="shared" ref="R32:AB32" si="19">SUM(R20:R31)</f>
        <v>0</v>
      </c>
      <c r="S32" s="91">
        <f t="shared" si="19"/>
        <v>0</v>
      </c>
      <c r="T32" s="91">
        <f t="shared" si="19"/>
        <v>0</v>
      </c>
      <c r="U32" s="91">
        <f t="shared" si="19"/>
        <v>473426.61</v>
      </c>
      <c r="V32" s="91">
        <f t="shared" si="19"/>
        <v>609461193.84000003</v>
      </c>
      <c r="W32" s="91">
        <f t="shared" si="19"/>
        <v>868003559.40999997</v>
      </c>
      <c r="X32" s="91">
        <f t="shared" si="19"/>
        <v>116747457.38</v>
      </c>
      <c r="Y32" s="91">
        <f t="shared" si="19"/>
        <v>0</v>
      </c>
      <c r="Z32" s="91">
        <f t="shared" si="19"/>
        <v>3754810.0900000003</v>
      </c>
      <c r="AA32" s="91">
        <f t="shared" si="19"/>
        <v>8387064.7400000002</v>
      </c>
      <c r="AB32" s="91">
        <f t="shared" si="19"/>
        <v>14323583.879999999</v>
      </c>
      <c r="AC32" s="127">
        <f t="shared" si="15"/>
        <v>1621151095.9500003</v>
      </c>
      <c r="AD32" s="40"/>
      <c r="AE32" s="128" t="s">
        <v>4</v>
      </c>
      <c r="AF32" s="91">
        <f>SUM(AF20:AF31)</f>
        <v>0</v>
      </c>
      <c r="AG32" s="91">
        <f t="shared" ref="AG32:AQ32" si="20">SUM(AG20:AG31)</f>
        <v>0</v>
      </c>
      <c r="AH32" s="91">
        <f t="shared" si="20"/>
        <v>0</v>
      </c>
      <c r="AI32" s="91">
        <f t="shared" si="20"/>
        <v>0</v>
      </c>
      <c r="AJ32" s="91">
        <f t="shared" si="20"/>
        <v>6987.8466420664208</v>
      </c>
      <c r="AK32" s="91">
        <f t="shared" si="20"/>
        <v>8989458.1107306983</v>
      </c>
      <c r="AL32" s="91">
        <f t="shared" si="20"/>
        <v>12807263.200485677</v>
      </c>
      <c r="AM32" s="91">
        <f t="shared" si="20"/>
        <v>1723454.6786909939</v>
      </c>
      <c r="AN32" s="91">
        <f t="shared" si="20"/>
        <v>0</v>
      </c>
      <c r="AO32" s="91">
        <f t="shared" si="20"/>
        <v>55527.948833782444</v>
      </c>
      <c r="AP32" s="91">
        <f t="shared" si="20"/>
        <v>123443.54075861085</v>
      </c>
      <c r="AQ32" s="91">
        <f t="shared" si="20"/>
        <v>210949.64241751065</v>
      </c>
      <c r="AR32" s="127">
        <f t="shared" si="17"/>
        <v>23917084.968559332</v>
      </c>
      <c r="AS32" s="30"/>
      <c r="AU32" s="40"/>
      <c r="AV32" s="40"/>
      <c r="AW32" s="40"/>
    </row>
    <row r="33" spans="1:49">
      <c r="A33" s="40"/>
      <c r="D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S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U33" s="40"/>
      <c r="AV33" s="40"/>
      <c r="AW33" s="40"/>
    </row>
    <row r="34" spans="1:49">
      <c r="A34" s="40"/>
      <c r="D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S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U34" s="40"/>
      <c r="AV34" s="40"/>
      <c r="AW34" s="40"/>
    </row>
    <row r="35" spans="1:49">
      <c r="A35" s="25" t="s">
        <v>0</v>
      </c>
      <c r="B35" s="161" t="s">
        <v>133</v>
      </c>
      <c r="C35" s="161" t="s">
        <v>19</v>
      </c>
      <c r="D35" s="161" t="s">
        <v>17</v>
      </c>
      <c r="E35" s="161" t="s">
        <v>134</v>
      </c>
      <c r="F35" s="161" t="s">
        <v>10</v>
      </c>
      <c r="G35" s="161" t="s">
        <v>11</v>
      </c>
      <c r="H35" s="161" t="s">
        <v>12</v>
      </c>
      <c r="I35" s="161" t="s">
        <v>13</v>
      </c>
      <c r="J35" s="161" t="s">
        <v>14</v>
      </c>
      <c r="K35" s="161" t="s">
        <v>18</v>
      </c>
      <c r="L35" s="161" t="s">
        <v>15</v>
      </c>
      <c r="M35" s="161" t="s">
        <v>16</v>
      </c>
      <c r="N35" s="27" t="s">
        <v>20</v>
      </c>
      <c r="O35" s="40"/>
      <c r="P35" s="25" t="s">
        <v>0</v>
      </c>
      <c r="Q35" s="161" t="s">
        <v>133</v>
      </c>
      <c r="R35" s="161" t="s">
        <v>19</v>
      </c>
      <c r="S35" s="161" t="s">
        <v>17</v>
      </c>
      <c r="T35" s="161" t="s">
        <v>134</v>
      </c>
      <c r="U35" s="161" t="s">
        <v>10</v>
      </c>
      <c r="V35" s="161" t="s">
        <v>11</v>
      </c>
      <c r="W35" s="161" t="s">
        <v>12</v>
      </c>
      <c r="X35" s="161" t="s">
        <v>13</v>
      </c>
      <c r="Y35" s="161" t="s">
        <v>14</v>
      </c>
      <c r="Z35" s="161" t="s">
        <v>18</v>
      </c>
      <c r="AA35" s="161" t="s">
        <v>15</v>
      </c>
      <c r="AB35" s="161" t="s">
        <v>16</v>
      </c>
      <c r="AC35" s="27" t="s">
        <v>20</v>
      </c>
      <c r="AD35" s="40"/>
      <c r="AE35" s="25" t="s">
        <v>0</v>
      </c>
      <c r="AF35" s="161" t="s">
        <v>133</v>
      </c>
      <c r="AG35" s="161" t="s">
        <v>19</v>
      </c>
      <c r="AH35" s="161" t="s">
        <v>17</v>
      </c>
      <c r="AI35" s="161" t="s">
        <v>134</v>
      </c>
      <c r="AJ35" s="161" t="s">
        <v>10</v>
      </c>
      <c r="AK35" s="161" t="s">
        <v>11</v>
      </c>
      <c r="AL35" s="161" t="s">
        <v>12</v>
      </c>
      <c r="AM35" s="161" t="s">
        <v>13</v>
      </c>
      <c r="AN35" s="161" t="s">
        <v>14</v>
      </c>
      <c r="AO35" s="161" t="s">
        <v>18</v>
      </c>
      <c r="AP35" s="161" t="s">
        <v>15</v>
      </c>
      <c r="AQ35" s="161" t="s">
        <v>16</v>
      </c>
      <c r="AR35" s="27" t="s">
        <v>20</v>
      </c>
      <c r="AS35" s="163"/>
      <c r="AU35" s="40"/>
      <c r="AV35" s="40"/>
      <c r="AW35" s="40"/>
    </row>
    <row r="36" spans="1:49">
      <c r="A36" s="9">
        <f>A4</f>
        <v>42461</v>
      </c>
      <c r="B36" s="43"/>
      <c r="C36" s="43"/>
      <c r="D36" s="41"/>
      <c r="E36" s="41"/>
      <c r="F36" s="41">
        <v>92.210000000000008</v>
      </c>
      <c r="G36" s="41">
        <v>953.34999999999991</v>
      </c>
      <c r="H36" s="41"/>
      <c r="I36" s="41"/>
      <c r="J36" s="41"/>
      <c r="K36" s="41"/>
      <c r="L36" s="41"/>
      <c r="M36" s="41"/>
      <c r="N36" s="6">
        <f>SUM(B36:M36)</f>
        <v>1045.56</v>
      </c>
      <c r="O36" s="40"/>
      <c r="P36" s="9">
        <f>P4</f>
        <v>42461</v>
      </c>
      <c r="Q36" s="43"/>
      <c r="R36" s="43"/>
      <c r="S36" s="41"/>
      <c r="T36" s="41"/>
      <c r="U36" s="41">
        <v>8742266.4499999993</v>
      </c>
      <c r="V36" s="41">
        <v>81393103.859999999</v>
      </c>
      <c r="W36" s="41"/>
      <c r="X36" s="41"/>
      <c r="Y36" s="41"/>
      <c r="Z36" s="41"/>
      <c r="AA36" s="41"/>
      <c r="AB36" s="41"/>
      <c r="AC36" s="6">
        <f>SUM(Q36:AB36)</f>
        <v>90135370.310000002</v>
      </c>
      <c r="AD36" s="40"/>
      <c r="AE36" s="9">
        <f>AE4</f>
        <v>42461</v>
      </c>
      <c r="AF36" s="43"/>
      <c r="AG36" s="43"/>
      <c r="AH36" s="41"/>
      <c r="AI36" s="41"/>
      <c r="AJ36" s="41">
        <v>129758.03309682777</v>
      </c>
      <c r="AK36" s="41">
        <v>1207614.5737839423</v>
      </c>
      <c r="AL36" s="41"/>
      <c r="AM36" s="41"/>
      <c r="AN36" s="41"/>
      <c r="AO36" s="41"/>
      <c r="AP36" s="41"/>
      <c r="AQ36" s="41"/>
      <c r="AR36" s="6">
        <f>SUM(AF36:AQ36)</f>
        <v>1337372.6068807701</v>
      </c>
      <c r="AS36" s="30"/>
      <c r="AU36" s="92">
        <f t="shared" ref="AU36:AU47" si="21">+AK36/G36</f>
        <v>1266.7064286819557</v>
      </c>
      <c r="AV36" s="92" t="e">
        <f t="shared" ref="AV36:AV47" si="22">+AL36/H36</f>
        <v>#DIV/0!</v>
      </c>
      <c r="AW36" s="92" t="e">
        <f t="shared" ref="AW36:AW47" si="23">+AM36/I36</f>
        <v>#DIV/0!</v>
      </c>
    </row>
    <row r="37" spans="1:49">
      <c r="A37" s="9">
        <f t="shared" ref="A37:A47" si="24">A5</f>
        <v>42491</v>
      </c>
      <c r="B37" s="43"/>
      <c r="C37" s="43"/>
      <c r="D37" s="41"/>
      <c r="E37" s="41"/>
      <c r="F37" s="41">
        <v>131.45999999999998</v>
      </c>
      <c r="G37" s="41">
        <v>362.20000000000005</v>
      </c>
      <c r="H37" s="41"/>
      <c r="I37" s="41"/>
      <c r="J37" s="41"/>
      <c r="K37" s="41"/>
      <c r="L37" s="41">
        <v>7.2</v>
      </c>
      <c r="M37" s="41">
        <v>7.8</v>
      </c>
      <c r="N37" s="6">
        <f t="shared" ref="N37:N48" si="25">SUM(B37:M37)</f>
        <v>508.66</v>
      </c>
      <c r="O37" s="40"/>
      <c r="P37" s="9">
        <f t="shared" ref="P37:P47" si="26">P5</f>
        <v>42491</v>
      </c>
      <c r="Q37" s="43"/>
      <c r="R37" s="43"/>
      <c r="S37" s="41"/>
      <c r="T37" s="41"/>
      <c r="U37" s="41">
        <v>11590772.859999999</v>
      </c>
      <c r="V37" s="41">
        <v>42981858.460000001</v>
      </c>
      <c r="W37" s="41"/>
      <c r="X37" s="41"/>
      <c r="Y37" s="41"/>
      <c r="Z37" s="41"/>
      <c r="AA37" s="41">
        <v>551795.72</v>
      </c>
      <c r="AB37" s="41">
        <v>645389.4</v>
      </c>
      <c r="AC37" s="6">
        <f t="shared" ref="AC37:AC48" si="27">SUM(Q37:AB37)</f>
        <v>55769816.439999998</v>
      </c>
      <c r="AD37" s="40"/>
      <c r="AE37" s="9">
        <f t="shared" ref="AE37:AE47" si="28">AE5</f>
        <v>42491</v>
      </c>
      <c r="AF37" s="43"/>
      <c r="AG37" s="43"/>
      <c r="AH37" s="41"/>
      <c r="AI37" s="41"/>
      <c r="AJ37" s="41">
        <v>171646.06603987364</v>
      </c>
      <c r="AK37" s="41">
        <v>637376.18360114738</v>
      </c>
      <c r="AL37" s="41"/>
      <c r="AM37" s="41"/>
      <c r="AN37" s="41"/>
      <c r="AO37" s="41"/>
      <c r="AP37" s="41">
        <v>8108.6806759735491</v>
      </c>
      <c r="AQ37" s="41">
        <v>9484.0470242468782</v>
      </c>
      <c r="AR37" s="6">
        <f t="shared" ref="AR37:AR48" si="29">SUM(AF37:AQ37)</f>
        <v>826614.97734124144</v>
      </c>
      <c r="AS37" s="30"/>
      <c r="AU37" s="92">
        <f t="shared" si="21"/>
        <v>1759.7354599700368</v>
      </c>
      <c r="AV37" s="92" t="e">
        <f t="shared" si="22"/>
        <v>#DIV/0!</v>
      </c>
      <c r="AW37" s="92" t="e">
        <f t="shared" si="23"/>
        <v>#DIV/0!</v>
      </c>
    </row>
    <row r="38" spans="1:49">
      <c r="A38" s="9">
        <f t="shared" si="24"/>
        <v>42522</v>
      </c>
      <c r="B38" s="43"/>
      <c r="C38" s="43"/>
      <c r="D38" s="41"/>
      <c r="E38" s="41"/>
      <c r="F38" s="41"/>
      <c r="G38" s="41">
        <v>1368.55</v>
      </c>
      <c r="H38" s="41"/>
      <c r="I38" s="41"/>
      <c r="J38" s="41"/>
      <c r="K38" s="41"/>
      <c r="L38" s="41"/>
      <c r="M38" s="41"/>
      <c r="N38" s="6">
        <f t="shared" si="25"/>
        <v>1368.55</v>
      </c>
      <c r="P38" s="9">
        <f t="shared" si="26"/>
        <v>42522</v>
      </c>
      <c r="Q38" s="43"/>
      <c r="R38" s="43"/>
      <c r="S38" s="41"/>
      <c r="T38" s="41"/>
      <c r="U38" s="41"/>
      <c r="V38" s="41">
        <v>166760202.98000002</v>
      </c>
      <c r="W38" s="41"/>
      <c r="X38" s="41"/>
      <c r="Y38" s="41"/>
      <c r="Z38" s="41"/>
      <c r="AA38" s="41"/>
      <c r="AB38" s="41"/>
      <c r="AC38" s="6">
        <f t="shared" si="27"/>
        <v>166760202.98000002</v>
      </c>
      <c r="AD38" s="40"/>
      <c r="AE38" s="9">
        <f t="shared" si="28"/>
        <v>42522</v>
      </c>
      <c r="AF38" s="43"/>
      <c r="AG38" s="43"/>
      <c r="AH38" s="41"/>
      <c r="AI38" s="41"/>
      <c r="AJ38" s="41"/>
      <c r="AK38" s="41">
        <v>2448115.322883226</v>
      </c>
      <c r="AL38" s="41"/>
      <c r="AM38" s="41"/>
      <c r="AN38" s="41"/>
      <c r="AO38" s="41"/>
      <c r="AP38" s="41"/>
      <c r="AQ38" s="41"/>
      <c r="AR38" s="6">
        <f t="shared" si="29"/>
        <v>2448115.322883226</v>
      </c>
      <c r="AS38" s="30"/>
      <c r="AU38" s="92">
        <f t="shared" si="21"/>
        <v>1788.8387876827489</v>
      </c>
      <c r="AV38" s="92" t="e">
        <f t="shared" si="22"/>
        <v>#DIV/0!</v>
      </c>
      <c r="AW38" s="92" t="e">
        <f t="shared" si="23"/>
        <v>#DIV/0!</v>
      </c>
    </row>
    <row r="39" spans="1:49">
      <c r="A39" s="9">
        <f t="shared" si="24"/>
        <v>42552</v>
      </c>
      <c r="B39" s="43"/>
      <c r="C39" s="43"/>
      <c r="D39" s="41"/>
      <c r="E39" s="41"/>
      <c r="F39" s="41">
        <v>119.25999999999999</v>
      </c>
      <c r="G39" s="41">
        <v>1241.04</v>
      </c>
      <c r="H39" s="41"/>
      <c r="I39" s="41"/>
      <c r="J39" s="41">
        <v>6.12</v>
      </c>
      <c r="K39" s="41"/>
      <c r="L39" s="41"/>
      <c r="M39" s="41"/>
      <c r="N39" s="6">
        <f t="shared" si="25"/>
        <v>1366.4199999999998</v>
      </c>
      <c r="P39" s="9">
        <f t="shared" si="26"/>
        <v>42552</v>
      </c>
      <c r="Q39" s="43"/>
      <c r="R39" s="43"/>
      <c r="S39" s="41"/>
      <c r="T39" s="41"/>
      <c r="U39" s="41">
        <v>10937473.66</v>
      </c>
      <c r="V39" s="41">
        <v>144917243.72000003</v>
      </c>
      <c r="W39" s="41"/>
      <c r="X39" s="41"/>
      <c r="Y39" s="41">
        <v>809391.05</v>
      </c>
      <c r="Z39" s="41"/>
      <c r="AA39" s="41"/>
      <c r="AB39" s="41"/>
      <c r="AC39" s="6">
        <f t="shared" si="27"/>
        <v>156664108.43000004</v>
      </c>
      <c r="AD39" s="40"/>
      <c r="AE39" s="9">
        <f t="shared" si="28"/>
        <v>42552</v>
      </c>
      <c r="AF39" s="43"/>
      <c r="AG39" s="43"/>
      <c r="AH39" s="41"/>
      <c r="AI39" s="41"/>
      <c r="AJ39" s="41">
        <v>160589.39402349919</v>
      </c>
      <c r="AK39" s="41">
        <v>2125268.5780277569</v>
      </c>
      <c r="AL39" s="41"/>
      <c r="AM39" s="41"/>
      <c r="AN39" s="41">
        <v>11867.903958944282</v>
      </c>
      <c r="AO39" s="41"/>
      <c r="AP39" s="41"/>
      <c r="AQ39" s="41"/>
      <c r="AR39" s="6">
        <f t="shared" si="29"/>
        <v>2297725.8760102</v>
      </c>
      <c r="AS39" s="30"/>
      <c r="AU39" s="92">
        <f t="shared" si="21"/>
        <v>1712.4899906753667</v>
      </c>
      <c r="AV39" s="92" t="e">
        <f t="shared" si="22"/>
        <v>#DIV/0!</v>
      </c>
      <c r="AW39" s="92" t="e">
        <f t="shared" si="23"/>
        <v>#DIV/0!</v>
      </c>
    </row>
    <row r="40" spans="1:49">
      <c r="A40" s="9">
        <f t="shared" si="24"/>
        <v>42583</v>
      </c>
      <c r="B40" s="43"/>
      <c r="C40" s="43"/>
      <c r="D40" s="41"/>
      <c r="E40" s="41"/>
      <c r="F40" s="41">
        <v>29.73</v>
      </c>
      <c r="G40" s="41">
        <v>810.72</v>
      </c>
      <c r="H40" s="41"/>
      <c r="I40" s="41"/>
      <c r="J40" s="41"/>
      <c r="K40" s="41">
        <v>30</v>
      </c>
      <c r="L40" s="41"/>
      <c r="M40" s="41"/>
      <c r="N40" s="6">
        <f t="shared" si="25"/>
        <v>870.45</v>
      </c>
      <c r="P40" s="9">
        <f t="shared" si="26"/>
        <v>42583</v>
      </c>
      <c r="Q40" s="43"/>
      <c r="R40" s="43"/>
      <c r="S40" s="41"/>
      <c r="T40" s="41"/>
      <c r="U40" s="41">
        <v>3019009.0300000003</v>
      </c>
      <c r="V40" s="41">
        <v>96041761.320000023</v>
      </c>
      <c r="W40" s="41"/>
      <c r="X40" s="41"/>
      <c r="Y40" s="41"/>
      <c r="Z40" s="41">
        <v>2566031.2599999998</v>
      </c>
      <c r="AA40" s="41"/>
      <c r="AB40" s="41"/>
      <c r="AC40" s="6">
        <f t="shared" si="27"/>
        <v>101626801.61000003</v>
      </c>
      <c r="AD40" s="40"/>
      <c r="AE40" s="9">
        <f t="shared" si="28"/>
        <v>42583</v>
      </c>
      <c r="AF40" s="43"/>
      <c r="AG40" s="43"/>
      <c r="AH40" s="41"/>
      <c r="AI40" s="41"/>
      <c r="AJ40" s="41">
        <v>44420.103096328101</v>
      </c>
      <c r="AK40" s="41">
        <v>1416424.4098443578</v>
      </c>
      <c r="AL40" s="41"/>
      <c r="AM40" s="41"/>
      <c r="AN40" s="41"/>
      <c r="AO40" s="41">
        <v>37875.000147601473</v>
      </c>
      <c r="AP40" s="41"/>
      <c r="AQ40" s="41"/>
      <c r="AR40" s="6">
        <f t="shared" si="29"/>
        <v>1498719.5130882873</v>
      </c>
      <c r="AS40" s="30"/>
      <c r="AU40" s="92">
        <f t="shared" si="21"/>
        <v>1747.1191161490499</v>
      </c>
      <c r="AV40" s="92" t="e">
        <f t="shared" si="22"/>
        <v>#DIV/0!</v>
      </c>
      <c r="AW40" s="92" t="e">
        <f t="shared" si="23"/>
        <v>#DIV/0!</v>
      </c>
    </row>
    <row r="41" spans="1:49">
      <c r="A41" s="9">
        <f t="shared" si="24"/>
        <v>42614</v>
      </c>
      <c r="B41" s="43"/>
      <c r="C41" s="43"/>
      <c r="D41" s="41"/>
      <c r="E41" s="41"/>
      <c r="F41" s="41">
        <v>78.740000000000009</v>
      </c>
      <c r="G41" s="41">
        <v>582.38000000000011</v>
      </c>
      <c r="H41" s="41"/>
      <c r="I41" s="41"/>
      <c r="J41" s="41"/>
      <c r="K41" s="41">
        <v>30</v>
      </c>
      <c r="L41" s="41">
        <v>60</v>
      </c>
      <c r="M41" s="41"/>
      <c r="N41" s="6">
        <f t="shared" si="25"/>
        <v>751.12000000000012</v>
      </c>
      <c r="P41" s="9">
        <f t="shared" si="26"/>
        <v>42614</v>
      </c>
      <c r="Q41" s="43"/>
      <c r="R41" s="43"/>
      <c r="S41" s="41"/>
      <c r="T41" s="41"/>
      <c r="U41" s="41">
        <v>6526676.3700000001</v>
      </c>
      <c r="V41" s="41">
        <v>72103597.730000004</v>
      </c>
      <c r="W41" s="41"/>
      <c r="X41" s="41"/>
      <c r="Y41" s="41"/>
      <c r="Z41" s="41">
        <v>2568871.88</v>
      </c>
      <c r="AA41" s="41">
        <v>4893836.33</v>
      </c>
      <c r="AB41" s="41"/>
      <c r="AC41" s="6">
        <f t="shared" si="27"/>
        <v>86092982.310000002</v>
      </c>
      <c r="AD41" s="40"/>
      <c r="AE41" s="9">
        <f t="shared" si="28"/>
        <v>42614</v>
      </c>
      <c r="AF41" s="43"/>
      <c r="AG41" s="43"/>
      <c r="AH41" s="41"/>
      <c r="AI41" s="41"/>
      <c r="AJ41" s="41">
        <v>96121.890574374062</v>
      </c>
      <c r="AK41" s="41">
        <v>1063348.8463768619</v>
      </c>
      <c r="AL41" s="41"/>
      <c r="AM41" s="41"/>
      <c r="AN41" s="41"/>
      <c r="AO41" s="41">
        <v>37833.164653902793</v>
      </c>
      <c r="AP41" s="41">
        <v>72153.244723247233</v>
      </c>
      <c r="AQ41" s="41"/>
      <c r="AR41" s="6">
        <f t="shared" si="29"/>
        <v>1269457.1463283859</v>
      </c>
      <c r="AS41" s="30"/>
      <c r="AU41" s="92">
        <f t="shared" si="21"/>
        <v>1825.8677261871317</v>
      </c>
      <c r="AV41" s="92" t="e">
        <f t="shared" si="22"/>
        <v>#DIV/0!</v>
      </c>
      <c r="AW41" s="92" t="e">
        <f t="shared" si="23"/>
        <v>#DIV/0!</v>
      </c>
    </row>
    <row r="42" spans="1:49">
      <c r="A42" s="9">
        <f t="shared" si="24"/>
        <v>42644</v>
      </c>
      <c r="B42" s="43"/>
      <c r="C42" s="43"/>
      <c r="D42" s="41"/>
      <c r="E42" s="41"/>
      <c r="F42" s="41"/>
      <c r="G42" s="41">
        <v>427.95</v>
      </c>
      <c r="H42" s="41"/>
      <c r="I42" s="41"/>
      <c r="J42" s="41"/>
      <c r="K42" s="41">
        <v>30</v>
      </c>
      <c r="L42" s="41">
        <v>15</v>
      </c>
      <c r="M42" s="41"/>
      <c r="N42" s="6">
        <f t="shared" si="25"/>
        <v>472.95</v>
      </c>
      <c r="P42" s="9">
        <f t="shared" si="26"/>
        <v>42644</v>
      </c>
      <c r="Q42" s="43"/>
      <c r="R42" s="43"/>
      <c r="S42" s="41"/>
      <c r="T42" s="41"/>
      <c r="U42" s="41"/>
      <c r="V42" s="41">
        <v>54107542.210000001</v>
      </c>
      <c r="W42" s="41"/>
      <c r="X42" s="41"/>
      <c r="Y42" s="41"/>
      <c r="Z42" s="41">
        <v>2618889.6</v>
      </c>
      <c r="AA42" s="41">
        <v>1221430.8799999999</v>
      </c>
      <c r="AB42" s="41"/>
      <c r="AC42" s="6">
        <f t="shared" si="27"/>
        <v>57947862.690000005</v>
      </c>
      <c r="AD42" s="40"/>
      <c r="AE42" s="9">
        <f t="shared" si="28"/>
        <v>42644</v>
      </c>
      <c r="AF42" s="43"/>
      <c r="AG42" s="43"/>
      <c r="AH42" s="41"/>
      <c r="AI42" s="41"/>
      <c r="AJ42" s="41"/>
      <c r="AK42" s="41">
        <v>802040.78150744853</v>
      </c>
      <c r="AL42" s="41"/>
      <c r="AM42" s="41"/>
      <c r="AN42" s="41"/>
      <c r="AO42" s="41">
        <v>38784</v>
      </c>
      <c r="AP42" s="41">
        <v>18095.272296296294</v>
      </c>
      <c r="AQ42" s="41"/>
      <c r="AR42" s="6">
        <f t="shared" si="29"/>
        <v>858920.05380374484</v>
      </c>
      <c r="AS42" s="30"/>
      <c r="AU42" s="92">
        <f t="shared" si="21"/>
        <v>1874.1460018867824</v>
      </c>
      <c r="AV42" s="92" t="e">
        <f t="shared" si="22"/>
        <v>#DIV/0!</v>
      </c>
      <c r="AW42" s="92" t="e">
        <f t="shared" si="23"/>
        <v>#DIV/0!</v>
      </c>
    </row>
    <row r="43" spans="1:49">
      <c r="A43" s="9">
        <f t="shared" si="24"/>
        <v>42675</v>
      </c>
      <c r="B43" s="43"/>
      <c r="C43" s="43"/>
      <c r="D43" s="41"/>
      <c r="E43" s="41"/>
      <c r="F43" s="41"/>
      <c r="G43" s="41">
        <v>664.4899999999999</v>
      </c>
      <c r="H43" s="41"/>
      <c r="I43" s="41"/>
      <c r="J43" s="41"/>
      <c r="K43" s="41">
        <v>30</v>
      </c>
      <c r="L43" s="41"/>
      <c r="M43" s="41"/>
      <c r="N43" s="6">
        <f t="shared" si="25"/>
        <v>694.4899999999999</v>
      </c>
      <c r="P43" s="9">
        <f t="shared" si="26"/>
        <v>42675</v>
      </c>
      <c r="Q43" s="43"/>
      <c r="R43" s="43"/>
      <c r="S43" s="41"/>
      <c r="T43" s="41"/>
      <c r="U43" s="41"/>
      <c r="V43" s="41">
        <v>96737913.289999992</v>
      </c>
      <c r="W43" s="41"/>
      <c r="X43" s="41"/>
      <c r="Y43" s="41"/>
      <c r="Z43" s="41">
        <v>2621798.3999999999</v>
      </c>
      <c r="AA43" s="41"/>
      <c r="AB43" s="41"/>
      <c r="AC43" s="6">
        <f t="shared" si="27"/>
        <v>99359711.689999998</v>
      </c>
      <c r="AD43" s="40"/>
      <c r="AE43" s="9">
        <f t="shared" si="28"/>
        <v>42675</v>
      </c>
      <c r="AF43" s="43"/>
      <c r="AG43" s="43"/>
      <c r="AH43" s="41"/>
      <c r="AI43" s="41"/>
      <c r="AJ43" s="41"/>
      <c r="AK43" s="41">
        <v>1426679.1400000001</v>
      </c>
      <c r="AL43" s="41"/>
      <c r="AM43" s="41"/>
      <c r="AN43" s="41"/>
      <c r="AO43" s="41">
        <v>38445.770000000004</v>
      </c>
      <c r="AP43" s="41"/>
      <c r="AQ43" s="41"/>
      <c r="AR43" s="6">
        <f t="shared" si="29"/>
        <v>1465124.9100000001</v>
      </c>
      <c r="AS43" s="30"/>
      <c r="AU43" s="92">
        <f t="shared" si="21"/>
        <v>2147.0287588978017</v>
      </c>
      <c r="AV43" s="92" t="e">
        <f t="shared" si="22"/>
        <v>#DIV/0!</v>
      </c>
      <c r="AW43" s="92" t="e">
        <f t="shared" si="23"/>
        <v>#DIV/0!</v>
      </c>
    </row>
    <row r="44" spans="1:49">
      <c r="A44" s="9">
        <f t="shared" si="24"/>
        <v>42705</v>
      </c>
      <c r="B44" s="43"/>
      <c r="C44" s="43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6">
        <f t="shared" si="25"/>
        <v>0</v>
      </c>
      <c r="P44" s="9">
        <f t="shared" si="26"/>
        <v>42705</v>
      </c>
      <c r="Q44" s="43"/>
      <c r="R44" s="43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6">
        <f t="shared" si="27"/>
        <v>0</v>
      </c>
      <c r="AD44" s="40"/>
      <c r="AE44" s="9">
        <f t="shared" si="28"/>
        <v>42705</v>
      </c>
      <c r="AF44" s="43"/>
      <c r="AG44" s="43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6">
        <f t="shared" si="29"/>
        <v>0</v>
      </c>
      <c r="AS44" s="30"/>
      <c r="AU44" s="92" t="e">
        <f t="shared" si="21"/>
        <v>#DIV/0!</v>
      </c>
      <c r="AV44" s="92" t="e">
        <f t="shared" si="22"/>
        <v>#DIV/0!</v>
      </c>
      <c r="AW44" s="92" t="e">
        <f t="shared" si="23"/>
        <v>#DIV/0!</v>
      </c>
    </row>
    <row r="45" spans="1:49">
      <c r="A45" s="9">
        <f t="shared" si="24"/>
        <v>42736</v>
      </c>
      <c r="B45" s="43"/>
      <c r="C45" s="43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6">
        <f t="shared" si="25"/>
        <v>0</v>
      </c>
      <c r="P45" s="9">
        <f t="shared" si="26"/>
        <v>42736</v>
      </c>
      <c r="Q45" s="43"/>
      <c r="R45" s="43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6">
        <f t="shared" si="27"/>
        <v>0</v>
      </c>
      <c r="AD45" s="40"/>
      <c r="AE45" s="9">
        <f t="shared" si="28"/>
        <v>42736</v>
      </c>
      <c r="AF45" s="43"/>
      <c r="AG45" s="43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6">
        <f t="shared" si="29"/>
        <v>0</v>
      </c>
      <c r="AS45" s="30"/>
      <c r="AU45" s="92" t="e">
        <f t="shared" si="21"/>
        <v>#DIV/0!</v>
      </c>
      <c r="AV45" s="92" t="e">
        <f t="shared" si="22"/>
        <v>#DIV/0!</v>
      </c>
      <c r="AW45" s="92" t="e">
        <f t="shared" si="23"/>
        <v>#DIV/0!</v>
      </c>
    </row>
    <row r="46" spans="1:49">
      <c r="A46" s="9">
        <f t="shared" si="24"/>
        <v>42767</v>
      </c>
      <c r="B46" s="43"/>
      <c r="C46" s="43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6">
        <f t="shared" si="25"/>
        <v>0</v>
      </c>
      <c r="P46" s="9">
        <f t="shared" si="26"/>
        <v>42767</v>
      </c>
      <c r="Q46" s="43"/>
      <c r="R46" s="43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6">
        <f t="shared" si="27"/>
        <v>0</v>
      </c>
      <c r="AD46" s="40"/>
      <c r="AE46" s="9">
        <f t="shared" si="28"/>
        <v>42767</v>
      </c>
      <c r="AF46" s="43"/>
      <c r="AG46" s="43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6">
        <f t="shared" si="29"/>
        <v>0</v>
      </c>
      <c r="AS46" s="30"/>
      <c r="AU46" s="92" t="e">
        <f t="shared" si="21"/>
        <v>#DIV/0!</v>
      </c>
      <c r="AV46" s="92" t="e">
        <f t="shared" si="22"/>
        <v>#DIV/0!</v>
      </c>
      <c r="AW46" s="92" t="e">
        <f t="shared" si="23"/>
        <v>#DIV/0!</v>
      </c>
    </row>
    <row r="47" spans="1:49">
      <c r="A47" s="9">
        <f t="shared" si="24"/>
        <v>42795</v>
      </c>
      <c r="B47" s="43"/>
      <c r="C47" s="43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6">
        <f t="shared" si="25"/>
        <v>0</v>
      </c>
      <c r="P47" s="9">
        <f t="shared" si="26"/>
        <v>42795</v>
      </c>
      <c r="Q47" s="43"/>
      <c r="R47" s="43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6">
        <f t="shared" si="27"/>
        <v>0</v>
      </c>
      <c r="AD47" s="40"/>
      <c r="AE47" s="9">
        <f t="shared" si="28"/>
        <v>42795</v>
      </c>
      <c r="AF47" s="43"/>
      <c r="AG47" s="43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6">
        <f t="shared" si="29"/>
        <v>0</v>
      </c>
      <c r="AS47" s="30"/>
      <c r="AU47" s="92" t="e">
        <f t="shared" si="21"/>
        <v>#DIV/0!</v>
      </c>
      <c r="AV47" s="92" t="e">
        <f t="shared" si="22"/>
        <v>#DIV/0!</v>
      </c>
      <c r="AW47" s="92" t="e">
        <f t="shared" si="23"/>
        <v>#DIV/0!</v>
      </c>
    </row>
    <row r="48" spans="1:49">
      <c r="A48" s="128" t="s">
        <v>4</v>
      </c>
      <c r="B48" s="91">
        <f>SUM(B36:B47)</f>
        <v>0</v>
      </c>
      <c r="C48" s="91">
        <f t="shared" ref="C48:M48" si="30">SUM(C36:C47)</f>
        <v>0</v>
      </c>
      <c r="D48" s="91">
        <f t="shared" si="30"/>
        <v>0</v>
      </c>
      <c r="E48" s="91">
        <f t="shared" si="30"/>
        <v>0</v>
      </c>
      <c r="F48" s="91">
        <f t="shared" si="30"/>
        <v>451.4</v>
      </c>
      <c r="G48" s="91">
        <f t="shared" si="30"/>
        <v>6410.6799999999994</v>
      </c>
      <c r="H48" s="91">
        <f t="shared" si="30"/>
        <v>0</v>
      </c>
      <c r="I48" s="91">
        <f t="shared" si="30"/>
        <v>0</v>
      </c>
      <c r="J48" s="91">
        <f t="shared" si="30"/>
        <v>6.12</v>
      </c>
      <c r="K48" s="91">
        <f t="shared" si="30"/>
        <v>120</v>
      </c>
      <c r="L48" s="91">
        <f t="shared" si="30"/>
        <v>82.2</v>
      </c>
      <c r="M48" s="91">
        <f t="shared" si="30"/>
        <v>7.8</v>
      </c>
      <c r="N48" s="127">
        <f t="shared" si="25"/>
        <v>7078.1999999999989</v>
      </c>
      <c r="O48" s="40"/>
      <c r="P48" s="128" t="s">
        <v>4</v>
      </c>
      <c r="Q48" s="91">
        <f>SUM(Q36:Q47)</f>
        <v>0</v>
      </c>
      <c r="R48" s="91">
        <f t="shared" ref="R48:AB48" si="31">SUM(R36:R47)</f>
        <v>0</v>
      </c>
      <c r="S48" s="91">
        <f t="shared" si="31"/>
        <v>0</v>
      </c>
      <c r="T48" s="91">
        <f t="shared" si="31"/>
        <v>0</v>
      </c>
      <c r="U48" s="91">
        <f t="shared" si="31"/>
        <v>40816198.369999997</v>
      </c>
      <c r="V48" s="91">
        <f t="shared" si="31"/>
        <v>755043223.57000005</v>
      </c>
      <c r="W48" s="91">
        <f t="shared" si="31"/>
        <v>0</v>
      </c>
      <c r="X48" s="91">
        <f t="shared" si="31"/>
        <v>0</v>
      </c>
      <c r="Y48" s="91">
        <f t="shared" si="31"/>
        <v>809391.05</v>
      </c>
      <c r="Z48" s="91">
        <f t="shared" si="31"/>
        <v>10375591.140000001</v>
      </c>
      <c r="AA48" s="91">
        <f t="shared" si="31"/>
        <v>6667062.9299999997</v>
      </c>
      <c r="AB48" s="91">
        <f t="shared" si="31"/>
        <v>645389.4</v>
      </c>
      <c r="AC48" s="127">
        <f t="shared" si="27"/>
        <v>814356856.45999992</v>
      </c>
      <c r="AD48" s="40"/>
      <c r="AE48" s="128" t="s">
        <v>4</v>
      </c>
      <c r="AF48" s="91">
        <f>SUM(AF36:AF47)</f>
        <v>0</v>
      </c>
      <c r="AG48" s="91">
        <f t="shared" ref="AG48:AQ48" si="32">SUM(AG36:AG47)</f>
        <v>0</v>
      </c>
      <c r="AH48" s="91">
        <f t="shared" si="32"/>
        <v>0</v>
      </c>
      <c r="AI48" s="91">
        <f t="shared" si="32"/>
        <v>0</v>
      </c>
      <c r="AJ48" s="91">
        <f t="shared" si="32"/>
        <v>602535.48683090275</v>
      </c>
      <c r="AK48" s="91">
        <f t="shared" si="32"/>
        <v>11126867.836024743</v>
      </c>
      <c r="AL48" s="91">
        <f t="shared" si="32"/>
        <v>0</v>
      </c>
      <c r="AM48" s="91">
        <f t="shared" si="32"/>
        <v>0</v>
      </c>
      <c r="AN48" s="91">
        <f t="shared" si="32"/>
        <v>11867.903958944282</v>
      </c>
      <c r="AO48" s="91">
        <f t="shared" si="32"/>
        <v>152937.93480150425</v>
      </c>
      <c r="AP48" s="91">
        <f t="shared" si="32"/>
        <v>98357.197695517068</v>
      </c>
      <c r="AQ48" s="91">
        <f t="shared" si="32"/>
        <v>9484.0470242468782</v>
      </c>
      <c r="AR48" s="127">
        <f t="shared" si="29"/>
        <v>12002050.406335859</v>
      </c>
      <c r="AS48" s="30"/>
      <c r="AU48" s="40"/>
      <c r="AV48" s="40"/>
      <c r="AW48" s="40"/>
    </row>
    <row r="49" spans="1:49">
      <c r="A49" s="40"/>
      <c r="D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S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U49" s="40"/>
      <c r="AV49" s="40"/>
      <c r="AW49" s="40"/>
    </row>
    <row r="50" spans="1:49">
      <c r="A50" s="40"/>
      <c r="D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S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U50" s="40"/>
      <c r="AV50" s="40"/>
      <c r="AW50" s="40"/>
    </row>
    <row r="51" spans="1:49">
      <c r="A51" s="25" t="s">
        <v>3</v>
      </c>
      <c r="B51" s="161" t="s">
        <v>133</v>
      </c>
      <c r="C51" s="161" t="s">
        <v>19</v>
      </c>
      <c r="D51" s="161" t="s">
        <v>17</v>
      </c>
      <c r="E51" s="161" t="s">
        <v>134</v>
      </c>
      <c r="F51" s="161" t="s">
        <v>10</v>
      </c>
      <c r="G51" s="161" t="s">
        <v>11</v>
      </c>
      <c r="H51" s="161" t="s">
        <v>12</v>
      </c>
      <c r="I51" s="161" t="s">
        <v>13</v>
      </c>
      <c r="J51" s="161" t="s">
        <v>14</v>
      </c>
      <c r="K51" s="161" t="s">
        <v>18</v>
      </c>
      <c r="L51" s="161" t="s">
        <v>15</v>
      </c>
      <c r="M51" s="161" t="s">
        <v>16</v>
      </c>
      <c r="N51" s="27" t="s">
        <v>20</v>
      </c>
      <c r="O51" s="40"/>
      <c r="P51" s="25" t="s">
        <v>3</v>
      </c>
      <c r="Q51" s="161" t="s">
        <v>133</v>
      </c>
      <c r="R51" s="161" t="s">
        <v>19</v>
      </c>
      <c r="S51" s="161" t="s">
        <v>17</v>
      </c>
      <c r="T51" s="161" t="s">
        <v>134</v>
      </c>
      <c r="U51" s="161" t="s">
        <v>10</v>
      </c>
      <c r="V51" s="161" t="s">
        <v>11</v>
      </c>
      <c r="W51" s="161" t="s">
        <v>12</v>
      </c>
      <c r="X51" s="161" t="s">
        <v>13</v>
      </c>
      <c r="Y51" s="161" t="s">
        <v>14</v>
      </c>
      <c r="Z51" s="161" t="s">
        <v>18</v>
      </c>
      <c r="AA51" s="161" t="s">
        <v>15</v>
      </c>
      <c r="AB51" s="161" t="s">
        <v>16</v>
      </c>
      <c r="AC51" s="27" t="s">
        <v>20</v>
      </c>
      <c r="AD51" s="40"/>
      <c r="AE51" s="25" t="s">
        <v>3</v>
      </c>
      <c r="AF51" s="161" t="s">
        <v>133</v>
      </c>
      <c r="AG51" s="161" t="s">
        <v>19</v>
      </c>
      <c r="AH51" s="161" t="s">
        <v>17</v>
      </c>
      <c r="AI51" s="161" t="s">
        <v>134</v>
      </c>
      <c r="AJ51" s="161" t="s">
        <v>10</v>
      </c>
      <c r="AK51" s="161" t="s">
        <v>11</v>
      </c>
      <c r="AL51" s="161" t="s">
        <v>12</v>
      </c>
      <c r="AM51" s="161" t="s">
        <v>13</v>
      </c>
      <c r="AN51" s="161" t="s">
        <v>14</v>
      </c>
      <c r="AO51" s="161" t="s">
        <v>18</v>
      </c>
      <c r="AP51" s="161" t="s">
        <v>15</v>
      </c>
      <c r="AQ51" s="161" t="s">
        <v>16</v>
      </c>
      <c r="AR51" s="27" t="s">
        <v>20</v>
      </c>
      <c r="AS51" s="163"/>
      <c r="AU51" s="40"/>
      <c r="AV51" s="40"/>
      <c r="AW51" s="40"/>
    </row>
    <row r="52" spans="1:49">
      <c r="A52" s="9">
        <f>A4</f>
        <v>42461</v>
      </c>
      <c r="B52" s="43"/>
      <c r="C52" s="43"/>
      <c r="D52" s="41"/>
      <c r="E52" s="41"/>
      <c r="F52" s="41"/>
      <c r="G52" s="41"/>
      <c r="H52" s="41">
        <v>500.66</v>
      </c>
      <c r="I52" s="41">
        <v>59.23</v>
      </c>
      <c r="J52" s="41"/>
      <c r="K52" s="41"/>
      <c r="L52" s="41"/>
      <c r="M52" s="41"/>
      <c r="N52" s="6">
        <f>SUM(B52:M52)</f>
        <v>559.89</v>
      </c>
      <c r="O52" s="40"/>
      <c r="P52" s="9">
        <f>P4</f>
        <v>42461</v>
      </c>
      <c r="Q52" s="43"/>
      <c r="R52" s="43"/>
      <c r="S52" s="41"/>
      <c r="T52" s="41"/>
      <c r="U52" s="41"/>
      <c r="V52" s="41"/>
      <c r="W52" s="41">
        <v>49923631.75</v>
      </c>
      <c r="X52" s="41">
        <v>5814727.5599999996</v>
      </c>
      <c r="Y52" s="41"/>
      <c r="Z52" s="41"/>
      <c r="AA52" s="41"/>
      <c r="AB52" s="41"/>
      <c r="AC52" s="6">
        <f>SUM(Q52:AB52)</f>
        <v>55738359.310000002</v>
      </c>
      <c r="AD52" s="40"/>
      <c r="AE52" s="9">
        <f>AE4</f>
        <v>42461</v>
      </c>
      <c r="AF52" s="43"/>
      <c r="AG52" s="43"/>
      <c r="AH52" s="41"/>
      <c r="AI52" s="41"/>
      <c r="AJ52" s="41"/>
      <c r="AK52" s="41"/>
      <c r="AL52" s="41">
        <v>741283.29872446449</v>
      </c>
      <c r="AM52" s="41">
        <v>86916.704932735418</v>
      </c>
      <c r="AN52" s="41"/>
      <c r="AO52" s="41"/>
      <c r="AP52" s="41"/>
      <c r="AQ52" s="41"/>
      <c r="AR52" s="6">
        <f>SUM(AF52:AQ52)</f>
        <v>828200.00365719991</v>
      </c>
      <c r="AS52" s="30"/>
      <c r="AU52" s="92" t="e">
        <f t="shared" ref="AU52:AU63" si="33">+AK52/G52</f>
        <v>#DIV/0!</v>
      </c>
      <c r="AV52" s="92">
        <f t="shared" ref="AV52:AV63" si="34">+AL52/H52</f>
        <v>1480.612189358975</v>
      </c>
      <c r="AW52" s="92">
        <f t="shared" ref="AW52:AW63" si="35">+AM52/I52</f>
        <v>1467.4439461883408</v>
      </c>
    </row>
    <row r="53" spans="1:49">
      <c r="A53" s="9">
        <f t="shared" ref="A53:A63" si="36">A5</f>
        <v>42491</v>
      </c>
      <c r="B53" s="43"/>
      <c r="C53" s="43"/>
      <c r="D53" s="41"/>
      <c r="E53" s="41"/>
      <c r="F53" s="41"/>
      <c r="G53" s="41">
        <v>600.5</v>
      </c>
      <c r="H53" s="41">
        <v>300.39999999999998</v>
      </c>
      <c r="I53" s="41"/>
      <c r="J53" s="41"/>
      <c r="K53" s="41"/>
      <c r="L53" s="41"/>
      <c r="M53" s="41"/>
      <c r="N53" s="6">
        <f t="shared" ref="N53:N64" si="37">SUM(B53:M53)</f>
        <v>900.9</v>
      </c>
      <c r="O53" s="40"/>
      <c r="P53" s="9">
        <f t="shared" ref="P53:P63" si="38">P5</f>
        <v>42491</v>
      </c>
      <c r="Q53" s="43"/>
      <c r="R53" s="43"/>
      <c r="S53" s="41"/>
      <c r="T53" s="41"/>
      <c r="U53" s="41"/>
      <c r="V53" s="41">
        <v>81825344.680000007</v>
      </c>
      <c r="W53" s="41">
        <v>39237900.140000001</v>
      </c>
      <c r="X53" s="41"/>
      <c r="Y53" s="41"/>
      <c r="Z53" s="41"/>
      <c r="AA53" s="41"/>
      <c r="AB53" s="41"/>
      <c r="AC53" s="6">
        <f t="shared" ref="AC53:AC64" si="39">SUM(Q53:AB53)</f>
        <v>121063244.82000001</v>
      </c>
      <c r="AD53" s="40"/>
      <c r="AE53" s="9">
        <f t="shared" ref="AE53:AE63" si="40">AE5</f>
        <v>42491</v>
      </c>
      <c r="AF53" s="43"/>
      <c r="AG53" s="43"/>
      <c r="AH53" s="41"/>
      <c r="AI53" s="41"/>
      <c r="AJ53" s="41"/>
      <c r="AK53" s="41">
        <v>1207834.1405448997</v>
      </c>
      <c r="AL53" s="41">
        <v>581742.09610295971</v>
      </c>
      <c r="AM53" s="41"/>
      <c r="AN53" s="41"/>
      <c r="AO53" s="41"/>
      <c r="AP53" s="41"/>
      <c r="AQ53" s="41"/>
      <c r="AR53" s="6">
        <f t="shared" ref="AR53:AR64" si="41">SUM(AF53:AQ53)</f>
        <v>1789576.2366478594</v>
      </c>
      <c r="AS53" s="30"/>
      <c r="AU53" s="92">
        <f t="shared" si="33"/>
        <v>2011.3807502829304</v>
      </c>
      <c r="AV53" s="92">
        <f t="shared" si="34"/>
        <v>1936.5582426862841</v>
      </c>
      <c r="AW53" s="92" t="e">
        <f t="shared" si="35"/>
        <v>#DIV/0!</v>
      </c>
    </row>
    <row r="54" spans="1:49">
      <c r="A54" s="9">
        <f t="shared" si="36"/>
        <v>42522</v>
      </c>
      <c r="B54" s="43"/>
      <c r="C54" s="43"/>
      <c r="D54" s="41"/>
      <c r="E54" s="41"/>
      <c r="F54" s="41"/>
      <c r="G54" s="41">
        <v>160.26</v>
      </c>
      <c r="H54" s="41">
        <v>600.92000000000007</v>
      </c>
      <c r="I54" s="41"/>
      <c r="J54" s="41"/>
      <c r="K54" s="41"/>
      <c r="L54" s="41"/>
      <c r="M54" s="41"/>
      <c r="N54" s="6">
        <f t="shared" si="37"/>
        <v>761.18000000000006</v>
      </c>
      <c r="O54" s="40"/>
      <c r="P54" s="9">
        <f t="shared" si="38"/>
        <v>42522</v>
      </c>
      <c r="Q54" s="43"/>
      <c r="R54" s="43"/>
      <c r="S54" s="41"/>
      <c r="T54" s="41"/>
      <c r="U54" s="41"/>
      <c r="V54" s="41">
        <v>21537541.780000001</v>
      </c>
      <c r="W54" s="41">
        <v>75889059.159999996</v>
      </c>
      <c r="X54" s="41"/>
      <c r="Y54" s="41"/>
      <c r="Z54" s="41"/>
      <c r="AA54" s="41"/>
      <c r="AB54" s="41"/>
      <c r="AC54" s="6">
        <f t="shared" si="39"/>
        <v>97426600.939999998</v>
      </c>
      <c r="AD54" s="40"/>
      <c r="AE54" s="9">
        <f t="shared" si="40"/>
        <v>42522</v>
      </c>
      <c r="AF54" s="43"/>
      <c r="AG54" s="43"/>
      <c r="AH54" s="41"/>
      <c r="AI54" s="41"/>
      <c r="AJ54" s="41"/>
      <c r="AK54" s="41">
        <v>315630.41930918081</v>
      </c>
      <c r="AL54" s="41">
        <v>1113814.5757141798</v>
      </c>
      <c r="AM54" s="41"/>
      <c r="AN54" s="41"/>
      <c r="AO54" s="41"/>
      <c r="AP54" s="41"/>
      <c r="AQ54" s="41"/>
      <c r="AR54" s="6">
        <f t="shared" si="41"/>
        <v>1429444.9950233605</v>
      </c>
      <c r="AS54" s="30"/>
      <c r="AU54" s="92">
        <f t="shared" si="33"/>
        <v>1969.4896999200103</v>
      </c>
      <c r="AV54" s="92">
        <f t="shared" si="34"/>
        <v>1853.515568984523</v>
      </c>
      <c r="AW54" s="92" t="e">
        <f t="shared" si="35"/>
        <v>#DIV/0!</v>
      </c>
    </row>
    <row r="55" spans="1:49">
      <c r="A55" s="9">
        <f t="shared" si="36"/>
        <v>42552</v>
      </c>
      <c r="B55" s="43"/>
      <c r="C55" s="43"/>
      <c r="D55" s="41"/>
      <c r="E55" s="41"/>
      <c r="F55" s="41"/>
      <c r="G55" s="41">
        <v>580.63999999999987</v>
      </c>
      <c r="H55" s="41">
        <v>540.77</v>
      </c>
      <c r="I55" s="41"/>
      <c r="J55" s="41"/>
      <c r="K55" s="41"/>
      <c r="L55" s="41">
        <v>11.2</v>
      </c>
      <c r="M55" s="41"/>
      <c r="N55" s="6">
        <f t="shared" si="37"/>
        <v>1132.6099999999999</v>
      </c>
      <c r="O55" s="40"/>
      <c r="P55" s="9">
        <f t="shared" si="38"/>
        <v>42552</v>
      </c>
      <c r="Q55" s="43"/>
      <c r="R55" s="43"/>
      <c r="S55" s="41"/>
      <c r="T55" s="41"/>
      <c r="U55" s="41"/>
      <c r="V55" s="41">
        <v>68111311.379999995</v>
      </c>
      <c r="W55" s="41">
        <v>68553622.939999998</v>
      </c>
      <c r="X55" s="41"/>
      <c r="Y55" s="41"/>
      <c r="Z55" s="41"/>
      <c r="AA55" s="41">
        <v>1039205.16</v>
      </c>
      <c r="AB55" s="41"/>
      <c r="AC55" s="6">
        <f t="shared" si="39"/>
        <v>137704139.47999999</v>
      </c>
      <c r="AD55" s="40"/>
      <c r="AE55" s="9">
        <f t="shared" si="40"/>
        <v>42552</v>
      </c>
      <c r="AF55" s="43"/>
      <c r="AG55" s="43"/>
      <c r="AH55" s="41"/>
      <c r="AI55" s="41"/>
      <c r="AJ55" s="41"/>
      <c r="AK55" s="41">
        <v>999306.78138076211</v>
      </c>
      <c r="AL55" s="41">
        <v>1005648.1762731209</v>
      </c>
      <c r="AM55" s="41"/>
      <c r="AN55" s="41"/>
      <c r="AO55" s="41"/>
      <c r="AP55" s="41">
        <v>15237.612316715542</v>
      </c>
      <c r="AQ55" s="41"/>
      <c r="AR55" s="6">
        <f t="shared" si="41"/>
        <v>2020192.5699705984</v>
      </c>
      <c r="AS55" s="30"/>
      <c r="AU55" s="92">
        <f t="shared" si="33"/>
        <v>1721.0436438770362</v>
      </c>
      <c r="AV55" s="92">
        <f t="shared" si="34"/>
        <v>1859.6597005623851</v>
      </c>
      <c r="AW55" s="92" t="e">
        <f t="shared" si="35"/>
        <v>#DIV/0!</v>
      </c>
    </row>
    <row r="56" spans="1:49">
      <c r="A56" s="9">
        <f t="shared" si="36"/>
        <v>42583</v>
      </c>
      <c r="B56" s="43"/>
      <c r="C56" s="43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6">
        <f t="shared" si="37"/>
        <v>0</v>
      </c>
      <c r="O56" s="40"/>
      <c r="P56" s="9">
        <f t="shared" si="38"/>
        <v>42583</v>
      </c>
      <c r="Q56" s="43"/>
      <c r="R56" s="43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6">
        <f t="shared" si="39"/>
        <v>0</v>
      </c>
      <c r="AD56" s="40"/>
      <c r="AE56" s="9">
        <f t="shared" si="40"/>
        <v>42583</v>
      </c>
      <c r="AF56" s="43"/>
      <c r="AG56" s="43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6">
        <f t="shared" si="41"/>
        <v>0</v>
      </c>
      <c r="AS56" s="30"/>
      <c r="AU56" s="92" t="e">
        <f t="shared" si="33"/>
        <v>#DIV/0!</v>
      </c>
      <c r="AV56" s="92" t="e">
        <f t="shared" si="34"/>
        <v>#DIV/0!</v>
      </c>
      <c r="AW56" s="92" t="e">
        <f t="shared" si="35"/>
        <v>#DIV/0!</v>
      </c>
    </row>
    <row r="57" spans="1:49">
      <c r="A57" s="9">
        <f t="shared" si="36"/>
        <v>42614</v>
      </c>
      <c r="B57" s="43"/>
      <c r="C57" s="43"/>
      <c r="D57" s="41"/>
      <c r="E57" s="41"/>
      <c r="F57" s="41"/>
      <c r="G57" s="41"/>
      <c r="H57" s="41">
        <v>501.04999999999995</v>
      </c>
      <c r="I57" s="41"/>
      <c r="J57" s="41"/>
      <c r="K57" s="41"/>
      <c r="L57" s="41"/>
      <c r="M57" s="41"/>
      <c r="N57" s="6">
        <f t="shared" si="37"/>
        <v>501.04999999999995</v>
      </c>
      <c r="O57" s="40"/>
      <c r="P57" s="9">
        <f t="shared" si="38"/>
        <v>42614</v>
      </c>
      <c r="Q57" s="43"/>
      <c r="R57" s="43"/>
      <c r="S57" s="41"/>
      <c r="T57" s="41"/>
      <c r="U57" s="41"/>
      <c r="V57" s="41"/>
      <c r="W57" s="41">
        <v>65540440.50999999</v>
      </c>
      <c r="X57" s="41"/>
      <c r="Y57" s="41"/>
      <c r="Z57" s="41"/>
      <c r="AA57" s="41"/>
      <c r="AB57" s="41"/>
      <c r="AC57" s="6">
        <f t="shared" si="39"/>
        <v>65540440.50999999</v>
      </c>
      <c r="AD57" s="40"/>
      <c r="AE57" s="9">
        <f t="shared" si="40"/>
        <v>42614</v>
      </c>
      <c r="AF57" s="43"/>
      <c r="AG57" s="43"/>
      <c r="AH57" s="41"/>
      <c r="AI57" s="41"/>
      <c r="AJ57" s="41"/>
      <c r="AK57" s="41"/>
      <c r="AL57" s="41">
        <v>966385.45095424668</v>
      </c>
      <c r="AM57" s="41"/>
      <c r="AN57" s="41"/>
      <c r="AO57" s="41"/>
      <c r="AP57" s="41"/>
      <c r="AQ57" s="41"/>
      <c r="AR57" s="6">
        <f t="shared" si="41"/>
        <v>966385.45095424668</v>
      </c>
      <c r="AS57" s="30"/>
      <c r="AU57" s="92" t="e">
        <f t="shared" si="33"/>
        <v>#DIV/0!</v>
      </c>
      <c r="AV57" s="92">
        <f t="shared" si="34"/>
        <v>1928.7205886722818</v>
      </c>
      <c r="AW57" s="92" t="e">
        <f t="shared" si="35"/>
        <v>#DIV/0!</v>
      </c>
    </row>
    <row r="58" spans="1:49">
      <c r="A58" s="9">
        <f t="shared" si="36"/>
        <v>42644</v>
      </c>
      <c r="B58" s="43"/>
      <c r="C58" s="43"/>
      <c r="D58" s="41"/>
      <c r="E58" s="41"/>
      <c r="F58" s="41"/>
      <c r="G58" s="41"/>
      <c r="H58" s="41">
        <v>480.87</v>
      </c>
      <c r="I58" s="41">
        <v>39.42</v>
      </c>
      <c r="J58" s="41"/>
      <c r="K58" s="41"/>
      <c r="L58" s="41"/>
      <c r="M58" s="41"/>
      <c r="N58" s="6">
        <f t="shared" si="37"/>
        <v>520.29</v>
      </c>
      <c r="O58" s="40"/>
      <c r="P58" s="9">
        <f t="shared" si="38"/>
        <v>42644</v>
      </c>
      <c r="Q58" s="43"/>
      <c r="R58" s="43"/>
      <c r="S58" s="41"/>
      <c r="T58" s="41"/>
      <c r="U58" s="41"/>
      <c r="V58" s="41"/>
      <c r="W58" s="41">
        <v>71612993.799999997</v>
      </c>
      <c r="X58" s="41">
        <v>5251761.53</v>
      </c>
      <c r="Y58" s="41"/>
      <c r="Z58" s="41"/>
      <c r="AA58" s="41"/>
      <c r="AB58" s="41"/>
      <c r="AC58" s="6">
        <f t="shared" si="39"/>
        <v>76864755.329999998</v>
      </c>
      <c r="AD58" s="40"/>
      <c r="AE58" s="9">
        <f t="shared" si="40"/>
        <v>42644</v>
      </c>
      <c r="AF58" s="43"/>
      <c r="AG58" s="43"/>
      <c r="AH58" s="41"/>
      <c r="AI58" s="41"/>
      <c r="AJ58" s="41"/>
      <c r="AK58" s="41"/>
      <c r="AL58" s="41">
        <v>1060761.7134074075</v>
      </c>
      <c r="AM58" s="41">
        <v>77516.775350553507</v>
      </c>
      <c r="AN58" s="41"/>
      <c r="AO58" s="41"/>
      <c r="AP58" s="41"/>
      <c r="AQ58" s="41"/>
      <c r="AR58" s="6">
        <f t="shared" si="41"/>
        <v>1138278.488757961</v>
      </c>
      <c r="AS58" s="30"/>
      <c r="AU58" s="92" t="e">
        <f t="shared" si="33"/>
        <v>#DIV/0!</v>
      </c>
      <c r="AV58" s="92">
        <f t="shared" si="34"/>
        <v>2205.9220026356552</v>
      </c>
      <c r="AW58" s="92">
        <f t="shared" si="35"/>
        <v>1966.4326572946095</v>
      </c>
    </row>
    <row r="59" spans="1:49">
      <c r="A59" s="9">
        <f t="shared" si="36"/>
        <v>42675</v>
      </c>
      <c r="B59" s="43"/>
      <c r="C59" s="43"/>
      <c r="D59" s="41"/>
      <c r="E59" s="41"/>
      <c r="F59" s="41"/>
      <c r="G59" s="41">
        <v>100.15</v>
      </c>
      <c r="H59" s="41">
        <v>661.06000000000006</v>
      </c>
      <c r="I59" s="41"/>
      <c r="J59" s="41"/>
      <c r="K59" s="41"/>
      <c r="L59" s="41"/>
      <c r="M59" s="41"/>
      <c r="N59" s="6">
        <f t="shared" si="37"/>
        <v>761.21</v>
      </c>
      <c r="O59" s="40"/>
      <c r="P59" s="9">
        <f t="shared" si="38"/>
        <v>42675</v>
      </c>
      <c r="Q59" s="43"/>
      <c r="R59" s="43"/>
      <c r="S59" s="41"/>
      <c r="T59" s="41"/>
      <c r="U59" s="41"/>
      <c r="V59" s="41">
        <v>14964003.48</v>
      </c>
      <c r="W59" s="41">
        <v>101090885.22</v>
      </c>
      <c r="X59" s="41"/>
      <c r="Y59" s="41"/>
      <c r="Z59" s="41"/>
      <c r="AA59" s="41"/>
      <c r="AB59" s="41"/>
      <c r="AC59" s="6">
        <f t="shared" si="39"/>
        <v>116054888.7</v>
      </c>
      <c r="AD59" s="40"/>
      <c r="AE59" s="9">
        <f t="shared" si="40"/>
        <v>42675</v>
      </c>
      <c r="AF59" s="43"/>
      <c r="AG59" s="43"/>
      <c r="AH59" s="41"/>
      <c r="AI59" s="41"/>
      <c r="AJ59" s="41"/>
      <c r="AK59" s="41">
        <v>221361</v>
      </c>
      <c r="AL59" s="41">
        <v>1490369.6600000001</v>
      </c>
      <c r="AM59" s="41"/>
      <c r="AN59" s="41"/>
      <c r="AO59" s="41"/>
      <c r="AP59" s="41"/>
      <c r="AQ59" s="41"/>
      <c r="AR59" s="6">
        <f t="shared" si="41"/>
        <v>1711730.6600000001</v>
      </c>
      <c r="AS59" s="30"/>
      <c r="AU59" s="92">
        <f t="shared" si="33"/>
        <v>2210.2945581627559</v>
      </c>
      <c r="AV59" s="92">
        <f t="shared" si="34"/>
        <v>2254.5149608205006</v>
      </c>
      <c r="AW59" s="92" t="e">
        <f t="shared" si="35"/>
        <v>#DIV/0!</v>
      </c>
    </row>
    <row r="60" spans="1:49">
      <c r="A60" s="9">
        <f t="shared" si="36"/>
        <v>42705</v>
      </c>
      <c r="B60" s="43"/>
      <c r="C60" s="43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6">
        <f t="shared" si="37"/>
        <v>0</v>
      </c>
      <c r="O60" s="40"/>
      <c r="P60" s="9">
        <f t="shared" si="38"/>
        <v>42705</v>
      </c>
      <c r="Q60" s="43"/>
      <c r="R60" s="43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6">
        <f t="shared" si="39"/>
        <v>0</v>
      </c>
      <c r="AD60" s="40"/>
      <c r="AE60" s="9">
        <f t="shared" si="40"/>
        <v>42705</v>
      </c>
      <c r="AF60" s="43"/>
      <c r="AG60" s="43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6">
        <f t="shared" si="41"/>
        <v>0</v>
      </c>
      <c r="AS60" s="30"/>
      <c r="AU60" s="92" t="e">
        <f t="shared" si="33"/>
        <v>#DIV/0!</v>
      </c>
      <c r="AV60" s="92" t="e">
        <f t="shared" si="34"/>
        <v>#DIV/0!</v>
      </c>
      <c r="AW60" s="92" t="e">
        <f t="shared" si="35"/>
        <v>#DIV/0!</v>
      </c>
    </row>
    <row r="61" spans="1:49">
      <c r="A61" s="9">
        <f t="shared" si="36"/>
        <v>42736</v>
      </c>
      <c r="B61" s="43"/>
      <c r="C61" s="43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6">
        <f t="shared" si="37"/>
        <v>0</v>
      </c>
      <c r="O61" s="40"/>
      <c r="P61" s="9">
        <f t="shared" si="38"/>
        <v>42736</v>
      </c>
      <c r="Q61" s="43"/>
      <c r="R61" s="43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6">
        <f t="shared" si="39"/>
        <v>0</v>
      </c>
      <c r="AD61" s="40"/>
      <c r="AE61" s="9">
        <f t="shared" si="40"/>
        <v>42736</v>
      </c>
      <c r="AF61" s="43"/>
      <c r="AG61" s="43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6">
        <f t="shared" si="41"/>
        <v>0</v>
      </c>
      <c r="AS61" s="30"/>
      <c r="AU61" s="92" t="e">
        <f t="shared" si="33"/>
        <v>#DIV/0!</v>
      </c>
      <c r="AV61" s="92" t="e">
        <f t="shared" si="34"/>
        <v>#DIV/0!</v>
      </c>
      <c r="AW61" s="92" t="e">
        <f t="shared" si="35"/>
        <v>#DIV/0!</v>
      </c>
    </row>
    <row r="62" spans="1:49">
      <c r="A62" s="9">
        <f t="shared" si="36"/>
        <v>42767</v>
      </c>
      <c r="B62" s="43"/>
      <c r="C62" s="43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6">
        <f t="shared" si="37"/>
        <v>0</v>
      </c>
      <c r="O62" s="40"/>
      <c r="P62" s="9">
        <f t="shared" si="38"/>
        <v>42767</v>
      </c>
      <c r="Q62" s="43"/>
      <c r="R62" s="43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6">
        <f t="shared" si="39"/>
        <v>0</v>
      </c>
      <c r="AD62" s="40"/>
      <c r="AE62" s="9">
        <f t="shared" si="40"/>
        <v>42767</v>
      </c>
      <c r="AF62" s="43"/>
      <c r="AG62" s="43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6">
        <f t="shared" si="41"/>
        <v>0</v>
      </c>
      <c r="AS62" s="30"/>
      <c r="AU62" s="92" t="e">
        <f t="shared" si="33"/>
        <v>#DIV/0!</v>
      </c>
      <c r="AV62" s="92" t="e">
        <f t="shared" si="34"/>
        <v>#DIV/0!</v>
      </c>
      <c r="AW62" s="92" t="e">
        <f t="shared" si="35"/>
        <v>#DIV/0!</v>
      </c>
    </row>
    <row r="63" spans="1:49">
      <c r="A63" s="9">
        <f t="shared" si="36"/>
        <v>42795</v>
      </c>
      <c r="B63" s="43"/>
      <c r="C63" s="43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6">
        <f t="shared" si="37"/>
        <v>0</v>
      </c>
      <c r="O63" s="40"/>
      <c r="P63" s="9">
        <f t="shared" si="38"/>
        <v>42795</v>
      </c>
      <c r="Q63" s="43"/>
      <c r="R63" s="43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6">
        <f t="shared" si="39"/>
        <v>0</v>
      </c>
      <c r="AD63" s="40"/>
      <c r="AE63" s="9">
        <f t="shared" si="40"/>
        <v>42795</v>
      </c>
      <c r="AF63" s="43"/>
      <c r="AG63" s="43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6">
        <f t="shared" si="41"/>
        <v>0</v>
      </c>
      <c r="AS63" s="30"/>
      <c r="AU63" s="92" t="e">
        <f t="shared" si="33"/>
        <v>#DIV/0!</v>
      </c>
      <c r="AV63" s="92" t="e">
        <f t="shared" si="34"/>
        <v>#DIV/0!</v>
      </c>
      <c r="AW63" s="92" t="e">
        <f t="shared" si="35"/>
        <v>#DIV/0!</v>
      </c>
    </row>
    <row r="64" spans="1:49">
      <c r="A64" s="128" t="s">
        <v>4</v>
      </c>
      <c r="B64" s="91">
        <f>SUM(B52:B63)</f>
        <v>0</v>
      </c>
      <c r="C64" s="91">
        <f t="shared" ref="C64:M64" si="42">SUM(C52:C63)</f>
        <v>0</v>
      </c>
      <c r="D64" s="91">
        <f t="shared" si="42"/>
        <v>0</v>
      </c>
      <c r="E64" s="91">
        <f t="shared" si="42"/>
        <v>0</v>
      </c>
      <c r="F64" s="91">
        <f t="shared" si="42"/>
        <v>0</v>
      </c>
      <c r="G64" s="91">
        <f t="shared" si="42"/>
        <v>1441.55</v>
      </c>
      <c r="H64" s="91">
        <f t="shared" si="42"/>
        <v>3585.73</v>
      </c>
      <c r="I64" s="91">
        <f t="shared" si="42"/>
        <v>98.65</v>
      </c>
      <c r="J64" s="91">
        <f t="shared" si="42"/>
        <v>0</v>
      </c>
      <c r="K64" s="91">
        <f t="shared" si="42"/>
        <v>0</v>
      </c>
      <c r="L64" s="91">
        <f t="shared" si="42"/>
        <v>11.2</v>
      </c>
      <c r="M64" s="91">
        <f t="shared" si="42"/>
        <v>0</v>
      </c>
      <c r="N64" s="127">
        <f t="shared" si="37"/>
        <v>5137.1299999999992</v>
      </c>
      <c r="O64" s="40"/>
      <c r="P64" s="128" t="s">
        <v>4</v>
      </c>
      <c r="Q64" s="91">
        <f>SUM(Q52:Q63)</f>
        <v>0</v>
      </c>
      <c r="R64" s="91">
        <f t="shared" ref="R64:AB64" si="43">SUM(R52:R63)</f>
        <v>0</v>
      </c>
      <c r="S64" s="91">
        <f t="shared" si="43"/>
        <v>0</v>
      </c>
      <c r="T64" s="91">
        <f t="shared" si="43"/>
        <v>0</v>
      </c>
      <c r="U64" s="91">
        <f t="shared" si="43"/>
        <v>0</v>
      </c>
      <c r="V64" s="91">
        <f t="shared" si="43"/>
        <v>186438201.31999999</v>
      </c>
      <c r="W64" s="91">
        <f t="shared" si="43"/>
        <v>471848533.51999998</v>
      </c>
      <c r="X64" s="91">
        <f t="shared" si="43"/>
        <v>11066489.09</v>
      </c>
      <c r="Y64" s="91">
        <f t="shared" si="43"/>
        <v>0</v>
      </c>
      <c r="Z64" s="91">
        <f t="shared" si="43"/>
        <v>0</v>
      </c>
      <c r="AA64" s="91">
        <f t="shared" si="43"/>
        <v>1039205.16</v>
      </c>
      <c r="AB64" s="91">
        <f t="shared" si="43"/>
        <v>0</v>
      </c>
      <c r="AC64" s="127">
        <f t="shared" si="39"/>
        <v>670392429.08999991</v>
      </c>
      <c r="AD64" s="40"/>
      <c r="AE64" s="128" t="s">
        <v>4</v>
      </c>
      <c r="AF64" s="91">
        <f>SUM(AF52:AF63)</f>
        <v>0</v>
      </c>
      <c r="AG64" s="91">
        <f t="shared" ref="AG64:AQ64" si="44">SUM(AG52:AG63)</f>
        <v>0</v>
      </c>
      <c r="AH64" s="91">
        <f t="shared" si="44"/>
        <v>0</v>
      </c>
      <c r="AI64" s="91">
        <f t="shared" si="44"/>
        <v>0</v>
      </c>
      <c r="AJ64" s="91">
        <f t="shared" si="44"/>
        <v>0</v>
      </c>
      <c r="AK64" s="91">
        <f t="shared" si="44"/>
        <v>2744132.3412348423</v>
      </c>
      <c r="AL64" s="91">
        <f t="shared" si="44"/>
        <v>6960004.9711763794</v>
      </c>
      <c r="AM64" s="91">
        <f t="shared" si="44"/>
        <v>164433.48028328893</v>
      </c>
      <c r="AN64" s="91">
        <f t="shared" si="44"/>
        <v>0</v>
      </c>
      <c r="AO64" s="91">
        <f t="shared" si="44"/>
        <v>0</v>
      </c>
      <c r="AP64" s="91">
        <f t="shared" si="44"/>
        <v>15237.612316715542</v>
      </c>
      <c r="AQ64" s="91">
        <f t="shared" si="44"/>
        <v>0</v>
      </c>
      <c r="AR64" s="127">
        <f t="shared" si="41"/>
        <v>9883808.4050112274</v>
      </c>
      <c r="AS64" s="30"/>
      <c r="AU64" s="40"/>
      <c r="AV64" s="40"/>
      <c r="AW64" s="40"/>
    </row>
    <row r="65" spans="1:49">
      <c r="A65" s="29"/>
      <c r="B65" s="29"/>
      <c r="C65" s="29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40"/>
      <c r="P65" s="29"/>
      <c r="Q65" s="29"/>
      <c r="R65" s="29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40"/>
      <c r="AE65" s="29"/>
      <c r="AF65" s="29"/>
      <c r="AG65" s="29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U65" s="40"/>
      <c r="AV65" s="40"/>
      <c r="AW65" s="40"/>
    </row>
    <row r="66" spans="1:49">
      <c r="A66" s="40"/>
      <c r="D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S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U66" s="40"/>
      <c r="AV66" s="40"/>
      <c r="AW66" s="40"/>
    </row>
    <row r="67" spans="1:49" s="40" customFormat="1">
      <c r="A67" s="25" t="s">
        <v>108</v>
      </c>
      <c r="B67" s="161" t="s">
        <v>133</v>
      </c>
      <c r="C67" s="161" t="s">
        <v>19</v>
      </c>
      <c r="D67" s="161" t="s">
        <v>17</v>
      </c>
      <c r="E67" s="161" t="s">
        <v>134</v>
      </c>
      <c r="F67" s="161" t="s">
        <v>10</v>
      </c>
      <c r="G67" s="161" t="s">
        <v>11</v>
      </c>
      <c r="H67" s="161" t="s">
        <v>12</v>
      </c>
      <c r="I67" s="161" t="s">
        <v>13</v>
      </c>
      <c r="J67" s="161" t="s">
        <v>14</v>
      </c>
      <c r="K67" s="161" t="s">
        <v>18</v>
      </c>
      <c r="L67" s="161" t="s">
        <v>15</v>
      </c>
      <c r="M67" s="161" t="s">
        <v>16</v>
      </c>
      <c r="N67" s="27" t="s">
        <v>20</v>
      </c>
      <c r="P67" s="25" t="s">
        <v>108</v>
      </c>
      <c r="Q67" s="161" t="s">
        <v>133</v>
      </c>
      <c r="R67" s="161" t="s">
        <v>19</v>
      </c>
      <c r="S67" s="161" t="s">
        <v>17</v>
      </c>
      <c r="T67" s="161" t="s">
        <v>134</v>
      </c>
      <c r="U67" s="161" t="s">
        <v>10</v>
      </c>
      <c r="V67" s="161" t="s">
        <v>11</v>
      </c>
      <c r="W67" s="161" t="s">
        <v>12</v>
      </c>
      <c r="X67" s="161" t="s">
        <v>13</v>
      </c>
      <c r="Y67" s="161" t="s">
        <v>14</v>
      </c>
      <c r="Z67" s="161" t="s">
        <v>18</v>
      </c>
      <c r="AA67" s="161" t="s">
        <v>15</v>
      </c>
      <c r="AB67" s="161" t="s">
        <v>16</v>
      </c>
      <c r="AC67" s="27" t="s">
        <v>20</v>
      </c>
      <c r="AE67" s="25" t="s">
        <v>108</v>
      </c>
      <c r="AF67" s="161" t="s">
        <v>133</v>
      </c>
      <c r="AG67" s="161" t="s">
        <v>19</v>
      </c>
      <c r="AH67" s="161" t="s">
        <v>17</v>
      </c>
      <c r="AI67" s="161" t="s">
        <v>134</v>
      </c>
      <c r="AJ67" s="161" t="s">
        <v>10</v>
      </c>
      <c r="AK67" s="161" t="s">
        <v>11</v>
      </c>
      <c r="AL67" s="161" t="s">
        <v>12</v>
      </c>
      <c r="AM67" s="161" t="s">
        <v>13</v>
      </c>
      <c r="AN67" s="161" t="s">
        <v>14</v>
      </c>
      <c r="AO67" s="161" t="s">
        <v>18</v>
      </c>
      <c r="AP67" s="161" t="s">
        <v>15</v>
      </c>
      <c r="AQ67" s="161" t="s">
        <v>16</v>
      </c>
      <c r="AR67" s="27" t="s">
        <v>20</v>
      </c>
    </row>
    <row r="68" spans="1:49" s="40" customFormat="1">
      <c r="A68" s="9">
        <f>A20</f>
        <v>42461</v>
      </c>
      <c r="B68" s="43"/>
      <c r="C68" s="43"/>
      <c r="D68" s="41"/>
      <c r="E68" s="41"/>
      <c r="F68" s="41"/>
      <c r="G68" s="41"/>
      <c r="H68" s="41"/>
      <c r="I68" s="41"/>
      <c r="J68" s="41"/>
      <c r="K68" s="41"/>
      <c r="L68" s="41"/>
      <c r="M68" s="41">
        <v>92</v>
      </c>
      <c r="N68" s="6">
        <f>SUM(B68:M68)</f>
        <v>92</v>
      </c>
      <c r="P68" s="9">
        <f>P20</f>
        <v>42461</v>
      </c>
      <c r="Q68" s="43"/>
      <c r="R68" s="43"/>
      <c r="S68" s="41"/>
      <c r="T68" s="41"/>
      <c r="U68" s="41"/>
      <c r="V68" s="41"/>
      <c r="W68" s="41"/>
      <c r="X68" s="41"/>
      <c r="Y68" s="41"/>
      <c r="Z68" s="41"/>
      <c r="AA68" s="41"/>
      <c r="AB68" s="41">
        <v>6475426.8300000001</v>
      </c>
      <c r="AC68" s="6">
        <f>SUM(Q68:AB68)</f>
        <v>6475426.8300000001</v>
      </c>
      <c r="AE68" s="9">
        <f>AE20</f>
        <v>42461</v>
      </c>
      <c r="AF68" s="43"/>
      <c r="AG68" s="43"/>
      <c r="AH68" s="41"/>
      <c r="AI68" s="41"/>
      <c r="AJ68" s="41"/>
      <c r="AK68" s="41"/>
      <c r="AL68" s="41"/>
      <c r="AM68" s="41"/>
      <c r="AN68" s="41"/>
      <c r="AO68" s="41"/>
      <c r="AP68" s="41"/>
      <c r="AQ68" s="41">
        <v>96448.035928251134</v>
      </c>
      <c r="AR68" s="6">
        <f>SUM(AF68:AQ68)</f>
        <v>96448.035928251134</v>
      </c>
    </row>
    <row r="69" spans="1:49" s="40" customFormat="1">
      <c r="A69" s="9">
        <f t="shared" ref="A69:A79" si="45">A21</f>
        <v>42491</v>
      </c>
      <c r="B69" s="43"/>
      <c r="C69" s="43"/>
      <c r="D69" s="41"/>
      <c r="E69" s="41"/>
      <c r="F69" s="41"/>
      <c r="G69" s="41"/>
      <c r="H69" s="41"/>
      <c r="I69" s="41"/>
      <c r="J69" s="41"/>
      <c r="K69" s="41"/>
      <c r="L69" s="41"/>
      <c r="M69" s="41">
        <v>18.41</v>
      </c>
      <c r="N69" s="6">
        <f t="shared" ref="N69:N80" si="46">SUM(B69:M69)</f>
        <v>18.41</v>
      </c>
      <c r="P69" s="9">
        <f t="shared" ref="P69:P79" si="47">P21</f>
        <v>42491</v>
      </c>
      <c r="Q69" s="43"/>
      <c r="R69" s="43"/>
      <c r="S69" s="41"/>
      <c r="T69" s="41"/>
      <c r="U69" s="41"/>
      <c r="V69" s="41"/>
      <c r="W69" s="41"/>
      <c r="X69" s="41"/>
      <c r="Y69" s="41"/>
      <c r="Z69" s="41"/>
      <c r="AA69" s="41"/>
      <c r="AB69" s="41">
        <v>1286744.43</v>
      </c>
      <c r="AC69" s="6">
        <f t="shared" ref="AC69:AC80" si="48">SUM(Q69:AB69)</f>
        <v>1286744.43</v>
      </c>
      <c r="AE69" s="9">
        <f t="shared" ref="AE69:AE79" si="49">AE21</f>
        <v>42491</v>
      </c>
      <c r="AF69" s="43"/>
      <c r="AG69" s="43"/>
      <c r="AH69" s="41"/>
      <c r="AI69" s="41"/>
      <c r="AJ69" s="41"/>
      <c r="AK69" s="41"/>
      <c r="AL69" s="41"/>
      <c r="AM69" s="41"/>
      <c r="AN69" s="41"/>
      <c r="AO69" s="41"/>
      <c r="AP69" s="41"/>
      <c r="AQ69" s="41">
        <v>19162.240208488456</v>
      </c>
      <c r="AR69" s="6">
        <f t="shared" ref="AR69:AR80" si="50">SUM(AF69:AQ69)</f>
        <v>19162.240208488456</v>
      </c>
    </row>
    <row r="70" spans="1:49" s="40" customFormat="1">
      <c r="A70" s="9">
        <f t="shared" si="45"/>
        <v>42522</v>
      </c>
      <c r="B70" s="43"/>
      <c r="C70" s="43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6">
        <f t="shared" si="46"/>
        <v>0</v>
      </c>
      <c r="P70" s="9">
        <f t="shared" si="47"/>
        <v>42522</v>
      </c>
      <c r="Q70" s="43"/>
      <c r="R70" s="43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6">
        <f t="shared" si="48"/>
        <v>0</v>
      </c>
      <c r="AE70" s="9">
        <f t="shared" si="49"/>
        <v>42522</v>
      </c>
      <c r="AF70" s="43"/>
      <c r="AG70" s="43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6">
        <f t="shared" si="50"/>
        <v>0</v>
      </c>
    </row>
    <row r="71" spans="1:49" s="40" customFormat="1">
      <c r="A71" s="9">
        <f t="shared" si="45"/>
        <v>42552</v>
      </c>
      <c r="B71" s="43"/>
      <c r="C71" s="43"/>
      <c r="D71" s="41"/>
      <c r="E71" s="41"/>
      <c r="F71" s="41">
        <v>18.64</v>
      </c>
      <c r="G71" s="41"/>
      <c r="H71" s="41"/>
      <c r="I71" s="41"/>
      <c r="J71" s="41"/>
      <c r="K71" s="41"/>
      <c r="L71" s="41"/>
      <c r="M71" s="41"/>
      <c r="N71" s="6">
        <f t="shared" si="46"/>
        <v>18.64</v>
      </c>
      <c r="P71" s="9">
        <f t="shared" si="47"/>
        <v>42552</v>
      </c>
      <c r="Q71" s="43"/>
      <c r="R71" s="43"/>
      <c r="S71" s="41"/>
      <c r="T71" s="41"/>
      <c r="U71" s="41">
        <v>2375326.89</v>
      </c>
      <c r="V71" s="41"/>
      <c r="W71" s="41"/>
      <c r="X71" s="41"/>
      <c r="Y71" s="41"/>
      <c r="Z71" s="41"/>
      <c r="AA71" s="41"/>
      <c r="AB71" s="41"/>
      <c r="AC71" s="6">
        <f t="shared" si="48"/>
        <v>2375326.89</v>
      </c>
      <c r="AE71" s="9">
        <f t="shared" si="49"/>
        <v>42552</v>
      </c>
      <c r="AF71" s="43"/>
      <c r="AG71" s="43"/>
      <c r="AH71" s="41"/>
      <c r="AI71" s="41"/>
      <c r="AJ71" s="41">
        <v>34828.840029325511</v>
      </c>
      <c r="AK71" s="41"/>
      <c r="AL71" s="41"/>
      <c r="AM71" s="41"/>
      <c r="AN71" s="41"/>
      <c r="AO71" s="41"/>
      <c r="AP71" s="41"/>
      <c r="AQ71" s="41"/>
      <c r="AR71" s="6">
        <f t="shared" si="50"/>
        <v>34828.840029325511</v>
      </c>
    </row>
    <row r="72" spans="1:49" s="40" customFormat="1">
      <c r="A72" s="9">
        <f t="shared" si="45"/>
        <v>42583</v>
      </c>
      <c r="B72" s="43"/>
      <c r="C72" s="43"/>
      <c r="D72" s="41"/>
      <c r="E72" s="41"/>
      <c r="F72" s="41"/>
      <c r="G72" s="41">
        <v>18.34</v>
      </c>
      <c r="H72" s="41"/>
      <c r="I72" s="41"/>
      <c r="J72" s="41"/>
      <c r="K72" s="41"/>
      <c r="L72" s="41"/>
      <c r="M72" s="41"/>
      <c r="N72" s="6">
        <f t="shared" si="46"/>
        <v>18.34</v>
      </c>
      <c r="P72" s="9">
        <f t="shared" si="47"/>
        <v>42583</v>
      </c>
      <c r="Q72" s="43"/>
      <c r="R72" s="43"/>
      <c r="S72" s="41"/>
      <c r="T72" s="41"/>
      <c r="U72" s="41"/>
      <c r="V72" s="41">
        <v>2446472.5</v>
      </c>
      <c r="W72" s="41"/>
      <c r="X72" s="41"/>
      <c r="Y72" s="41"/>
      <c r="Z72" s="41"/>
      <c r="AA72" s="41"/>
      <c r="AB72" s="41"/>
      <c r="AC72" s="6">
        <f t="shared" si="48"/>
        <v>2446472.5</v>
      </c>
      <c r="AE72" s="9">
        <f t="shared" si="49"/>
        <v>42583</v>
      </c>
      <c r="AF72" s="43"/>
      <c r="AG72" s="43"/>
      <c r="AH72" s="41"/>
      <c r="AI72" s="41"/>
      <c r="AJ72" s="41"/>
      <c r="AK72" s="41">
        <v>35898.349229640495</v>
      </c>
      <c r="AL72" s="41"/>
      <c r="AM72" s="41"/>
      <c r="AN72" s="41"/>
      <c r="AO72" s="41"/>
      <c r="AP72" s="41"/>
      <c r="AQ72" s="41"/>
      <c r="AR72" s="6">
        <f t="shared" si="50"/>
        <v>35898.349229640495</v>
      </c>
    </row>
    <row r="73" spans="1:49" s="40" customFormat="1">
      <c r="A73" s="9">
        <f t="shared" si="45"/>
        <v>42614</v>
      </c>
      <c r="B73" s="43"/>
      <c r="C73" s="43"/>
      <c r="D73" s="41"/>
      <c r="E73" s="41"/>
      <c r="F73" s="41"/>
      <c r="G73" s="41">
        <v>18.25</v>
      </c>
      <c r="H73" s="41"/>
      <c r="I73" s="41"/>
      <c r="J73" s="41"/>
      <c r="K73" s="41"/>
      <c r="L73" s="41"/>
      <c r="M73" s="41">
        <v>36.28</v>
      </c>
      <c r="N73" s="6">
        <f t="shared" si="46"/>
        <v>54.53</v>
      </c>
      <c r="P73" s="9">
        <f t="shared" si="47"/>
        <v>42614</v>
      </c>
      <c r="Q73" s="43"/>
      <c r="R73" s="43"/>
      <c r="S73" s="41"/>
      <c r="T73" s="41"/>
      <c r="U73" s="41"/>
      <c r="V73" s="41">
        <v>2420178.04</v>
      </c>
      <c r="W73" s="41"/>
      <c r="X73" s="41"/>
      <c r="Y73" s="41"/>
      <c r="Z73" s="41"/>
      <c r="AA73" s="41"/>
      <c r="AB73" s="41">
        <v>2785935.8600000003</v>
      </c>
      <c r="AC73" s="6">
        <f t="shared" si="48"/>
        <v>5206113.9000000004</v>
      </c>
      <c r="AE73" s="9">
        <f t="shared" si="49"/>
        <v>42614</v>
      </c>
      <c r="AF73" s="43"/>
      <c r="AG73" s="43"/>
      <c r="AH73" s="41"/>
      <c r="AI73" s="41"/>
      <c r="AJ73" s="41"/>
      <c r="AK73" s="41">
        <v>35643.270103092786</v>
      </c>
      <c r="AL73" s="41"/>
      <c r="AM73" s="41"/>
      <c r="AN73" s="41"/>
      <c r="AO73" s="41"/>
      <c r="AP73" s="41"/>
      <c r="AQ73" s="41">
        <v>41120.824501845018</v>
      </c>
      <c r="AR73" s="6">
        <f t="shared" si="50"/>
        <v>76764.094604937796</v>
      </c>
    </row>
    <row r="74" spans="1:49" s="40" customFormat="1">
      <c r="A74" s="9">
        <f t="shared" si="45"/>
        <v>42644</v>
      </c>
      <c r="B74" s="43"/>
      <c r="C74" s="43"/>
      <c r="D74" s="41"/>
      <c r="E74" s="41"/>
      <c r="F74" s="41"/>
      <c r="G74" s="41"/>
      <c r="H74" s="41"/>
      <c r="I74" s="41"/>
      <c r="J74" s="41"/>
      <c r="K74" s="41"/>
      <c r="L74" s="41"/>
      <c r="M74" s="41">
        <v>35.770000000000003</v>
      </c>
      <c r="N74" s="6">
        <f t="shared" si="46"/>
        <v>35.770000000000003</v>
      </c>
      <c r="P74" s="9">
        <f t="shared" si="47"/>
        <v>42644</v>
      </c>
      <c r="Q74" s="43"/>
      <c r="R74" s="43"/>
      <c r="S74" s="41"/>
      <c r="T74" s="41"/>
      <c r="U74" s="41"/>
      <c r="V74" s="41"/>
      <c r="W74" s="41"/>
      <c r="X74" s="41"/>
      <c r="Y74" s="41"/>
      <c r="Z74" s="41"/>
      <c r="AA74" s="41"/>
      <c r="AB74" s="41">
        <v>2692921.84</v>
      </c>
      <c r="AC74" s="6">
        <f t="shared" si="48"/>
        <v>2692921.84</v>
      </c>
      <c r="AE74" s="9">
        <f t="shared" si="49"/>
        <v>42644</v>
      </c>
      <c r="AF74" s="43"/>
      <c r="AG74" s="43"/>
      <c r="AH74" s="41"/>
      <c r="AI74" s="41"/>
      <c r="AJ74" s="41"/>
      <c r="AK74" s="41"/>
      <c r="AL74" s="41"/>
      <c r="AM74" s="41"/>
      <c r="AN74" s="41"/>
      <c r="AO74" s="41"/>
      <c r="AP74" s="41"/>
      <c r="AQ74" s="41">
        <v>39747.923837638373</v>
      </c>
      <c r="AR74" s="6">
        <f t="shared" si="50"/>
        <v>39747.923837638373</v>
      </c>
    </row>
    <row r="75" spans="1:49" s="40" customFormat="1">
      <c r="A75" s="9">
        <f t="shared" si="45"/>
        <v>42675</v>
      </c>
      <c r="B75" s="43"/>
      <c r="C75" s="43"/>
      <c r="D75" s="41"/>
      <c r="E75" s="41"/>
      <c r="F75" s="41"/>
      <c r="G75" s="41"/>
      <c r="H75" s="41"/>
      <c r="I75" s="41"/>
      <c r="J75" s="41"/>
      <c r="K75" s="41"/>
      <c r="L75" s="41"/>
      <c r="M75" s="41">
        <v>17.940000000000001</v>
      </c>
      <c r="N75" s="6">
        <f t="shared" si="46"/>
        <v>17.940000000000001</v>
      </c>
      <c r="P75" s="9">
        <f t="shared" si="47"/>
        <v>42675</v>
      </c>
      <c r="Q75" s="43"/>
      <c r="R75" s="43"/>
      <c r="S75" s="41"/>
      <c r="T75" s="41"/>
      <c r="U75" s="41"/>
      <c r="V75" s="41"/>
      <c r="W75" s="41"/>
      <c r="X75" s="41"/>
      <c r="Y75" s="41"/>
      <c r="Z75" s="41"/>
      <c r="AA75" s="41"/>
      <c r="AB75" s="41">
        <v>1347863.58</v>
      </c>
      <c r="AC75" s="6">
        <f t="shared" si="48"/>
        <v>1347863.58</v>
      </c>
      <c r="AE75" s="9">
        <f t="shared" si="49"/>
        <v>42675</v>
      </c>
      <c r="AF75" s="43"/>
      <c r="AG75" s="43"/>
      <c r="AH75" s="41"/>
      <c r="AI75" s="41"/>
      <c r="AJ75" s="41"/>
      <c r="AK75" s="41"/>
      <c r="AL75" s="41"/>
      <c r="AM75" s="41"/>
      <c r="AN75" s="41"/>
      <c r="AO75" s="41"/>
      <c r="AP75" s="41"/>
      <c r="AQ75" s="41">
        <v>19938.810000000001</v>
      </c>
      <c r="AR75" s="6">
        <f t="shared" si="50"/>
        <v>19938.810000000001</v>
      </c>
    </row>
    <row r="76" spans="1:49" s="40" customFormat="1">
      <c r="A76" s="9">
        <f t="shared" si="45"/>
        <v>42705</v>
      </c>
      <c r="B76" s="43"/>
      <c r="C76" s="43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6">
        <f t="shared" si="46"/>
        <v>0</v>
      </c>
      <c r="P76" s="9">
        <f t="shared" si="47"/>
        <v>42705</v>
      </c>
      <c r="Q76" s="43"/>
      <c r="R76" s="43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6">
        <f t="shared" si="48"/>
        <v>0</v>
      </c>
      <c r="AE76" s="9">
        <f t="shared" si="49"/>
        <v>42705</v>
      </c>
      <c r="AF76" s="43"/>
      <c r="AG76" s="43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6">
        <f t="shared" si="50"/>
        <v>0</v>
      </c>
    </row>
    <row r="77" spans="1:49" s="40" customFormat="1">
      <c r="A77" s="9">
        <f t="shared" si="45"/>
        <v>42736</v>
      </c>
      <c r="B77" s="43"/>
      <c r="C77" s="43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6">
        <f t="shared" si="46"/>
        <v>0</v>
      </c>
      <c r="P77" s="9">
        <f t="shared" si="47"/>
        <v>42736</v>
      </c>
      <c r="Q77" s="43"/>
      <c r="R77" s="43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6">
        <f t="shared" si="48"/>
        <v>0</v>
      </c>
      <c r="AE77" s="9">
        <f t="shared" si="49"/>
        <v>42736</v>
      </c>
      <c r="AF77" s="43"/>
      <c r="AG77" s="43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6">
        <f t="shared" si="50"/>
        <v>0</v>
      </c>
    </row>
    <row r="78" spans="1:49" s="40" customFormat="1">
      <c r="A78" s="9">
        <f t="shared" si="45"/>
        <v>42767</v>
      </c>
      <c r="B78" s="43"/>
      <c r="C78" s="43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6">
        <f t="shared" si="46"/>
        <v>0</v>
      </c>
      <c r="P78" s="9">
        <f t="shared" si="47"/>
        <v>42767</v>
      </c>
      <c r="Q78" s="43"/>
      <c r="R78" s="43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6">
        <f t="shared" si="48"/>
        <v>0</v>
      </c>
      <c r="AE78" s="9">
        <f t="shared" si="49"/>
        <v>42767</v>
      </c>
      <c r="AF78" s="43"/>
      <c r="AG78" s="43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6">
        <f t="shared" si="50"/>
        <v>0</v>
      </c>
    </row>
    <row r="79" spans="1:49" s="40" customFormat="1">
      <c r="A79" s="9">
        <f t="shared" si="45"/>
        <v>42795</v>
      </c>
      <c r="B79" s="43"/>
      <c r="C79" s="43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6">
        <f t="shared" si="46"/>
        <v>0</v>
      </c>
      <c r="P79" s="9">
        <f t="shared" si="47"/>
        <v>42795</v>
      </c>
      <c r="Q79" s="43"/>
      <c r="R79" s="43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6">
        <f t="shared" si="48"/>
        <v>0</v>
      </c>
      <c r="AE79" s="9">
        <f t="shared" si="49"/>
        <v>42795</v>
      </c>
      <c r="AF79" s="43"/>
      <c r="AG79" s="43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6">
        <f t="shared" si="50"/>
        <v>0</v>
      </c>
    </row>
    <row r="80" spans="1:49" s="40" customFormat="1">
      <c r="A80" s="128" t="s">
        <v>4</v>
      </c>
      <c r="B80" s="91">
        <f>SUM(B68:B79)</f>
        <v>0</v>
      </c>
      <c r="C80" s="91">
        <f t="shared" ref="C80:M80" si="51">SUM(C68:C79)</f>
        <v>0</v>
      </c>
      <c r="D80" s="91">
        <f t="shared" si="51"/>
        <v>0</v>
      </c>
      <c r="E80" s="91">
        <f t="shared" si="51"/>
        <v>0</v>
      </c>
      <c r="F80" s="91">
        <f t="shared" si="51"/>
        <v>18.64</v>
      </c>
      <c r="G80" s="91">
        <f t="shared" si="51"/>
        <v>36.590000000000003</v>
      </c>
      <c r="H80" s="91">
        <f t="shared" si="51"/>
        <v>0</v>
      </c>
      <c r="I80" s="91">
        <f t="shared" si="51"/>
        <v>0</v>
      </c>
      <c r="J80" s="91">
        <f t="shared" si="51"/>
        <v>0</v>
      </c>
      <c r="K80" s="91">
        <f t="shared" si="51"/>
        <v>0</v>
      </c>
      <c r="L80" s="91">
        <f t="shared" si="51"/>
        <v>0</v>
      </c>
      <c r="M80" s="91">
        <f t="shared" si="51"/>
        <v>200.4</v>
      </c>
      <c r="N80" s="127">
        <f t="shared" si="46"/>
        <v>255.63</v>
      </c>
      <c r="P80" s="128" t="s">
        <v>4</v>
      </c>
      <c r="Q80" s="91">
        <f>SUM(Q68:Q79)</f>
        <v>0</v>
      </c>
      <c r="R80" s="91">
        <f t="shared" ref="R80:AB80" si="52">SUM(R68:R79)</f>
        <v>0</v>
      </c>
      <c r="S80" s="91">
        <f t="shared" si="52"/>
        <v>0</v>
      </c>
      <c r="T80" s="91">
        <f t="shared" si="52"/>
        <v>0</v>
      </c>
      <c r="U80" s="91">
        <f t="shared" si="52"/>
        <v>2375326.89</v>
      </c>
      <c r="V80" s="91">
        <f t="shared" si="52"/>
        <v>4866650.54</v>
      </c>
      <c r="W80" s="91">
        <f t="shared" si="52"/>
        <v>0</v>
      </c>
      <c r="X80" s="91">
        <f t="shared" si="52"/>
        <v>0</v>
      </c>
      <c r="Y80" s="91">
        <f t="shared" si="52"/>
        <v>0</v>
      </c>
      <c r="Z80" s="91">
        <f t="shared" si="52"/>
        <v>0</v>
      </c>
      <c r="AA80" s="91">
        <f t="shared" si="52"/>
        <v>0</v>
      </c>
      <c r="AB80" s="91">
        <f t="shared" si="52"/>
        <v>14588892.540000001</v>
      </c>
      <c r="AC80" s="127">
        <f t="shared" si="48"/>
        <v>21830869.969999999</v>
      </c>
      <c r="AE80" s="128" t="s">
        <v>4</v>
      </c>
      <c r="AF80" s="91">
        <f>SUM(AF68:AF79)</f>
        <v>0</v>
      </c>
      <c r="AG80" s="91">
        <f t="shared" ref="AG80:AQ80" si="53">SUM(AG68:AG79)</f>
        <v>0</v>
      </c>
      <c r="AH80" s="91">
        <f t="shared" si="53"/>
        <v>0</v>
      </c>
      <c r="AI80" s="91">
        <f t="shared" si="53"/>
        <v>0</v>
      </c>
      <c r="AJ80" s="91">
        <f t="shared" si="53"/>
        <v>34828.840029325511</v>
      </c>
      <c r="AK80" s="91">
        <f t="shared" si="53"/>
        <v>71541.619332733273</v>
      </c>
      <c r="AL80" s="91">
        <f t="shared" si="53"/>
        <v>0</v>
      </c>
      <c r="AM80" s="91">
        <f t="shared" si="53"/>
        <v>0</v>
      </c>
      <c r="AN80" s="91">
        <f t="shared" si="53"/>
        <v>0</v>
      </c>
      <c r="AO80" s="91">
        <f t="shared" si="53"/>
        <v>0</v>
      </c>
      <c r="AP80" s="91">
        <f t="shared" si="53"/>
        <v>0</v>
      </c>
      <c r="AQ80" s="91">
        <f t="shared" si="53"/>
        <v>216417.83447622298</v>
      </c>
      <c r="AR80" s="127">
        <f t="shared" si="50"/>
        <v>322788.29383828177</v>
      </c>
    </row>
    <row r="81" spans="1:49" s="40" customFormat="1"/>
    <row r="82" spans="1:49" s="40" customFormat="1"/>
    <row r="83" spans="1:49">
      <c r="A83" s="25" t="s">
        <v>2</v>
      </c>
      <c r="B83" s="161" t="s">
        <v>133</v>
      </c>
      <c r="C83" s="161" t="s">
        <v>19</v>
      </c>
      <c r="D83" s="161" t="s">
        <v>17</v>
      </c>
      <c r="E83" s="161" t="s">
        <v>134</v>
      </c>
      <c r="F83" s="161" t="s">
        <v>10</v>
      </c>
      <c r="G83" s="161" t="s">
        <v>11</v>
      </c>
      <c r="H83" s="161" t="s">
        <v>12</v>
      </c>
      <c r="I83" s="161" t="s">
        <v>13</v>
      </c>
      <c r="J83" s="161" t="s">
        <v>14</v>
      </c>
      <c r="K83" s="161" t="s">
        <v>18</v>
      </c>
      <c r="L83" s="161" t="s">
        <v>15</v>
      </c>
      <c r="M83" s="161" t="s">
        <v>16</v>
      </c>
      <c r="N83" s="27" t="s">
        <v>20</v>
      </c>
      <c r="O83" s="40"/>
      <c r="P83" s="25" t="s">
        <v>2</v>
      </c>
      <c r="Q83" s="161" t="s">
        <v>133</v>
      </c>
      <c r="R83" s="161" t="s">
        <v>19</v>
      </c>
      <c r="S83" s="161" t="s">
        <v>17</v>
      </c>
      <c r="T83" s="161" t="s">
        <v>134</v>
      </c>
      <c r="U83" s="161" t="s">
        <v>10</v>
      </c>
      <c r="V83" s="161" t="s">
        <v>11</v>
      </c>
      <c r="W83" s="161" t="s">
        <v>12</v>
      </c>
      <c r="X83" s="161" t="s">
        <v>13</v>
      </c>
      <c r="Y83" s="161" t="s">
        <v>14</v>
      </c>
      <c r="Z83" s="161" t="s">
        <v>18</v>
      </c>
      <c r="AA83" s="161" t="s">
        <v>15</v>
      </c>
      <c r="AB83" s="161" t="s">
        <v>16</v>
      </c>
      <c r="AC83" s="27" t="s">
        <v>20</v>
      </c>
      <c r="AD83" s="40"/>
      <c r="AE83" s="25" t="s">
        <v>2</v>
      </c>
      <c r="AF83" s="161" t="s">
        <v>133</v>
      </c>
      <c r="AG83" s="161" t="s">
        <v>19</v>
      </c>
      <c r="AH83" s="161" t="s">
        <v>17</v>
      </c>
      <c r="AI83" s="161" t="s">
        <v>134</v>
      </c>
      <c r="AJ83" s="161" t="s">
        <v>10</v>
      </c>
      <c r="AK83" s="161" t="s">
        <v>11</v>
      </c>
      <c r="AL83" s="161" t="s">
        <v>12</v>
      </c>
      <c r="AM83" s="161" t="s">
        <v>13</v>
      </c>
      <c r="AN83" s="161" t="s">
        <v>14</v>
      </c>
      <c r="AO83" s="161" t="s">
        <v>18</v>
      </c>
      <c r="AP83" s="161" t="s">
        <v>15</v>
      </c>
      <c r="AQ83" s="161" t="s">
        <v>16</v>
      </c>
      <c r="AR83" s="27" t="s">
        <v>20</v>
      </c>
      <c r="AS83" s="163"/>
      <c r="AU83" s="40"/>
      <c r="AV83" s="40"/>
      <c r="AW83" s="40"/>
    </row>
    <row r="84" spans="1:49">
      <c r="A84" s="9">
        <f t="shared" ref="A84:A95" si="54">A4</f>
        <v>42461</v>
      </c>
      <c r="B84" s="43"/>
      <c r="C84" s="43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6">
        <f>SUM(B84:M84)</f>
        <v>0</v>
      </c>
      <c r="O84" s="40"/>
      <c r="P84" s="9">
        <f t="shared" ref="P84:P95" si="55">P4</f>
        <v>42461</v>
      </c>
      <c r="Q84" s="43"/>
      <c r="R84" s="43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6">
        <f>SUM(Q84:AB84)</f>
        <v>0</v>
      </c>
      <c r="AD84" s="40"/>
      <c r="AE84" s="9">
        <f t="shared" ref="AE84:AE95" si="56">AE4</f>
        <v>42461</v>
      </c>
      <c r="AF84" s="43"/>
      <c r="AG84" s="43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6">
        <f>SUM(AF84:AQ84)</f>
        <v>0</v>
      </c>
      <c r="AS84" s="30"/>
      <c r="AU84" s="92" t="e">
        <f t="shared" ref="AU84:AU95" si="57">+AK84/G84</f>
        <v>#DIV/0!</v>
      </c>
      <c r="AV84" s="92" t="e">
        <f t="shared" ref="AV84:AV95" si="58">+AL84/H84</f>
        <v>#DIV/0!</v>
      </c>
      <c r="AW84" s="92" t="e">
        <f t="shared" ref="AW84:AW95" si="59">+AM84/I84</f>
        <v>#DIV/0!</v>
      </c>
    </row>
    <row r="85" spans="1:49">
      <c r="A85" s="9">
        <f t="shared" si="54"/>
        <v>42491</v>
      </c>
      <c r="B85" s="43"/>
      <c r="C85" s="43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6">
        <f t="shared" ref="N85:N96" si="60">SUM(B85:M85)</f>
        <v>0</v>
      </c>
      <c r="O85" s="40"/>
      <c r="P85" s="9">
        <f t="shared" si="55"/>
        <v>42491</v>
      </c>
      <c r="Q85" s="43"/>
      <c r="R85" s="43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6">
        <f t="shared" ref="AC85:AC96" si="61">SUM(Q85:AB85)</f>
        <v>0</v>
      </c>
      <c r="AD85" s="40"/>
      <c r="AE85" s="9">
        <f t="shared" si="56"/>
        <v>42491</v>
      </c>
      <c r="AF85" s="43"/>
      <c r="AG85" s="43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6">
        <f t="shared" ref="AR85:AR96" si="62">SUM(AF85:AQ85)</f>
        <v>0</v>
      </c>
      <c r="AS85" s="30"/>
      <c r="AU85" s="92" t="e">
        <f t="shared" si="57"/>
        <v>#DIV/0!</v>
      </c>
      <c r="AV85" s="92" t="e">
        <f t="shared" si="58"/>
        <v>#DIV/0!</v>
      </c>
      <c r="AW85" s="92" t="e">
        <f t="shared" si="59"/>
        <v>#DIV/0!</v>
      </c>
    </row>
    <row r="86" spans="1:49">
      <c r="A86" s="9">
        <f t="shared" si="54"/>
        <v>42522</v>
      </c>
      <c r="B86" s="43"/>
      <c r="C86" s="43"/>
      <c r="D86" s="41"/>
      <c r="E86" s="41"/>
      <c r="F86" s="41"/>
      <c r="G86" s="41"/>
      <c r="H86" s="41"/>
      <c r="I86" s="41"/>
      <c r="J86" s="41"/>
      <c r="K86" s="41"/>
      <c r="L86" s="41">
        <v>10</v>
      </c>
      <c r="M86" s="41"/>
      <c r="N86" s="6">
        <f t="shared" si="60"/>
        <v>10</v>
      </c>
      <c r="O86" s="40"/>
      <c r="P86" s="9">
        <f t="shared" si="55"/>
        <v>42522</v>
      </c>
      <c r="Q86" s="43"/>
      <c r="R86" s="43"/>
      <c r="S86" s="41"/>
      <c r="T86" s="41"/>
      <c r="U86" s="41"/>
      <c r="V86" s="41"/>
      <c r="W86" s="41"/>
      <c r="X86" s="41"/>
      <c r="Y86" s="41"/>
      <c r="Z86" s="41"/>
      <c r="AA86" s="41">
        <v>854374.07</v>
      </c>
      <c r="AB86" s="41"/>
      <c r="AC86" s="6">
        <f t="shared" si="61"/>
        <v>854374.07</v>
      </c>
      <c r="AD86" s="40"/>
      <c r="AE86" s="9">
        <f t="shared" si="56"/>
        <v>42522</v>
      </c>
      <c r="AF86" s="43"/>
      <c r="AG86" s="43"/>
      <c r="AH86" s="41"/>
      <c r="AI86" s="41"/>
      <c r="AJ86" s="41"/>
      <c r="AK86" s="41"/>
      <c r="AL86" s="41"/>
      <c r="AM86" s="41"/>
      <c r="AN86" s="41"/>
      <c r="AO86" s="41"/>
      <c r="AP86" s="41">
        <v>12555.092872887582</v>
      </c>
      <c r="AQ86" s="41"/>
      <c r="AR86" s="6">
        <f t="shared" si="62"/>
        <v>12555.092872887582</v>
      </c>
      <c r="AS86" s="30"/>
      <c r="AU86" s="92" t="e">
        <f t="shared" si="57"/>
        <v>#DIV/0!</v>
      </c>
      <c r="AV86" s="92" t="e">
        <f t="shared" si="58"/>
        <v>#DIV/0!</v>
      </c>
      <c r="AW86" s="92" t="e">
        <f t="shared" si="59"/>
        <v>#DIV/0!</v>
      </c>
    </row>
    <row r="87" spans="1:49">
      <c r="A87" s="9">
        <f t="shared" si="54"/>
        <v>42552</v>
      </c>
      <c r="B87" s="43"/>
      <c r="C87" s="43"/>
      <c r="D87" s="41"/>
      <c r="E87" s="41"/>
      <c r="F87" s="41"/>
      <c r="G87" s="41">
        <v>287.78100000000001</v>
      </c>
      <c r="H87" s="41"/>
      <c r="I87" s="41"/>
      <c r="J87" s="41"/>
      <c r="K87" s="41"/>
      <c r="L87" s="41">
        <v>10</v>
      </c>
      <c r="M87" s="41"/>
      <c r="N87" s="6">
        <f t="shared" si="60"/>
        <v>297.78100000000001</v>
      </c>
      <c r="O87" s="40"/>
      <c r="P87" s="9">
        <f t="shared" si="55"/>
        <v>42552</v>
      </c>
      <c r="Q87" s="43"/>
      <c r="R87" s="43"/>
      <c r="S87" s="41"/>
      <c r="T87" s="41"/>
      <c r="U87" s="41"/>
      <c r="V87" s="41">
        <v>21907135.989999998</v>
      </c>
      <c r="W87" s="41"/>
      <c r="X87" s="41"/>
      <c r="Y87" s="41"/>
      <c r="Z87" s="41"/>
      <c r="AA87" s="41">
        <v>831264.47</v>
      </c>
      <c r="AB87" s="41"/>
      <c r="AC87" s="6">
        <f t="shared" si="61"/>
        <v>22738400.459999997</v>
      </c>
      <c r="AD87" s="40"/>
      <c r="AE87" s="9">
        <f t="shared" si="56"/>
        <v>42552</v>
      </c>
      <c r="AF87" s="43"/>
      <c r="AG87" s="43"/>
      <c r="AH87" s="41"/>
      <c r="AI87" s="41"/>
      <c r="AJ87" s="41"/>
      <c r="AK87" s="41">
        <v>321219.00278592372</v>
      </c>
      <c r="AL87" s="41"/>
      <c r="AM87" s="41"/>
      <c r="AN87" s="41"/>
      <c r="AO87" s="41"/>
      <c r="AP87" s="41">
        <v>12188.628592375366</v>
      </c>
      <c r="AQ87" s="41"/>
      <c r="AR87" s="6">
        <f t="shared" si="62"/>
        <v>333407.63137829909</v>
      </c>
      <c r="AS87" s="30"/>
      <c r="AU87" s="92">
        <f t="shared" si="57"/>
        <v>1116.1925310771862</v>
      </c>
      <c r="AV87" s="92" t="e">
        <f t="shared" si="58"/>
        <v>#DIV/0!</v>
      </c>
      <c r="AW87" s="92" t="e">
        <f t="shared" si="59"/>
        <v>#DIV/0!</v>
      </c>
    </row>
    <row r="88" spans="1:49">
      <c r="A88" s="9">
        <f t="shared" si="54"/>
        <v>42583</v>
      </c>
      <c r="B88" s="43"/>
      <c r="C88" s="43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6">
        <f t="shared" si="60"/>
        <v>0</v>
      </c>
      <c r="O88" s="40"/>
      <c r="P88" s="9">
        <f t="shared" si="55"/>
        <v>42583</v>
      </c>
      <c r="Q88" s="43"/>
      <c r="R88" s="43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6">
        <f t="shared" si="61"/>
        <v>0</v>
      </c>
      <c r="AD88" s="40"/>
      <c r="AE88" s="9">
        <f t="shared" si="56"/>
        <v>42583</v>
      </c>
      <c r="AF88" s="43"/>
      <c r="AG88" s="43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6">
        <f t="shared" si="62"/>
        <v>0</v>
      </c>
      <c r="AS88" s="30"/>
      <c r="AU88" s="92" t="e">
        <f t="shared" si="57"/>
        <v>#DIV/0!</v>
      </c>
      <c r="AV88" s="92" t="e">
        <f t="shared" si="58"/>
        <v>#DIV/0!</v>
      </c>
      <c r="AW88" s="92" t="e">
        <f t="shared" si="59"/>
        <v>#DIV/0!</v>
      </c>
    </row>
    <row r="89" spans="1:49">
      <c r="A89" s="9">
        <f t="shared" si="54"/>
        <v>42614</v>
      </c>
      <c r="B89" s="43"/>
      <c r="C89" s="43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6">
        <f t="shared" si="60"/>
        <v>0</v>
      </c>
      <c r="O89" s="40"/>
      <c r="P89" s="9">
        <f t="shared" si="55"/>
        <v>42614</v>
      </c>
      <c r="Q89" s="43"/>
      <c r="R89" s="43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6">
        <f t="shared" si="61"/>
        <v>0</v>
      </c>
      <c r="AD89" s="40"/>
      <c r="AE89" s="9">
        <f t="shared" si="56"/>
        <v>42614</v>
      </c>
      <c r="AF89" s="43"/>
      <c r="AG89" s="43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6">
        <f t="shared" si="62"/>
        <v>0</v>
      </c>
      <c r="AS89" s="30"/>
      <c r="AU89" s="92" t="e">
        <f t="shared" si="57"/>
        <v>#DIV/0!</v>
      </c>
      <c r="AV89" s="92" t="e">
        <f t="shared" si="58"/>
        <v>#DIV/0!</v>
      </c>
      <c r="AW89" s="92" t="e">
        <f t="shared" si="59"/>
        <v>#DIV/0!</v>
      </c>
    </row>
    <row r="90" spans="1:49">
      <c r="A90" s="9">
        <f t="shared" si="54"/>
        <v>42644</v>
      </c>
      <c r="B90" s="43"/>
      <c r="C90" s="43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6">
        <f t="shared" si="60"/>
        <v>0</v>
      </c>
      <c r="O90" s="40"/>
      <c r="P90" s="9">
        <f t="shared" si="55"/>
        <v>42644</v>
      </c>
      <c r="Q90" s="43"/>
      <c r="R90" s="43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6">
        <f t="shared" si="61"/>
        <v>0</v>
      </c>
      <c r="AD90" s="40"/>
      <c r="AE90" s="9">
        <f t="shared" si="56"/>
        <v>42644</v>
      </c>
      <c r="AF90" s="43"/>
      <c r="AG90" s="43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6">
        <f t="shared" si="62"/>
        <v>0</v>
      </c>
      <c r="AS90" s="30"/>
      <c r="AU90" s="92" t="e">
        <f t="shared" si="57"/>
        <v>#DIV/0!</v>
      </c>
      <c r="AV90" s="92" t="e">
        <f t="shared" si="58"/>
        <v>#DIV/0!</v>
      </c>
      <c r="AW90" s="92" t="e">
        <f t="shared" si="59"/>
        <v>#DIV/0!</v>
      </c>
    </row>
    <row r="91" spans="1:49">
      <c r="A91" s="9">
        <f t="shared" si="54"/>
        <v>42675</v>
      </c>
      <c r="B91" s="43"/>
      <c r="C91" s="43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6">
        <f t="shared" si="60"/>
        <v>0</v>
      </c>
      <c r="O91" s="40"/>
      <c r="P91" s="9">
        <f t="shared" si="55"/>
        <v>42675</v>
      </c>
      <c r="Q91" s="43"/>
      <c r="R91" s="43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6">
        <f t="shared" si="61"/>
        <v>0</v>
      </c>
      <c r="AD91" s="40"/>
      <c r="AE91" s="9">
        <f t="shared" si="56"/>
        <v>42675</v>
      </c>
      <c r="AF91" s="43"/>
      <c r="AG91" s="43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6">
        <f t="shared" si="62"/>
        <v>0</v>
      </c>
      <c r="AS91" s="30"/>
      <c r="AU91" s="92" t="e">
        <f t="shared" si="57"/>
        <v>#DIV/0!</v>
      </c>
      <c r="AV91" s="92" t="e">
        <f t="shared" si="58"/>
        <v>#DIV/0!</v>
      </c>
      <c r="AW91" s="92" t="e">
        <f t="shared" si="59"/>
        <v>#DIV/0!</v>
      </c>
    </row>
    <row r="92" spans="1:49">
      <c r="A92" s="9">
        <f t="shared" si="54"/>
        <v>42705</v>
      </c>
      <c r="B92" s="43"/>
      <c r="C92" s="43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6">
        <f t="shared" si="60"/>
        <v>0</v>
      </c>
      <c r="O92" s="40"/>
      <c r="P92" s="9">
        <f t="shared" si="55"/>
        <v>42705</v>
      </c>
      <c r="Q92" s="43"/>
      <c r="R92" s="43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6">
        <f t="shared" si="61"/>
        <v>0</v>
      </c>
      <c r="AD92" s="40"/>
      <c r="AE92" s="9">
        <f t="shared" si="56"/>
        <v>42705</v>
      </c>
      <c r="AF92" s="43"/>
      <c r="AG92" s="43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6">
        <f t="shared" si="62"/>
        <v>0</v>
      </c>
      <c r="AS92" s="30"/>
      <c r="AU92" s="92" t="e">
        <f t="shared" si="57"/>
        <v>#DIV/0!</v>
      </c>
      <c r="AV92" s="92" t="e">
        <f t="shared" si="58"/>
        <v>#DIV/0!</v>
      </c>
      <c r="AW92" s="92" t="e">
        <f t="shared" si="59"/>
        <v>#DIV/0!</v>
      </c>
    </row>
    <row r="93" spans="1:49">
      <c r="A93" s="9">
        <f t="shared" si="54"/>
        <v>42736</v>
      </c>
      <c r="B93" s="43"/>
      <c r="C93" s="43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6">
        <f t="shared" si="60"/>
        <v>0</v>
      </c>
      <c r="O93" s="40"/>
      <c r="P93" s="9">
        <f t="shared" si="55"/>
        <v>42736</v>
      </c>
      <c r="Q93" s="43"/>
      <c r="R93" s="43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6">
        <f t="shared" si="61"/>
        <v>0</v>
      </c>
      <c r="AD93" s="40"/>
      <c r="AE93" s="9">
        <f t="shared" si="56"/>
        <v>42736</v>
      </c>
      <c r="AF93" s="43"/>
      <c r="AG93" s="43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6">
        <f t="shared" si="62"/>
        <v>0</v>
      </c>
      <c r="AS93" s="30"/>
      <c r="AU93" s="92" t="e">
        <f t="shared" si="57"/>
        <v>#DIV/0!</v>
      </c>
      <c r="AV93" s="92" t="e">
        <f t="shared" si="58"/>
        <v>#DIV/0!</v>
      </c>
      <c r="AW93" s="92" t="e">
        <f t="shared" si="59"/>
        <v>#DIV/0!</v>
      </c>
    </row>
    <row r="94" spans="1:49">
      <c r="A94" s="9">
        <f t="shared" si="54"/>
        <v>42767</v>
      </c>
      <c r="B94" s="43"/>
      <c r="C94" s="43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6">
        <f t="shared" si="60"/>
        <v>0</v>
      </c>
      <c r="O94" s="40"/>
      <c r="P94" s="9">
        <f t="shared" si="55"/>
        <v>42767</v>
      </c>
      <c r="Q94" s="43"/>
      <c r="R94" s="43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6">
        <f t="shared" si="61"/>
        <v>0</v>
      </c>
      <c r="AD94" s="40"/>
      <c r="AE94" s="9">
        <f t="shared" si="56"/>
        <v>42767</v>
      </c>
      <c r="AF94" s="43"/>
      <c r="AG94" s="43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6">
        <f t="shared" si="62"/>
        <v>0</v>
      </c>
      <c r="AS94" s="30"/>
      <c r="AU94" s="92" t="e">
        <f t="shared" si="57"/>
        <v>#DIV/0!</v>
      </c>
      <c r="AV94" s="92" t="e">
        <f t="shared" si="58"/>
        <v>#DIV/0!</v>
      </c>
      <c r="AW94" s="92" t="e">
        <f t="shared" si="59"/>
        <v>#DIV/0!</v>
      </c>
    </row>
    <row r="95" spans="1:49">
      <c r="A95" s="9">
        <f t="shared" si="54"/>
        <v>42795</v>
      </c>
      <c r="B95" s="43"/>
      <c r="C95" s="43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6">
        <f t="shared" si="60"/>
        <v>0</v>
      </c>
      <c r="O95" s="40"/>
      <c r="P95" s="9">
        <f t="shared" si="55"/>
        <v>42795</v>
      </c>
      <c r="Q95" s="43"/>
      <c r="R95" s="43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6">
        <f t="shared" si="61"/>
        <v>0</v>
      </c>
      <c r="AD95" s="40"/>
      <c r="AE95" s="9">
        <f t="shared" si="56"/>
        <v>42795</v>
      </c>
      <c r="AF95" s="43"/>
      <c r="AG95" s="43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6">
        <f t="shared" si="62"/>
        <v>0</v>
      </c>
      <c r="AS95" s="30"/>
      <c r="AU95" s="92" t="e">
        <f t="shared" si="57"/>
        <v>#DIV/0!</v>
      </c>
      <c r="AV95" s="92" t="e">
        <f t="shared" si="58"/>
        <v>#DIV/0!</v>
      </c>
      <c r="AW95" s="92" t="e">
        <f t="shared" si="59"/>
        <v>#DIV/0!</v>
      </c>
    </row>
    <row r="96" spans="1:49">
      <c r="A96" s="128" t="s">
        <v>4</v>
      </c>
      <c r="B96" s="91">
        <f>SUM(B84:B95)</f>
        <v>0</v>
      </c>
      <c r="C96" s="91">
        <f t="shared" ref="C96:M96" si="63">SUM(C84:C95)</f>
        <v>0</v>
      </c>
      <c r="D96" s="91">
        <f t="shared" si="63"/>
        <v>0</v>
      </c>
      <c r="E96" s="91">
        <f t="shared" si="63"/>
        <v>0</v>
      </c>
      <c r="F96" s="91">
        <f t="shared" si="63"/>
        <v>0</v>
      </c>
      <c r="G96" s="91">
        <f t="shared" si="63"/>
        <v>287.78100000000001</v>
      </c>
      <c r="H96" s="91">
        <f t="shared" si="63"/>
        <v>0</v>
      </c>
      <c r="I96" s="91">
        <f t="shared" si="63"/>
        <v>0</v>
      </c>
      <c r="J96" s="91">
        <f t="shared" si="63"/>
        <v>0</v>
      </c>
      <c r="K96" s="91">
        <f t="shared" si="63"/>
        <v>0</v>
      </c>
      <c r="L96" s="91">
        <f t="shared" si="63"/>
        <v>20</v>
      </c>
      <c r="M96" s="91">
        <f t="shared" si="63"/>
        <v>0</v>
      </c>
      <c r="N96" s="127">
        <f t="shared" si="60"/>
        <v>307.78100000000001</v>
      </c>
      <c r="O96" s="40"/>
      <c r="P96" s="128" t="s">
        <v>4</v>
      </c>
      <c r="Q96" s="91">
        <f>SUM(Q84:Q95)</f>
        <v>0</v>
      </c>
      <c r="R96" s="91">
        <f t="shared" ref="R96:AB96" si="64">SUM(R84:R95)</f>
        <v>0</v>
      </c>
      <c r="S96" s="91">
        <f t="shared" si="64"/>
        <v>0</v>
      </c>
      <c r="T96" s="91">
        <f t="shared" si="64"/>
        <v>0</v>
      </c>
      <c r="U96" s="91">
        <f t="shared" si="64"/>
        <v>0</v>
      </c>
      <c r="V96" s="91">
        <f t="shared" si="64"/>
        <v>21907135.989999998</v>
      </c>
      <c r="W96" s="91">
        <f t="shared" si="64"/>
        <v>0</v>
      </c>
      <c r="X96" s="91">
        <f t="shared" si="64"/>
        <v>0</v>
      </c>
      <c r="Y96" s="91">
        <f t="shared" si="64"/>
        <v>0</v>
      </c>
      <c r="Z96" s="91">
        <f t="shared" si="64"/>
        <v>0</v>
      </c>
      <c r="AA96" s="91">
        <f t="shared" si="64"/>
        <v>1685638.54</v>
      </c>
      <c r="AB96" s="91">
        <f t="shared" si="64"/>
        <v>0</v>
      </c>
      <c r="AC96" s="127">
        <f t="shared" si="61"/>
        <v>23592774.529999997</v>
      </c>
      <c r="AD96" s="40"/>
      <c r="AE96" s="128" t="s">
        <v>4</v>
      </c>
      <c r="AF96" s="91">
        <f>SUM(AF84:AF95)</f>
        <v>0</v>
      </c>
      <c r="AG96" s="91">
        <f t="shared" ref="AG96:AQ96" si="65">SUM(AG84:AG95)</f>
        <v>0</v>
      </c>
      <c r="AH96" s="91">
        <f t="shared" si="65"/>
        <v>0</v>
      </c>
      <c r="AI96" s="91">
        <f t="shared" si="65"/>
        <v>0</v>
      </c>
      <c r="AJ96" s="91">
        <f t="shared" si="65"/>
        <v>0</v>
      </c>
      <c r="AK96" s="91">
        <f t="shared" si="65"/>
        <v>321219.00278592372</v>
      </c>
      <c r="AL96" s="91">
        <f t="shared" si="65"/>
        <v>0</v>
      </c>
      <c r="AM96" s="91">
        <f t="shared" si="65"/>
        <v>0</v>
      </c>
      <c r="AN96" s="91">
        <f t="shared" si="65"/>
        <v>0</v>
      </c>
      <c r="AO96" s="91">
        <f t="shared" si="65"/>
        <v>0</v>
      </c>
      <c r="AP96" s="91">
        <f t="shared" si="65"/>
        <v>24743.721465262948</v>
      </c>
      <c r="AQ96" s="91">
        <f t="shared" si="65"/>
        <v>0</v>
      </c>
      <c r="AR96" s="127">
        <f t="shared" si="62"/>
        <v>345962.72425118665</v>
      </c>
      <c r="AS96" s="30"/>
      <c r="AU96" s="40"/>
      <c r="AV96" s="40"/>
      <c r="AW96" s="40"/>
    </row>
    <row r="97" spans="1:49">
      <c r="A97" s="40"/>
      <c r="D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S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U97" s="40"/>
      <c r="AV97" s="40"/>
      <c r="AW97" s="40"/>
    </row>
    <row r="98" spans="1:49">
      <c r="A98" s="40"/>
      <c r="D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S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U98" s="40"/>
      <c r="AV98" s="40"/>
      <c r="AW98" s="40"/>
    </row>
    <row r="99" spans="1:49">
      <c r="A99" s="25" t="s">
        <v>7</v>
      </c>
      <c r="B99" s="161" t="s">
        <v>133</v>
      </c>
      <c r="C99" s="161" t="s">
        <v>19</v>
      </c>
      <c r="D99" s="161" t="s">
        <v>17</v>
      </c>
      <c r="E99" s="161" t="s">
        <v>134</v>
      </c>
      <c r="F99" s="161" t="s">
        <v>10</v>
      </c>
      <c r="G99" s="161" t="s">
        <v>11</v>
      </c>
      <c r="H99" s="161" t="s">
        <v>12</v>
      </c>
      <c r="I99" s="161" t="s">
        <v>13</v>
      </c>
      <c r="J99" s="161" t="s">
        <v>14</v>
      </c>
      <c r="K99" s="161" t="s">
        <v>18</v>
      </c>
      <c r="L99" s="161" t="s">
        <v>15</v>
      </c>
      <c r="M99" s="161" t="s">
        <v>16</v>
      </c>
      <c r="N99" s="27" t="s">
        <v>20</v>
      </c>
      <c r="O99" s="40"/>
      <c r="P99" s="25" t="s">
        <v>7</v>
      </c>
      <c r="Q99" s="161" t="s">
        <v>133</v>
      </c>
      <c r="R99" s="161" t="s">
        <v>19</v>
      </c>
      <c r="S99" s="161" t="s">
        <v>17</v>
      </c>
      <c r="T99" s="161" t="s">
        <v>134</v>
      </c>
      <c r="U99" s="161" t="s">
        <v>10</v>
      </c>
      <c r="V99" s="161" t="s">
        <v>11</v>
      </c>
      <c r="W99" s="161" t="s">
        <v>12</v>
      </c>
      <c r="X99" s="161" t="s">
        <v>13</v>
      </c>
      <c r="Y99" s="161" t="s">
        <v>14</v>
      </c>
      <c r="Z99" s="161" t="s">
        <v>18</v>
      </c>
      <c r="AA99" s="161" t="s">
        <v>15</v>
      </c>
      <c r="AB99" s="161" t="s">
        <v>16</v>
      </c>
      <c r="AC99" s="27" t="s">
        <v>20</v>
      </c>
      <c r="AD99" s="40"/>
      <c r="AE99" s="25" t="s">
        <v>7</v>
      </c>
      <c r="AF99" s="161" t="s">
        <v>133</v>
      </c>
      <c r="AG99" s="161" t="s">
        <v>19</v>
      </c>
      <c r="AH99" s="161" t="s">
        <v>17</v>
      </c>
      <c r="AI99" s="161" t="s">
        <v>134</v>
      </c>
      <c r="AJ99" s="161" t="s">
        <v>10</v>
      </c>
      <c r="AK99" s="161" t="s">
        <v>11</v>
      </c>
      <c r="AL99" s="161" t="s">
        <v>12</v>
      </c>
      <c r="AM99" s="161" t="s">
        <v>13</v>
      </c>
      <c r="AN99" s="161" t="s">
        <v>14</v>
      </c>
      <c r="AO99" s="161" t="s">
        <v>18</v>
      </c>
      <c r="AP99" s="161" t="s">
        <v>15</v>
      </c>
      <c r="AQ99" s="161" t="s">
        <v>16</v>
      </c>
      <c r="AR99" s="27" t="s">
        <v>20</v>
      </c>
      <c r="AS99" s="163"/>
      <c r="AU99" s="40"/>
      <c r="AV99" s="40"/>
      <c r="AW99" s="40"/>
    </row>
    <row r="100" spans="1:49">
      <c r="A100" s="9">
        <f t="shared" ref="A100:A111" si="66">A4</f>
        <v>42461</v>
      </c>
      <c r="B100" s="43"/>
      <c r="C100" s="43"/>
      <c r="D100" s="41"/>
      <c r="E100" s="41"/>
      <c r="F100" s="41"/>
      <c r="G100" s="41"/>
      <c r="H100" s="41"/>
      <c r="I100" s="41"/>
      <c r="J100" s="41"/>
      <c r="K100" s="41"/>
      <c r="L100" s="41">
        <v>17.14</v>
      </c>
      <c r="M100" s="41"/>
      <c r="N100" s="6">
        <f>SUM(B100:M100)</f>
        <v>17.14</v>
      </c>
      <c r="O100" s="40"/>
      <c r="P100" s="9">
        <f t="shared" ref="P100:P111" si="67">P4</f>
        <v>42461</v>
      </c>
      <c r="Q100" s="43"/>
      <c r="R100" s="43"/>
      <c r="S100" s="41"/>
      <c r="T100" s="41"/>
      <c r="U100" s="41"/>
      <c r="V100" s="41"/>
      <c r="W100" s="41"/>
      <c r="X100" s="41"/>
      <c r="Y100" s="41"/>
      <c r="Z100" s="41"/>
      <c r="AA100" s="41">
        <v>2126241.13</v>
      </c>
      <c r="AB100" s="41"/>
      <c r="AC100" s="6">
        <f>SUM(Q100:AB100)</f>
        <v>2126241.13</v>
      </c>
      <c r="AD100" s="40"/>
      <c r="AE100" s="9">
        <f t="shared" ref="AE100:AE111" si="68">AE4</f>
        <v>42461</v>
      </c>
      <c r="AF100" s="43"/>
      <c r="AG100" s="43"/>
      <c r="AH100" s="41"/>
      <c r="AI100" s="41"/>
      <c r="AJ100" s="41"/>
      <c r="AK100" s="41"/>
      <c r="AL100" s="41"/>
      <c r="AM100" s="41"/>
      <c r="AN100" s="41"/>
      <c r="AO100" s="41"/>
      <c r="AP100" s="41">
        <v>31519.637800365388</v>
      </c>
      <c r="AQ100" s="41"/>
      <c r="AR100" s="6">
        <f>SUM(AF100:AQ100)</f>
        <v>31519.637800365388</v>
      </c>
      <c r="AS100" s="30"/>
      <c r="AU100" s="92" t="e">
        <f t="shared" ref="AU100:AU111" si="69">+AK100/G100</f>
        <v>#DIV/0!</v>
      </c>
      <c r="AV100" s="92" t="e">
        <f t="shared" ref="AV100:AV111" si="70">+AL100/H100</f>
        <v>#DIV/0!</v>
      </c>
      <c r="AW100" s="92" t="e">
        <f t="shared" ref="AW100:AW111" si="71">+AM100/I100</f>
        <v>#DIV/0!</v>
      </c>
    </row>
    <row r="101" spans="1:49">
      <c r="A101" s="9">
        <f t="shared" si="66"/>
        <v>42491</v>
      </c>
      <c r="B101" s="43"/>
      <c r="C101" s="43"/>
      <c r="D101" s="41"/>
      <c r="E101" s="41"/>
      <c r="F101" s="41">
        <v>37.68</v>
      </c>
      <c r="G101" s="41"/>
      <c r="H101" s="41"/>
      <c r="I101" s="41"/>
      <c r="J101" s="41"/>
      <c r="K101" s="41"/>
      <c r="L101" s="41"/>
      <c r="M101" s="41"/>
      <c r="N101" s="6">
        <f t="shared" ref="N101:N112" si="72">SUM(B101:M101)</f>
        <v>37.68</v>
      </c>
      <c r="O101" s="40"/>
      <c r="P101" s="9">
        <f t="shared" si="67"/>
        <v>42491</v>
      </c>
      <c r="Q101" s="43"/>
      <c r="R101" s="43"/>
      <c r="S101" s="41"/>
      <c r="T101" s="41"/>
      <c r="U101" s="41">
        <v>3833271.18</v>
      </c>
      <c r="V101" s="41"/>
      <c r="W101" s="41"/>
      <c r="X101" s="41"/>
      <c r="Y101" s="41"/>
      <c r="Z101" s="41"/>
      <c r="AA101" s="41"/>
      <c r="AB101" s="41"/>
      <c r="AC101" s="6">
        <f t="shared" ref="AC101:AC112" si="73">SUM(Q101:AB101)</f>
        <v>3833271.18</v>
      </c>
      <c r="AD101" s="40"/>
      <c r="AE101" s="9">
        <f t="shared" si="68"/>
        <v>42491</v>
      </c>
      <c r="AF101" s="43"/>
      <c r="AG101" s="43"/>
      <c r="AH101" s="41"/>
      <c r="AI101" s="41"/>
      <c r="AJ101" s="41">
        <v>57085.2</v>
      </c>
      <c r="AK101" s="41"/>
      <c r="AL101" s="41"/>
      <c r="AM101" s="41"/>
      <c r="AN101" s="41"/>
      <c r="AO101" s="41"/>
      <c r="AP101" s="41"/>
      <c r="AQ101" s="41"/>
      <c r="AR101" s="6">
        <f t="shared" ref="AR101:AR112" si="74">SUM(AF101:AQ101)</f>
        <v>57085.2</v>
      </c>
      <c r="AS101" s="30"/>
      <c r="AU101" s="92" t="e">
        <f t="shared" si="69"/>
        <v>#DIV/0!</v>
      </c>
      <c r="AV101" s="92" t="e">
        <f t="shared" si="70"/>
        <v>#DIV/0!</v>
      </c>
      <c r="AW101" s="92" t="e">
        <f t="shared" si="71"/>
        <v>#DIV/0!</v>
      </c>
    </row>
    <row r="102" spans="1:49">
      <c r="A102" s="9">
        <f t="shared" si="66"/>
        <v>42522</v>
      </c>
      <c r="B102" s="43"/>
      <c r="C102" s="43"/>
      <c r="D102" s="41">
        <v>19</v>
      </c>
      <c r="E102" s="41"/>
      <c r="F102" s="41"/>
      <c r="G102" s="41"/>
      <c r="H102" s="41"/>
      <c r="I102" s="41"/>
      <c r="J102" s="41"/>
      <c r="K102" s="41"/>
      <c r="L102" s="41"/>
      <c r="M102" s="41"/>
      <c r="N102" s="6">
        <f t="shared" si="72"/>
        <v>19</v>
      </c>
      <c r="O102" s="40"/>
      <c r="P102" s="9">
        <f t="shared" si="67"/>
        <v>42522</v>
      </c>
      <c r="Q102" s="43"/>
      <c r="R102" s="43"/>
      <c r="S102" s="41">
        <v>2376700.69</v>
      </c>
      <c r="T102" s="41"/>
      <c r="U102" s="41"/>
      <c r="V102" s="41"/>
      <c r="W102" s="41"/>
      <c r="X102" s="41"/>
      <c r="Y102" s="41"/>
      <c r="Z102" s="41"/>
      <c r="AA102" s="41"/>
      <c r="AB102" s="41"/>
      <c r="AC102" s="6">
        <f t="shared" si="73"/>
        <v>2376700.69</v>
      </c>
      <c r="AD102" s="40"/>
      <c r="AE102" s="9">
        <f t="shared" si="68"/>
        <v>42522</v>
      </c>
      <c r="AF102" s="43"/>
      <c r="AG102" s="43"/>
      <c r="AH102" s="41">
        <v>34925.800000000003</v>
      </c>
      <c r="AI102" s="41"/>
      <c r="AJ102" s="41"/>
      <c r="AK102" s="41"/>
      <c r="AL102" s="41"/>
      <c r="AM102" s="41"/>
      <c r="AN102" s="41"/>
      <c r="AO102" s="41"/>
      <c r="AP102" s="41"/>
      <c r="AQ102" s="41"/>
      <c r="AR102" s="6">
        <f t="shared" si="74"/>
        <v>34925.800000000003</v>
      </c>
      <c r="AS102" s="30"/>
      <c r="AU102" s="92" t="e">
        <f t="shared" si="69"/>
        <v>#DIV/0!</v>
      </c>
      <c r="AV102" s="92" t="e">
        <f t="shared" si="70"/>
        <v>#DIV/0!</v>
      </c>
      <c r="AW102" s="92" t="e">
        <f t="shared" si="71"/>
        <v>#DIV/0!</v>
      </c>
    </row>
    <row r="103" spans="1:49">
      <c r="A103" s="9">
        <f t="shared" si="66"/>
        <v>42552</v>
      </c>
      <c r="B103" s="43"/>
      <c r="C103" s="43"/>
      <c r="D103" s="41">
        <v>19.02</v>
      </c>
      <c r="E103" s="41"/>
      <c r="F103" s="41">
        <v>84.52000000000001</v>
      </c>
      <c r="G103" s="41">
        <v>5.4729999999999999</v>
      </c>
      <c r="H103" s="41"/>
      <c r="I103" s="41"/>
      <c r="J103" s="41"/>
      <c r="K103" s="41"/>
      <c r="L103" s="41">
        <v>12.48</v>
      </c>
      <c r="M103" s="41"/>
      <c r="N103" s="6">
        <f t="shared" si="72"/>
        <v>121.49300000000001</v>
      </c>
      <c r="O103" s="40"/>
      <c r="P103" s="9">
        <f t="shared" si="67"/>
        <v>42552</v>
      </c>
      <c r="Q103" s="43"/>
      <c r="R103" s="43"/>
      <c r="S103" s="41">
        <v>2379202.48</v>
      </c>
      <c r="T103" s="41"/>
      <c r="U103" s="41">
        <v>8899906.3300000001</v>
      </c>
      <c r="V103" s="41">
        <v>400293.95</v>
      </c>
      <c r="W103" s="41"/>
      <c r="X103" s="41"/>
      <c r="Y103" s="41"/>
      <c r="Z103" s="41"/>
      <c r="AA103" s="41">
        <v>1535049.95</v>
      </c>
      <c r="AB103" s="41"/>
      <c r="AC103" s="6">
        <f t="shared" si="73"/>
        <v>13214452.709999999</v>
      </c>
      <c r="AD103" s="40"/>
      <c r="AE103" s="9">
        <f t="shared" si="68"/>
        <v>42552</v>
      </c>
      <c r="AF103" s="43"/>
      <c r="AG103" s="43"/>
      <c r="AH103" s="41">
        <v>34962.563997060985</v>
      </c>
      <c r="AI103" s="41"/>
      <c r="AJ103" s="41">
        <v>130592.90286133529</v>
      </c>
      <c r="AK103" s="41">
        <v>5869.4127565982408</v>
      </c>
      <c r="AL103" s="41"/>
      <c r="AM103" s="41"/>
      <c r="AN103" s="41"/>
      <c r="AO103" s="41"/>
      <c r="AP103" s="41">
        <v>22508.063782991201</v>
      </c>
      <c r="AQ103" s="41"/>
      <c r="AR103" s="6">
        <f t="shared" si="74"/>
        <v>193932.94339798571</v>
      </c>
      <c r="AS103" s="30"/>
      <c r="AU103" s="92">
        <f t="shared" si="69"/>
        <v>1072.4306151284927</v>
      </c>
      <c r="AV103" s="92" t="e">
        <f t="shared" si="70"/>
        <v>#DIV/0!</v>
      </c>
      <c r="AW103" s="92" t="e">
        <f t="shared" si="71"/>
        <v>#DIV/0!</v>
      </c>
    </row>
    <row r="104" spans="1:49">
      <c r="A104" s="9">
        <f t="shared" si="66"/>
        <v>42583</v>
      </c>
      <c r="B104" s="43"/>
      <c r="C104" s="43"/>
      <c r="D104" s="41">
        <v>35.980000000000004</v>
      </c>
      <c r="E104" s="41"/>
      <c r="F104" s="41">
        <v>18.98</v>
      </c>
      <c r="G104" s="41">
        <v>64.13</v>
      </c>
      <c r="H104" s="41"/>
      <c r="I104" s="41"/>
      <c r="J104" s="41"/>
      <c r="K104" s="41"/>
      <c r="L104" s="41"/>
      <c r="M104" s="41"/>
      <c r="N104" s="6">
        <f t="shared" si="72"/>
        <v>119.09</v>
      </c>
      <c r="O104" s="40"/>
      <c r="P104" s="9">
        <f t="shared" si="67"/>
        <v>42583</v>
      </c>
      <c r="Q104" s="43"/>
      <c r="R104" s="43"/>
      <c r="S104" s="41">
        <v>4480879.04</v>
      </c>
      <c r="T104" s="41"/>
      <c r="U104" s="41">
        <v>2013068.62</v>
      </c>
      <c r="V104" s="41">
        <v>5221750.8600000003</v>
      </c>
      <c r="W104" s="41"/>
      <c r="X104" s="41"/>
      <c r="Y104" s="41"/>
      <c r="Z104" s="41"/>
      <c r="AA104" s="41"/>
      <c r="AB104" s="41"/>
      <c r="AC104" s="6">
        <f t="shared" si="73"/>
        <v>11715698.52</v>
      </c>
      <c r="AD104" s="40"/>
      <c r="AE104" s="9">
        <f t="shared" si="68"/>
        <v>42583</v>
      </c>
      <c r="AF104" s="43"/>
      <c r="AG104" s="43"/>
      <c r="AH104" s="41">
        <v>66138.43601476014</v>
      </c>
      <c r="AI104" s="41"/>
      <c r="AJ104" s="41">
        <v>29713.189963099634</v>
      </c>
      <c r="AK104" s="41">
        <v>77073.813431734321</v>
      </c>
      <c r="AL104" s="41"/>
      <c r="AM104" s="41"/>
      <c r="AN104" s="41"/>
      <c r="AO104" s="41"/>
      <c r="AP104" s="41"/>
      <c r="AQ104" s="41"/>
      <c r="AR104" s="6">
        <f t="shared" si="74"/>
        <v>172925.43940959411</v>
      </c>
      <c r="AS104" s="30"/>
      <c r="AU104" s="92">
        <f t="shared" si="69"/>
        <v>1201.8371032548623</v>
      </c>
      <c r="AV104" s="92" t="e">
        <f t="shared" si="70"/>
        <v>#DIV/0!</v>
      </c>
      <c r="AW104" s="92" t="e">
        <f t="shared" si="71"/>
        <v>#DIV/0!</v>
      </c>
    </row>
    <row r="105" spans="1:49">
      <c r="A105" s="9">
        <f t="shared" si="66"/>
        <v>42614</v>
      </c>
      <c r="B105" s="43"/>
      <c r="C105" s="43"/>
      <c r="D105" s="41">
        <v>37.959999999999994</v>
      </c>
      <c r="E105" s="41"/>
      <c r="F105" s="41">
        <v>75.42</v>
      </c>
      <c r="G105" s="41"/>
      <c r="H105" s="41"/>
      <c r="I105" s="41"/>
      <c r="J105" s="41"/>
      <c r="K105" s="41"/>
      <c r="L105" s="41"/>
      <c r="M105" s="41"/>
      <c r="N105" s="6">
        <f t="shared" si="72"/>
        <v>113.38</v>
      </c>
      <c r="O105" s="40"/>
      <c r="P105" s="9">
        <f t="shared" si="67"/>
        <v>42614</v>
      </c>
      <c r="Q105" s="43"/>
      <c r="R105" s="43"/>
      <c r="S105" s="41">
        <v>4732675.67</v>
      </c>
      <c r="T105" s="41"/>
      <c r="U105" s="41">
        <v>7723667.8599999994</v>
      </c>
      <c r="V105" s="41"/>
      <c r="W105" s="41"/>
      <c r="X105" s="41"/>
      <c r="Y105" s="41"/>
      <c r="Z105" s="41"/>
      <c r="AA105" s="41"/>
      <c r="AB105" s="41"/>
      <c r="AC105" s="6">
        <f t="shared" si="73"/>
        <v>12456343.529999999</v>
      </c>
      <c r="AD105" s="40"/>
      <c r="AE105" s="9">
        <f t="shared" si="68"/>
        <v>42614</v>
      </c>
      <c r="AF105" s="43"/>
      <c r="AG105" s="43"/>
      <c r="AH105" s="41">
        <v>69854.991439114383</v>
      </c>
      <c r="AI105" s="41"/>
      <c r="AJ105" s="41">
        <v>114002.47763837638</v>
      </c>
      <c r="AK105" s="41"/>
      <c r="AL105" s="41"/>
      <c r="AM105" s="41"/>
      <c r="AN105" s="41"/>
      <c r="AO105" s="41"/>
      <c r="AP105" s="41"/>
      <c r="AQ105" s="41"/>
      <c r="AR105" s="6">
        <f t="shared" si="74"/>
        <v>183857.46907749076</v>
      </c>
      <c r="AS105" s="30"/>
      <c r="AU105" s="92" t="e">
        <f t="shared" si="69"/>
        <v>#DIV/0!</v>
      </c>
      <c r="AV105" s="92" t="e">
        <f t="shared" si="70"/>
        <v>#DIV/0!</v>
      </c>
      <c r="AW105" s="92" t="e">
        <f t="shared" si="71"/>
        <v>#DIV/0!</v>
      </c>
    </row>
    <row r="106" spans="1:49">
      <c r="A106" s="9">
        <f t="shared" si="66"/>
        <v>42644</v>
      </c>
      <c r="B106" s="43"/>
      <c r="C106" s="43"/>
      <c r="D106" s="41">
        <v>17.97</v>
      </c>
      <c r="E106" s="41"/>
      <c r="F106" s="41">
        <v>89.06</v>
      </c>
      <c r="G106" s="41"/>
      <c r="H106" s="41"/>
      <c r="I106" s="41"/>
      <c r="J106" s="41"/>
      <c r="K106" s="41"/>
      <c r="L106" s="41">
        <v>5.76</v>
      </c>
      <c r="M106" s="41"/>
      <c r="N106" s="6">
        <f t="shared" si="72"/>
        <v>112.79</v>
      </c>
      <c r="O106" s="40"/>
      <c r="P106" s="9">
        <f t="shared" si="67"/>
        <v>42644</v>
      </c>
      <c r="Q106" s="43"/>
      <c r="R106" s="43"/>
      <c r="S106" s="41">
        <v>2206822.02</v>
      </c>
      <c r="T106" s="41"/>
      <c r="U106" s="41">
        <v>9141229.7300000004</v>
      </c>
      <c r="V106" s="41"/>
      <c r="W106" s="41"/>
      <c r="X106" s="41"/>
      <c r="Y106" s="41"/>
      <c r="Z106" s="41"/>
      <c r="AA106" s="41">
        <v>718088.07</v>
      </c>
      <c r="AB106" s="41"/>
      <c r="AC106" s="6">
        <f t="shared" si="73"/>
        <v>12066139.82</v>
      </c>
      <c r="AD106" s="40"/>
      <c r="AE106" s="9">
        <f t="shared" si="68"/>
        <v>42644</v>
      </c>
      <c r="AF106" s="43"/>
      <c r="AG106" s="43"/>
      <c r="AH106" s="41">
        <v>32669.46</v>
      </c>
      <c r="AI106" s="41"/>
      <c r="AJ106" s="41">
        <v>134925.90007380073</v>
      </c>
      <c r="AK106" s="41"/>
      <c r="AL106" s="41"/>
      <c r="AM106" s="41"/>
      <c r="AN106" s="41"/>
      <c r="AO106" s="41"/>
      <c r="AP106" s="41">
        <v>10638.34</v>
      </c>
      <c r="AQ106" s="41"/>
      <c r="AR106" s="6">
        <f t="shared" si="74"/>
        <v>178233.70007380072</v>
      </c>
      <c r="AS106" s="30"/>
      <c r="AU106" s="92" t="e">
        <f t="shared" si="69"/>
        <v>#DIV/0!</v>
      </c>
      <c r="AV106" s="92" t="e">
        <f t="shared" si="70"/>
        <v>#DIV/0!</v>
      </c>
      <c r="AW106" s="92" t="e">
        <f t="shared" si="71"/>
        <v>#DIV/0!</v>
      </c>
    </row>
    <row r="107" spans="1:49">
      <c r="A107" s="9">
        <f t="shared" si="66"/>
        <v>42675</v>
      </c>
      <c r="B107" s="43"/>
      <c r="C107" s="43"/>
      <c r="D107" s="41">
        <v>18.079999999999998</v>
      </c>
      <c r="E107" s="41"/>
      <c r="F107" s="41"/>
      <c r="G107" s="41"/>
      <c r="H107" s="41"/>
      <c r="I107" s="41"/>
      <c r="J107" s="41"/>
      <c r="K107" s="41"/>
      <c r="L107" s="41">
        <v>1.44</v>
      </c>
      <c r="M107" s="41"/>
      <c r="N107" s="6">
        <f t="shared" si="72"/>
        <v>19.52</v>
      </c>
      <c r="O107" s="40"/>
      <c r="P107" s="9">
        <f t="shared" si="67"/>
        <v>42675</v>
      </c>
      <c r="Q107" s="43"/>
      <c r="R107" s="43"/>
      <c r="S107" s="41">
        <v>2221974.14</v>
      </c>
      <c r="T107" s="41"/>
      <c r="U107" s="41"/>
      <c r="V107" s="41"/>
      <c r="W107" s="41"/>
      <c r="X107" s="41"/>
      <c r="Y107" s="41"/>
      <c r="Z107" s="41"/>
      <c r="AA107" s="41">
        <v>201534.5</v>
      </c>
      <c r="AB107" s="41"/>
      <c r="AC107" s="6">
        <f t="shared" si="73"/>
        <v>2423508.64</v>
      </c>
      <c r="AD107" s="40"/>
      <c r="AE107" s="9">
        <f t="shared" si="68"/>
        <v>42675</v>
      </c>
      <c r="AF107" s="43"/>
      <c r="AG107" s="43"/>
      <c r="AH107" s="41">
        <v>32869.440000000002</v>
      </c>
      <c r="AI107" s="41"/>
      <c r="AJ107" s="41"/>
      <c r="AK107" s="41"/>
      <c r="AL107" s="41"/>
      <c r="AM107" s="41"/>
      <c r="AN107" s="41"/>
      <c r="AO107" s="41"/>
      <c r="AP107" s="41">
        <v>2981.28</v>
      </c>
      <c r="AQ107" s="41"/>
      <c r="AR107" s="6">
        <f t="shared" si="74"/>
        <v>35850.720000000001</v>
      </c>
      <c r="AS107" s="30"/>
      <c r="AU107" s="92" t="e">
        <f t="shared" si="69"/>
        <v>#DIV/0!</v>
      </c>
      <c r="AV107" s="92" t="e">
        <f t="shared" si="70"/>
        <v>#DIV/0!</v>
      </c>
      <c r="AW107" s="92" t="e">
        <f t="shared" si="71"/>
        <v>#DIV/0!</v>
      </c>
    </row>
    <row r="108" spans="1:49">
      <c r="A108" s="9">
        <f t="shared" si="66"/>
        <v>42705</v>
      </c>
      <c r="B108" s="43"/>
      <c r="C108" s="43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6">
        <f t="shared" si="72"/>
        <v>0</v>
      </c>
      <c r="O108" s="40"/>
      <c r="P108" s="9">
        <f t="shared" si="67"/>
        <v>42705</v>
      </c>
      <c r="Q108" s="43"/>
      <c r="R108" s="43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6">
        <f t="shared" si="73"/>
        <v>0</v>
      </c>
      <c r="AD108" s="40"/>
      <c r="AE108" s="9">
        <f t="shared" si="68"/>
        <v>42705</v>
      </c>
      <c r="AF108" s="43"/>
      <c r="AG108" s="43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6">
        <f t="shared" si="74"/>
        <v>0</v>
      </c>
      <c r="AS108" s="30"/>
      <c r="AU108" s="92" t="e">
        <f t="shared" si="69"/>
        <v>#DIV/0!</v>
      </c>
      <c r="AV108" s="92" t="e">
        <f t="shared" si="70"/>
        <v>#DIV/0!</v>
      </c>
      <c r="AW108" s="92" t="e">
        <f t="shared" si="71"/>
        <v>#DIV/0!</v>
      </c>
    </row>
    <row r="109" spans="1:49">
      <c r="A109" s="9">
        <f t="shared" si="66"/>
        <v>42736</v>
      </c>
      <c r="B109" s="43"/>
      <c r="C109" s="43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6">
        <f t="shared" si="72"/>
        <v>0</v>
      </c>
      <c r="O109" s="40"/>
      <c r="P109" s="9">
        <f t="shared" si="67"/>
        <v>42736</v>
      </c>
      <c r="Q109" s="43"/>
      <c r="R109" s="43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6">
        <f t="shared" si="73"/>
        <v>0</v>
      </c>
      <c r="AD109" s="40"/>
      <c r="AE109" s="9">
        <f t="shared" si="68"/>
        <v>42736</v>
      </c>
      <c r="AF109" s="43"/>
      <c r="AG109" s="43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6">
        <f t="shared" si="74"/>
        <v>0</v>
      </c>
      <c r="AS109" s="30"/>
      <c r="AU109" s="92" t="e">
        <f t="shared" si="69"/>
        <v>#DIV/0!</v>
      </c>
      <c r="AV109" s="92" t="e">
        <f t="shared" si="70"/>
        <v>#DIV/0!</v>
      </c>
      <c r="AW109" s="92" t="e">
        <f t="shared" si="71"/>
        <v>#DIV/0!</v>
      </c>
    </row>
    <row r="110" spans="1:49">
      <c r="A110" s="9">
        <f t="shared" si="66"/>
        <v>42767</v>
      </c>
      <c r="B110" s="43"/>
      <c r="C110" s="43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6">
        <f t="shared" si="72"/>
        <v>0</v>
      </c>
      <c r="O110" s="40"/>
      <c r="P110" s="9">
        <f t="shared" si="67"/>
        <v>42767</v>
      </c>
      <c r="Q110" s="43"/>
      <c r="R110" s="43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6">
        <f t="shared" si="73"/>
        <v>0</v>
      </c>
      <c r="AD110" s="40"/>
      <c r="AE110" s="9">
        <f t="shared" si="68"/>
        <v>42767</v>
      </c>
      <c r="AF110" s="43"/>
      <c r="AG110" s="43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6">
        <f t="shared" si="74"/>
        <v>0</v>
      </c>
      <c r="AS110" s="30"/>
      <c r="AU110" s="92" t="e">
        <f t="shared" si="69"/>
        <v>#DIV/0!</v>
      </c>
      <c r="AV110" s="92" t="e">
        <f t="shared" si="70"/>
        <v>#DIV/0!</v>
      </c>
      <c r="AW110" s="92" t="e">
        <f t="shared" si="71"/>
        <v>#DIV/0!</v>
      </c>
    </row>
    <row r="111" spans="1:49">
      <c r="A111" s="9">
        <f t="shared" si="66"/>
        <v>42795</v>
      </c>
      <c r="B111" s="43"/>
      <c r="C111" s="43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6">
        <f t="shared" si="72"/>
        <v>0</v>
      </c>
      <c r="O111" s="40"/>
      <c r="P111" s="9">
        <f t="shared" si="67"/>
        <v>42795</v>
      </c>
      <c r="Q111" s="43"/>
      <c r="R111" s="43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6">
        <f t="shared" si="73"/>
        <v>0</v>
      </c>
      <c r="AD111" s="40"/>
      <c r="AE111" s="9">
        <f t="shared" si="68"/>
        <v>42795</v>
      </c>
      <c r="AF111" s="43"/>
      <c r="AG111" s="43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6">
        <f t="shared" si="74"/>
        <v>0</v>
      </c>
      <c r="AS111" s="30"/>
      <c r="AU111" s="92" t="e">
        <f t="shared" si="69"/>
        <v>#DIV/0!</v>
      </c>
      <c r="AV111" s="92" t="e">
        <f t="shared" si="70"/>
        <v>#DIV/0!</v>
      </c>
      <c r="AW111" s="92" t="e">
        <f t="shared" si="71"/>
        <v>#DIV/0!</v>
      </c>
    </row>
    <row r="112" spans="1:49">
      <c r="A112" s="128" t="s">
        <v>4</v>
      </c>
      <c r="B112" s="91">
        <f>SUM(B100:B111)</f>
        <v>0</v>
      </c>
      <c r="C112" s="91">
        <f t="shared" ref="C112:M112" si="75">SUM(C100:C111)</f>
        <v>0</v>
      </c>
      <c r="D112" s="91">
        <f t="shared" si="75"/>
        <v>148.01</v>
      </c>
      <c r="E112" s="91">
        <f t="shared" si="75"/>
        <v>0</v>
      </c>
      <c r="F112" s="91">
        <f t="shared" si="75"/>
        <v>305.66000000000003</v>
      </c>
      <c r="G112" s="91">
        <f t="shared" si="75"/>
        <v>69.602999999999994</v>
      </c>
      <c r="H112" s="91">
        <f t="shared" si="75"/>
        <v>0</v>
      </c>
      <c r="I112" s="91">
        <f t="shared" si="75"/>
        <v>0</v>
      </c>
      <c r="J112" s="91">
        <f t="shared" si="75"/>
        <v>0</v>
      </c>
      <c r="K112" s="91">
        <f t="shared" si="75"/>
        <v>0</v>
      </c>
      <c r="L112" s="91">
        <f t="shared" si="75"/>
        <v>36.82</v>
      </c>
      <c r="M112" s="91">
        <f t="shared" si="75"/>
        <v>0</v>
      </c>
      <c r="N112" s="127">
        <f t="shared" si="72"/>
        <v>560.09300000000007</v>
      </c>
      <c r="O112" s="40"/>
      <c r="P112" s="128" t="s">
        <v>4</v>
      </c>
      <c r="Q112" s="91">
        <f>SUM(Q100:Q111)</f>
        <v>0</v>
      </c>
      <c r="R112" s="91">
        <f t="shared" ref="R112:AB112" si="76">SUM(R100:R111)</f>
        <v>0</v>
      </c>
      <c r="S112" s="91">
        <f t="shared" si="76"/>
        <v>18398254.039999999</v>
      </c>
      <c r="T112" s="91">
        <f t="shared" si="76"/>
        <v>0</v>
      </c>
      <c r="U112" s="91">
        <f t="shared" si="76"/>
        <v>31611143.719999999</v>
      </c>
      <c r="V112" s="91">
        <f t="shared" si="76"/>
        <v>5622044.8100000005</v>
      </c>
      <c r="W112" s="91">
        <f t="shared" si="76"/>
        <v>0</v>
      </c>
      <c r="X112" s="91">
        <f t="shared" si="76"/>
        <v>0</v>
      </c>
      <c r="Y112" s="91">
        <f t="shared" si="76"/>
        <v>0</v>
      </c>
      <c r="Z112" s="91">
        <f t="shared" si="76"/>
        <v>0</v>
      </c>
      <c r="AA112" s="91">
        <f t="shared" si="76"/>
        <v>4580913.6500000004</v>
      </c>
      <c r="AB112" s="91">
        <f t="shared" si="76"/>
        <v>0</v>
      </c>
      <c r="AC112" s="127">
        <f t="shared" si="73"/>
        <v>60212356.219999999</v>
      </c>
      <c r="AD112" s="40"/>
      <c r="AE112" s="128" t="s">
        <v>4</v>
      </c>
      <c r="AF112" s="91">
        <f>SUM(AF100:AF111)</f>
        <v>0</v>
      </c>
      <c r="AG112" s="91">
        <f t="shared" ref="AG112:AQ112" si="77">SUM(AG100:AG111)</f>
        <v>0</v>
      </c>
      <c r="AH112" s="91">
        <f t="shared" si="77"/>
        <v>271420.6914509355</v>
      </c>
      <c r="AI112" s="91">
        <f t="shared" si="77"/>
        <v>0</v>
      </c>
      <c r="AJ112" s="91">
        <f t="shared" si="77"/>
        <v>466319.67053661204</v>
      </c>
      <c r="AK112" s="91">
        <f t="shared" si="77"/>
        <v>82943.226188332555</v>
      </c>
      <c r="AL112" s="91">
        <f t="shared" si="77"/>
        <v>0</v>
      </c>
      <c r="AM112" s="91">
        <f t="shared" si="77"/>
        <v>0</v>
      </c>
      <c r="AN112" s="91">
        <f t="shared" si="77"/>
        <v>0</v>
      </c>
      <c r="AO112" s="91">
        <f t="shared" si="77"/>
        <v>0</v>
      </c>
      <c r="AP112" s="91">
        <f t="shared" si="77"/>
        <v>67647.321583356592</v>
      </c>
      <c r="AQ112" s="91">
        <f t="shared" si="77"/>
        <v>0</v>
      </c>
      <c r="AR112" s="127">
        <f t="shared" si="74"/>
        <v>888330.90975923662</v>
      </c>
      <c r="AS112" s="30"/>
    </row>
    <row r="113" spans="1:35">
      <c r="C113" s="1"/>
      <c r="R113" s="1"/>
    </row>
    <row r="114" spans="1:35">
      <c r="C114" s="1"/>
      <c r="R114" s="1"/>
    </row>
    <row r="115" spans="1:35">
      <c r="C115" s="1"/>
      <c r="R115" s="1"/>
    </row>
    <row r="116" spans="1:35" s="40" customFormat="1">
      <c r="A116" s="160" t="s">
        <v>52</v>
      </c>
      <c r="B116" s="162" t="s">
        <v>21</v>
      </c>
      <c r="C116" s="162"/>
      <c r="D116" s="162" t="s">
        <v>84</v>
      </c>
      <c r="E116" s="162"/>
      <c r="F116" s="422" t="s">
        <v>85</v>
      </c>
      <c r="G116" s="423"/>
      <c r="AH116" s="421" t="s">
        <v>84</v>
      </c>
      <c r="AI116" s="421"/>
    </row>
    <row r="117" spans="1:35" s="40" customFormat="1">
      <c r="A117" s="140" t="s">
        <v>32</v>
      </c>
      <c r="B117" s="161" t="s">
        <v>109</v>
      </c>
      <c r="C117" s="161" t="s">
        <v>110</v>
      </c>
      <c r="D117" s="161" t="s">
        <v>109</v>
      </c>
      <c r="E117" s="161" t="s">
        <v>110</v>
      </c>
      <c r="F117" s="27" t="s">
        <v>109</v>
      </c>
      <c r="G117" s="161" t="s">
        <v>110</v>
      </c>
    </row>
    <row r="118" spans="1:35" s="40" customFormat="1">
      <c r="A118" s="9">
        <v>41365</v>
      </c>
      <c r="B118" s="42">
        <f>G20+G36+G52+G68</f>
        <v>1989.12</v>
      </c>
      <c r="C118" s="42">
        <f t="shared" ref="C118:C129" si="78">G84+G100</f>
        <v>0</v>
      </c>
      <c r="D118" s="42">
        <f>AK20+AK36+AK52+AK68</f>
        <v>2397195.3305592742</v>
      </c>
      <c r="E118" s="42">
        <f t="shared" ref="E118:E129" si="79">AK84+AK100</f>
        <v>0</v>
      </c>
      <c r="F118" s="88">
        <f>IF(B118&lt;=0,0,D118/B118)</f>
        <v>1205.1537014153366</v>
      </c>
      <c r="G118" s="43">
        <f>IF(C118&lt;=0,0,E118/C118)</f>
        <v>0</v>
      </c>
    </row>
    <row r="119" spans="1:35" s="40" customFormat="1">
      <c r="A119" s="9">
        <v>41395</v>
      </c>
      <c r="B119" s="42">
        <f t="shared" ref="B119:B130" si="80">G21+G37+G53+G69</f>
        <v>2368.5699999999997</v>
      </c>
      <c r="C119" s="42">
        <f t="shared" si="78"/>
        <v>0</v>
      </c>
      <c r="D119" s="42">
        <f t="shared" ref="D119:D130" si="81">AK21+AK37+AK53+AK69</f>
        <v>3572430.1135007287</v>
      </c>
      <c r="E119" s="42">
        <f t="shared" si="79"/>
        <v>0</v>
      </c>
      <c r="F119" s="88">
        <f t="shared" ref="F119:G130" si="82">IF(B119&lt;=0,0,D119/B119)</f>
        <v>1508.264528175536</v>
      </c>
      <c r="G119" s="43">
        <f t="shared" si="82"/>
        <v>0</v>
      </c>
    </row>
    <row r="120" spans="1:35" s="40" customFormat="1">
      <c r="A120" s="9">
        <v>41426</v>
      </c>
      <c r="B120" s="42">
        <f t="shared" si="80"/>
        <v>3228.9399999999996</v>
      </c>
      <c r="C120" s="42">
        <f t="shared" si="78"/>
        <v>0</v>
      </c>
      <c r="D120" s="42">
        <f t="shared" si="81"/>
        <v>5451875.9396365834</v>
      </c>
      <c r="E120" s="42">
        <f t="shared" si="79"/>
        <v>0</v>
      </c>
      <c r="F120" s="88">
        <f t="shared" si="82"/>
        <v>1688.4413893217538</v>
      </c>
      <c r="G120" s="43">
        <f t="shared" si="82"/>
        <v>0</v>
      </c>
    </row>
    <row r="121" spans="1:35" s="40" customFormat="1">
      <c r="A121" s="9">
        <v>41456</v>
      </c>
      <c r="B121" s="42">
        <f t="shared" si="80"/>
        <v>2220.7599999999998</v>
      </c>
      <c r="C121" s="42">
        <f t="shared" si="78"/>
        <v>293.25400000000002</v>
      </c>
      <c r="D121" s="42">
        <f t="shared" si="81"/>
        <v>3938883.4933530698</v>
      </c>
      <c r="E121" s="42">
        <f t="shared" si="79"/>
        <v>327088.41554252198</v>
      </c>
      <c r="F121" s="88">
        <f t="shared" si="82"/>
        <v>1773.664643344202</v>
      </c>
      <c r="G121" s="43">
        <f t="shared" si="82"/>
        <v>1115.375802350597</v>
      </c>
    </row>
    <row r="122" spans="1:35" s="40" customFormat="1">
      <c r="A122" s="9">
        <v>41487</v>
      </c>
      <c r="B122" s="42">
        <f t="shared" si="80"/>
        <v>1343.8700000000001</v>
      </c>
      <c r="C122" s="42">
        <f t="shared" si="78"/>
        <v>64.13</v>
      </c>
      <c r="D122" s="42">
        <f t="shared" si="81"/>
        <v>2344368.6388262268</v>
      </c>
      <c r="E122" s="42">
        <f t="shared" si="79"/>
        <v>77073.813431734321</v>
      </c>
      <c r="F122" s="88">
        <f t="shared" si="82"/>
        <v>1744.4906418226662</v>
      </c>
      <c r="G122" s="43">
        <f t="shared" si="82"/>
        <v>1201.8371032548623</v>
      </c>
    </row>
    <row r="123" spans="1:35" s="40" customFormat="1">
      <c r="A123" s="9">
        <v>41518</v>
      </c>
      <c r="B123" s="42">
        <f t="shared" si="80"/>
        <v>1278.8600000000001</v>
      </c>
      <c r="C123" s="42">
        <f t="shared" si="78"/>
        <v>0</v>
      </c>
      <c r="D123" s="42">
        <f t="shared" si="81"/>
        <v>2271688.2721619052</v>
      </c>
      <c r="E123" s="42">
        <f t="shared" si="79"/>
        <v>0</v>
      </c>
      <c r="F123" s="88">
        <f t="shared" si="82"/>
        <v>1776.3385141156225</v>
      </c>
      <c r="G123" s="43">
        <f t="shared" si="82"/>
        <v>0</v>
      </c>
    </row>
    <row r="124" spans="1:35" s="40" customFormat="1">
      <c r="A124" s="9">
        <v>41548</v>
      </c>
      <c r="B124" s="42">
        <f t="shared" si="80"/>
        <v>651.05999999999995</v>
      </c>
      <c r="C124" s="42">
        <f t="shared" si="78"/>
        <v>0</v>
      </c>
      <c r="D124" s="42">
        <f t="shared" si="81"/>
        <v>1166326.3792852263</v>
      </c>
      <c r="E124" s="42">
        <f t="shared" si="79"/>
        <v>0</v>
      </c>
      <c r="F124" s="88">
        <f t="shared" si="82"/>
        <v>1791.4268720013922</v>
      </c>
      <c r="G124" s="43">
        <f t="shared" si="82"/>
        <v>0</v>
      </c>
    </row>
    <row r="125" spans="1:35" s="40" customFormat="1">
      <c r="A125" s="9">
        <v>41579</v>
      </c>
      <c r="B125" s="42">
        <f t="shared" si="80"/>
        <v>857.87999999999988</v>
      </c>
      <c r="C125" s="42">
        <f t="shared" si="78"/>
        <v>0</v>
      </c>
      <c r="D125" s="42">
        <f t="shared" si="81"/>
        <v>1789231.7400000002</v>
      </c>
      <c r="E125" s="42">
        <f t="shared" si="79"/>
        <v>0</v>
      </c>
      <c r="F125" s="88">
        <f t="shared" si="82"/>
        <v>2085.6433766960417</v>
      </c>
      <c r="G125" s="43">
        <f t="shared" si="82"/>
        <v>0</v>
      </c>
    </row>
    <row r="126" spans="1:35" s="40" customFormat="1">
      <c r="A126" s="9">
        <v>41609</v>
      </c>
      <c r="B126" s="42">
        <f t="shared" si="80"/>
        <v>0</v>
      </c>
      <c r="C126" s="42">
        <f t="shared" si="78"/>
        <v>0</v>
      </c>
      <c r="D126" s="42">
        <f t="shared" si="81"/>
        <v>0</v>
      </c>
      <c r="E126" s="42">
        <f t="shared" si="79"/>
        <v>0</v>
      </c>
      <c r="F126" s="88">
        <f t="shared" si="82"/>
        <v>0</v>
      </c>
      <c r="G126" s="43">
        <f t="shared" si="82"/>
        <v>0</v>
      </c>
    </row>
    <row r="127" spans="1:35" s="40" customFormat="1">
      <c r="A127" s="9">
        <v>41640</v>
      </c>
      <c r="B127" s="42">
        <f t="shared" si="80"/>
        <v>0</v>
      </c>
      <c r="C127" s="42">
        <f t="shared" si="78"/>
        <v>0</v>
      </c>
      <c r="D127" s="42">
        <f t="shared" si="81"/>
        <v>0</v>
      </c>
      <c r="E127" s="42">
        <f t="shared" si="79"/>
        <v>0</v>
      </c>
      <c r="F127" s="88">
        <f t="shared" si="82"/>
        <v>0</v>
      </c>
      <c r="G127" s="43">
        <f t="shared" si="82"/>
        <v>0</v>
      </c>
    </row>
    <row r="128" spans="1:35" s="40" customFormat="1">
      <c r="A128" s="9">
        <v>41671</v>
      </c>
      <c r="B128" s="42">
        <f t="shared" si="80"/>
        <v>0</v>
      </c>
      <c r="C128" s="42">
        <f t="shared" si="78"/>
        <v>0</v>
      </c>
      <c r="D128" s="42">
        <f t="shared" si="81"/>
        <v>0</v>
      </c>
      <c r="E128" s="42">
        <f t="shared" si="79"/>
        <v>0</v>
      </c>
      <c r="F128" s="88">
        <f t="shared" si="82"/>
        <v>0</v>
      </c>
      <c r="G128" s="43">
        <f t="shared" si="82"/>
        <v>0</v>
      </c>
    </row>
    <row r="129" spans="1:49" s="40" customFormat="1">
      <c r="A129" s="9">
        <v>41699</v>
      </c>
      <c r="B129" s="42">
        <f t="shared" si="80"/>
        <v>0</v>
      </c>
      <c r="C129" s="42">
        <f t="shared" si="78"/>
        <v>0</v>
      </c>
      <c r="D129" s="42">
        <f t="shared" si="81"/>
        <v>0</v>
      </c>
      <c r="E129" s="42">
        <f t="shared" si="79"/>
        <v>0</v>
      </c>
      <c r="F129" s="88">
        <f t="shared" si="82"/>
        <v>0</v>
      </c>
      <c r="G129" s="43">
        <f t="shared" si="82"/>
        <v>0</v>
      </c>
    </row>
    <row r="130" spans="1:49" s="40" customFormat="1">
      <c r="A130" s="141" t="s">
        <v>20</v>
      </c>
      <c r="B130" s="131">
        <f t="shared" si="80"/>
        <v>13939.059999999998</v>
      </c>
      <c r="C130" s="93"/>
      <c r="D130" s="131">
        <f t="shared" si="81"/>
        <v>22931999.907323014</v>
      </c>
      <c r="E130" s="93"/>
      <c r="F130" s="130">
        <f t="shared" si="82"/>
        <v>1645.161144820599</v>
      </c>
      <c r="G130" s="129">
        <f t="shared" si="82"/>
        <v>0</v>
      </c>
    </row>
    <row r="131" spans="1:49" s="40" customFormat="1"/>
    <row r="132" spans="1:49" s="40" customFormat="1"/>
    <row r="133" spans="1:49" s="40" customFormat="1"/>
    <row r="134" spans="1:49" s="40" customFormat="1">
      <c r="A134" s="25" t="s">
        <v>22</v>
      </c>
      <c r="B134" s="16" t="s">
        <v>133</v>
      </c>
      <c r="C134" s="16" t="s">
        <v>19</v>
      </c>
      <c r="D134" s="161" t="s">
        <v>17</v>
      </c>
      <c r="E134" s="161" t="s">
        <v>24</v>
      </c>
      <c r="F134" s="161" t="s">
        <v>10</v>
      </c>
      <c r="G134" s="161" t="s">
        <v>11</v>
      </c>
      <c r="H134" s="161" t="s">
        <v>12</v>
      </c>
      <c r="I134" s="161" t="s">
        <v>13</v>
      </c>
      <c r="J134" s="161" t="s">
        <v>14</v>
      </c>
      <c r="K134" s="161" t="s">
        <v>18</v>
      </c>
      <c r="L134" s="161" t="s">
        <v>15</v>
      </c>
      <c r="M134" s="161" t="s">
        <v>16</v>
      </c>
      <c r="N134" s="27" t="s">
        <v>20</v>
      </c>
      <c r="P134" s="25" t="s">
        <v>22</v>
      </c>
      <c r="Q134" s="161" t="s">
        <v>133</v>
      </c>
      <c r="R134" s="161" t="s">
        <v>19</v>
      </c>
      <c r="S134" s="161" t="s">
        <v>17</v>
      </c>
      <c r="T134" s="161" t="s">
        <v>24</v>
      </c>
      <c r="U134" s="161" t="s">
        <v>10</v>
      </c>
      <c r="V134" s="161" t="s">
        <v>11</v>
      </c>
      <c r="W134" s="161" t="s">
        <v>12</v>
      </c>
      <c r="X134" s="161" t="s">
        <v>13</v>
      </c>
      <c r="Y134" s="161" t="s">
        <v>14</v>
      </c>
      <c r="Z134" s="161" t="s">
        <v>18</v>
      </c>
      <c r="AA134" s="161" t="s">
        <v>15</v>
      </c>
      <c r="AB134" s="161" t="s">
        <v>16</v>
      </c>
      <c r="AC134" s="27" t="s">
        <v>20</v>
      </c>
      <c r="AE134" s="25" t="s">
        <v>22</v>
      </c>
      <c r="AF134" s="161" t="s">
        <v>133</v>
      </c>
      <c r="AG134" s="161" t="s">
        <v>19</v>
      </c>
      <c r="AH134" s="161" t="s">
        <v>17</v>
      </c>
      <c r="AI134" s="161" t="s">
        <v>24</v>
      </c>
      <c r="AJ134" s="161" t="s">
        <v>10</v>
      </c>
      <c r="AK134" s="161" t="s">
        <v>11</v>
      </c>
      <c r="AL134" s="161" t="s">
        <v>12</v>
      </c>
      <c r="AM134" s="161" t="s">
        <v>13</v>
      </c>
      <c r="AN134" s="161" t="s">
        <v>14</v>
      </c>
      <c r="AO134" s="161" t="s">
        <v>18</v>
      </c>
      <c r="AP134" s="161" t="s">
        <v>15</v>
      </c>
      <c r="AQ134" s="161" t="s">
        <v>16</v>
      </c>
      <c r="AR134" s="27" t="s">
        <v>20</v>
      </c>
      <c r="AU134" s="161" t="s">
        <v>11</v>
      </c>
      <c r="AV134" s="161" t="s">
        <v>12</v>
      </c>
      <c r="AW134" s="161" t="s">
        <v>13</v>
      </c>
    </row>
    <row r="135" spans="1:49" s="40" customFormat="1">
      <c r="A135" s="9" t="s">
        <v>119</v>
      </c>
      <c r="B135" s="41">
        <f t="shared" ref="B135:N135" si="83">SUM(B4:B9)</f>
        <v>0</v>
      </c>
      <c r="C135" s="41">
        <f t="shared" si="83"/>
        <v>0</v>
      </c>
      <c r="D135" s="41">
        <f t="shared" si="83"/>
        <v>111.96</v>
      </c>
      <c r="E135" s="41">
        <f t="shared" si="83"/>
        <v>0</v>
      </c>
      <c r="F135" s="41">
        <f t="shared" si="83"/>
        <v>690.21</v>
      </c>
      <c r="G135" s="41">
        <f t="shared" si="83"/>
        <v>12787.503999999999</v>
      </c>
      <c r="H135" s="41">
        <f t="shared" si="83"/>
        <v>7589.34</v>
      </c>
      <c r="I135" s="41">
        <f t="shared" si="83"/>
        <v>839.06</v>
      </c>
      <c r="J135" s="41">
        <f t="shared" si="83"/>
        <v>6.12</v>
      </c>
      <c r="K135" s="41">
        <f t="shared" si="83"/>
        <v>96.8</v>
      </c>
      <c r="L135" s="41">
        <f t="shared" si="83"/>
        <v>197.89000000000001</v>
      </c>
      <c r="M135" s="41">
        <f t="shared" si="83"/>
        <v>275.69</v>
      </c>
      <c r="N135" s="6">
        <f t="shared" si="83"/>
        <v>22594.573999999997</v>
      </c>
      <c r="P135" s="9" t="s">
        <v>119</v>
      </c>
      <c r="Q135" s="41">
        <f t="shared" ref="Q135:AC135" si="84">SUM(Q4:Q9)</f>
        <v>0</v>
      </c>
      <c r="R135" s="41">
        <f t="shared" si="84"/>
        <v>0</v>
      </c>
      <c r="S135" s="41">
        <f t="shared" si="84"/>
        <v>13969457.880000001</v>
      </c>
      <c r="T135" s="41">
        <f t="shared" si="84"/>
        <v>0</v>
      </c>
      <c r="U135" s="41">
        <f t="shared" si="84"/>
        <v>66134865.859999999</v>
      </c>
      <c r="V135" s="41">
        <f t="shared" si="84"/>
        <v>1383388902.24</v>
      </c>
      <c r="W135" s="41">
        <f t="shared" si="84"/>
        <v>919252417.64999998</v>
      </c>
      <c r="X135" s="41">
        <f t="shared" si="84"/>
        <v>99969503.989999995</v>
      </c>
      <c r="Y135" s="41">
        <f t="shared" si="84"/>
        <v>809391.05</v>
      </c>
      <c r="Z135" s="41">
        <f t="shared" si="84"/>
        <v>8513649.0199999996</v>
      </c>
      <c r="AA135" s="41">
        <f t="shared" si="84"/>
        <v>17875011.789999999</v>
      </c>
      <c r="AB135" s="41">
        <f t="shared" si="84"/>
        <v>22406516.790000003</v>
      </c>
      <c r="AC135" s="6">
        <f t="shared" si="84"/>
        <v>2532319716.27</v>
      </c>
      <c r="AE135" s="9" t="s">
        <v>119</v>
      </c>
      <c r="AF135" s="41">
        <f t="shared" ref="AF135:AR135" si="85">SUM(AF4:AF9)</f>
        <v>0</v>
      </c>
      <c r="AG135" s="41">
        <f t="shared" si="85"/>
        <v>0</v>
      </c>
      <c r="AH135" s="41">
        <f t="shared" si="85"/>
        <v>205881.7914509355</v>
      </c>
      <c r="AI135" s="41">
        <f t="shared" si="85"/>
        <v>0</v>
      </c>
      <c r="AJ135" s="41">
        <f t="shared" si="85"/>
        <v>975745.94396510592</v>
      </c>
      <c r="AK135" s="41">
        <f t="shared" si="85"/>
        <v>20380604.017012045</v>
      </c>
      <c r="AL135" s="41">
        <f t="shared" si="85"/>
        <v>13544666.303014796</v>
      </c>
      <c r="AM135" s="41">
        <f t="shared" si="85"/>
        <v>1475974.1136237292</v>
      </c>
      <c r="AN135" s="41">
        <f t="shared" si="85"/>
        <v>11867.903958944282</v>
      </c>
      <c r="AO135" s="41">
        <f t="shared" si="85"/>
        <v>125673.0336352867</v>
      </c>
      <c r="AP135" s="41">
        <f t="shared" si="85"/>
        <v>263055.31057113718</v>
      </c>
      <c r="AQ135" s="41">
        <f t="shared" si="85"/>
        <v>331082.36622849025</v>
      </c>
      <c r="AR135" s="6">
        <f t="shared" si="85"/>
        <v>37314550.783460468</v>
      </c>
      <c r="AU135" s="92">
        <f t="shared" ref="AU135:AW141" si="86">+AK135/G135</f>
        <v>1593.7906269286052</v>
      </c>
      <c r="AV135" s="92">
        <f t="shared" si="86"/>
        <v>1784.696205864383</v>
      </c>
      <c r="AW135" s="92">
        <f t="shared" si="86"/>
        <v>1759.080534912556</v>
      </c>
    </row>
    <row r="136" spans="1:49" s="40" customFormat="1">
      <c r="A136" s="151" t="s">
        <v>117</v>
      </c>
      <c r="B136" s="41">
        <f>SUM(B20:B25)+SUM(B36:B41)+SUM(B52:B57)+SUM(B68:B73)</f>
        <v>0</v>
      </c>
      <c r="C136" s="41">
        <f t="shared" ref="C136:N136" si="87">SUM(C20:C25)+SUM(C36:C41)+SUM(C52:C57)+SUM(C68:C73)</f>
        <v>0</v>
      </c>
      <c r="D136" s="41">
        <f t="shared" si="87"/>
        <v>0</v>
      </c>
      <c r="E136" s="41">
        <f t="shared" si="87"/>
        <v>0</v>
      </c>
      <c r="F136" s="41">
        <f t="shared" si="87"/>
        <v>473.60999999999996</v>
      </c>
      <c r="G136" s="41">
        <f t="shared" si="87"/>
        <v>12430.12</v>
      </c>
      <c r="H136" s="41">
        <f t="shared" si="87"/>
        <v>7589.34</v>
      </c>
      <c r="I136" s="41">
        <f t="shared" si="87"/>
        <v>839.06000000000006</v>
      </c>
      <c r="J136" s="41">
        <f t="shared" si="87"/>
        <v>6.12</v>
      </c>
      <c r="K136" s="41">
        <f t="shared" si="87"/>
        <v>96.8</v>
      </c>
      <c r="L136" s="41">
        <f t="shared" si="87"/>
        <v>148.26999999999998</v>
      </c>
      <c r="M136" s="41">
        <f t="shared" si="87"/>
        <v>275.69</v>
      </c>
      <c r="N136" s="6">
        <f t="shared" si="87"/>
        <v>21859.01</v>
      </c>
      <c r="P136" s="151" t="s">
        <v>117</v>
      </c>
      <c r="Q136" s="41">
        <f>SUM(Q20:Q25)+SUM(Q36:Q41)+SUM(Q52:Q57)+SUM(Q68:Q73)</f>
        <v>0</v>
      </c>
      <c r="R136" s="41">
        <f t="shared" ref="R136:AC136" si="88">SUM(R20:R25)+SUM(R36:R41)+SUM(R52:R57)+SUM(R68:R73)</f>
        <v>0</v>
      </c>
      <c r="S136" s="41">
        <f t="shared" si="88"/>
        <v>0</v>
      </c>
      <c r="T136" s="41">
        <f t="shared" si="88"/>
        <v>0</v>
      </c>
      <c r="U136" s="41">
        <f t="shared" si="88"/>
        <v>43664951.869999997</v>
      </c>
      <c r="V136" s="41">
        <f t="shared" si="88"/>
        <v>1355859721.4399998</v>
      </c>
      <c r="W136" s="41">
        <f t="shared" si="88"/>
        <v>919252417.64999998</v>
      </c>
      <c r="X136" s="41">
        <f t="shared" si="88"/>
        <v>99969503.989999995</v>
      </c>
      <c r="Y136" s="41">
        <f t="shared" si="88"/>
        <v>809391.05</v>
      </c>
      <c r="Z136" s="41">
        <f t="shared" si="88"/>
        <v>8513649.0199999996</v>
      </c>
      <c r="AA136" s="41">
        <f t="shared" si="88"/>
        <v>12528082.170000002</v>
      </c>
      <c r="AB136" s="41">
        <f t="shared" si="88"/>
        <v>22406516.789999999</v>
      </c>
      <c r="AC136" s="6">
        <f t="shared" si="88"/>
        <v>2463004233.9800005</v>
      </c>
      <c r="AE136" s="151" t="s">
        <v>117</v>
      </c>
      <c r="AF136" s="41">
        <f>SUM(AF20:AF25)+SUM(AF36:AF41)+SUM(AF52:AF57)+SUM(AF68:AF73)</f>
        <v>0</v>
      </c>
      <c r="AG136" s="41">
        <f t="shared" ref="AG136:AR136" si="89">SUM(AG20:AG25)+SUM(AG36:AG41)+SUM(AG52:AG57)+SUM(AG68:AG73)</f>
        <v>0</v>
      </c>
      <c r="AH136" s="41">
        <f t="shared" si="89"/>
        <v>0</v>
      </c>
      <c r="AI136" s="41">
        <f t="shared" si="89"/>
        <v>0</v>
      </c>
      <c r="AJ136" s="41">
        <f t="shared" si="89"/>
        <v>644352.17350229458</v>
      </c>
      <c r="AK136" s="41">
        <f t="shared" si="89"/>
        <v>19976441.788037788</v>
      </c>
      <c r="AL136" s="41">
        <f t="shared" si="89"/>
        <v>13544666.303014796</v>
      </c>
      <c r="AM136" s="41">
        <f t="shared" si="89"/>
        <v>1475974.1136237294</v>
      </c>
      <c r="AN136" s="41">
        <f t="shared" si="89"/>
        <v>11867.903958944282</v>
      </c>
      <c r="AO136" s="41">
        <f t="shared" si="89"/>
        <v>125673.0336352867</v>
      </c>
      <c r="AP136" s="41">
        <f t="shared" si="89"/>
        <v>184283.88752251765</v>
      </c>
      <c r="AQ136" s="41">
        <f t="shared" si="89"/>
        <v>331082.36622849031</v>
      </c>
      <c r="AR136" s="6">
        <f t="shared" si="89"/>
        <v>36294341.569523841</v>
      </c>
      <c r="AU136" s="92">
        <f t="shared" si="86"/>
        <v>1607.0996730552711</v>
      </c>
      <c r="AV136" s="92">
        <f t="shared" si="86"/>
        <v>1784.696205864383</v>
      </c>
      <c r="AW136" s="92">
        <f t="shared" si="86"/>
        <v>1759.0805349125562</v>
      </c>
    </row>
    <row r="137" spans="1:49" s="40" customFormat="1">
      <c r="A137" s="151" t="s">
        <v>120</v>
      </c>
      <c r="B137" s="41">
        <f t="shared" ref="B137" si="90">SUM(B84:B89)+SUM(B100:B105)</f>
        <v>0</v>
      </c>
      <c r="C137" s="41">
        <f t="shared" ref="C137:N137" si="91">SUM(C84:C89)+SUM(C100:C105)</f>
        <v>0</v>
      </c>
      <c r="D137" s="41">
        <f t="shared" si="91"/>
        <v>111.96</v>
      </c>
      <c r="E137" s="41">
        <f t="shared" si="91"/>
        <v>0</v>
      </c>
      <c r="F137" s="41">
        <f t="shared" si="91"/>
        <v>216.60000000000002</v>
      </c>
      <c r="G137" s="41">
        <f t="shared" si="91"/>
        <v>357.38400000000001</v>
      </c>
      <c r="H137" s="41">
        <f t="shared" si="91"/>
        <v>0</v>
      </c>
      <c r="I137" s="41">
        <f t="shared" si="91"/>
        <v>0</v>
      </c>
      <c r="J137" s="41">
        <f t="shared" si="91"/>
        <v>0</v>
      </c>
      <c r="K137" s="41">
        <f t="shared" si="91"/>
        <v>0</v>
      </c>
      <c r="L137" s="41">
        <f t="shared" si="91"/>
        <v>49.620000000000005</v>
      </c>
      <c r="M137" s="41">
        <f t="shared" si="91"/>
        <v>0</v>
      </c>
      <c r="N137" s="6">
        <f t="shared" si="91"/>
        <v>735.56400000000008</v>
      </c>
      <c r="P137" s="151" t="s">
        <v>120</v>
      </c>
      <c r="Q137" s="41">
        <f t="shared" ref="Q137" si="92">SUM(Q84:Q89)+SUM(Q100:Q105)</f>
        <v>0</v>
      </c>
      <c r="R137" s="41">
        <f t="shared" ref="R137:AC137" si="93">SUM(R84:R89)+SUM(R100:R105)</f>
        <v>0</v>
      </c>
      <c r="S137" s="41">
        <f t="shared" si="93"/>
        <v>13969457.880000001</v>
      </c>
      <c r="T137" s="41">
        <f t="shared" si="93"/>
        <v>0</v>
      </c>
      <c r="U137" s="41">
        <f t="shared" si="93"/>
        <v>22469913.989999998</v>
      </c>
      <c r="V137" s="41">
        <f t="shared" si="93"/>
        <v>27529180.799999997</v>
      </c>
      <c r="W137" s="41">
        <f t="shared" si="93"/>
        <v>0</v>
      </c>
      <c r="X137" s="41">
        <f t="shared" si="93"/>
        <v>0</v>
      </c>
      <c r="Y137" s="41">
        <f t="shared" si="93"/>
        <v>0</v>
      </c>
      <c r="Z137" s="41">
        <f t="shared" si="93"/>
        <v>0</v>
      </c>
      <c r="AA137" s="41">
        <f t="shared" si="93"/>
        <v>5346929.62</v>
      </c>
      <c r="AB137" s="41">
        <f t="shared" si="93"/>
        <v>0</v>
      </c>
      <c r="AC137" s="6">
        <f t="shared" si="93"/>
        <v>69315482.289999992</v>
      </c>
      <c r="AE137" s="151" t="s">
        <v>120</v>
      </c>
      <c r="AF137" s="41">
        <f t="shared" ref="AF137" si="94">SUM(AF84:AF89)+SUM(AF100:AF105)</f>
        <v>0</v>
      </c>
      <c r="AG137" s="41">
        <f t="shared" ref="AG137:AR137" si="95">SUM(AG84:AG89)+SUM(AG100:AG105)</f>
        <v>0</v>
      </c>
      <c r="AH137" s="41">
        <f t="shared" si="95"/>
        <v>205881.7914509355</v>
      </c>
      <c r="AI137" s="41">
        <f t="shared" si="95"/>
        <v>0</v>
      </c>
      <c r="AJ137" s="41">
        <f t="shared" si="95"/>
        <v>331393.77046281128</v>
      </c>
      <c r="AK137" s="41">
        <f t="shared" si="95"/>
        <v>404162.22897425626</v>
      </c>
      <c r="AL137" s="41">
        <f t="shared" si="95"/>
        <v>0</v>
      </c>
      <c r="AM137" s="41">
        <f t="shared" si="95"/>
        <v>0</v>
      </c>
      <c r="AN137" s="41">
        <f t="shared" si="95"/>
        <v>0</v>
      </c>
      <c r="AO137" s="41">
        <f t="shared" si="95"/>
        <v>0</v>
      </c>
      <c r="AP137" s="41">
        <f t="shared" si="95"/>
        <v>78771.42304861953</v>
      </c>
      <c r="AQ137" s="41">
        <f t="shared" si="95"/>
        <v>0</v>
      </c>
      <c r="AR137" s="6">
        <f t="shared" si="95"/>
        <v>1020209.2139366227</v>
      </c>
      <c r="AU137" s="92">
        <f t="shared" si="86"/>
        <v>1130.8906637517523</v>
      </c>
      <c r="AV137" s="92" t="e">
        <f t="shared" si="86"/>
        <v>#DIV/0!</v>
      </c>
      <c r="AW137" s="92" t="e">
        <f t="shared" si="86"/>
        <v>#DIV/0!</v>
      </c>
    </row>
    <row r="138" spans="1:49" s="40" customFormat="1">
      <c r="A138" s="9" t="s">
        <v>118</v>
      </c>
      <c r="B138" s="41">
        <f t="shared" ref="B138:N138" si="96">SUM(B10:B15)</f>
        <v>0</v>
      </c>
      <c r="C138" s="41">
        <f t="shared" si="96"/>
        <v>0</v>
      </c>
      <c r="D138" s="41">
        <f t="shared" si="96"/>
        <v>36.049999999999997</v>
      </c>
      <c r="E138" s="41">
        <f t="shared" si="96"/>
        <v>0</v>
      </c>
      <c r="F138" s="41">
        <f t="shared" si="96"/>
        <v>89.06</v>
      </c>
      <c r="G138" s="41">
        <f t="shared" si="96"/>
        <v>1508.9399999999998</v>
      </c>
      <c r="H138" s="41">
        <f t="shared" si="96"/>
        <v>2788.5</v>
      </c>
      <c r="I138" s="41">
        <f t="shared" si="96"/>
        <v>197.67000000000002</v>
      </c>
      <c r="J138" s="41">
        <f t="shared" si="96"/>
        <v>0</v>
      </c>
      <c r="K138" s="41">
        <f t="shared" si="96"/>
        <v>64</v>
      </c>
      <c r="L138" s="41">
        <f t="shared" si="96"/>
        <v>50.999999999999993</v>
      </c>
      <c r="M138" s="41">
        <f t="shared" si="96"/>
        <v>91.75</v>
      </c>
      <c r="N138" s="6">
        <f t="shared" si="96"/>
        <v>4826.9699999999993</v>
      </c>
      <c r="P138" s="9" t="s">
        <v>118</v>
      </c>
      <c r="Q138" s="41">
        <f t="shared" ref="Q138:AC138" si="97">SUM(Q10:Q15)</f>
        <v>0</v>
      </c>
      <c r="R138" s="41">
        <f t="shared" si="97"/>
        <v>0</v>
      </c>
      <c r="S138" s="41">
        <f t="shared" si="97"/>
        <v>4428796.16</v>
      </c>
      <c r="T138" s="41">
        <f t="shared" si="97"/>
        <v>0</v>
      </c>
      <c r="U138" s="41">
        <f t="shared" si="97"/>
        <v>9141229.7300000004</v>
      </c>
      <c r="V138" s="41">
        <f t="shared" si="97"/>
        <v>199949547.82999998</v>
      </c>
      <c r="W138" s="41">
        <f t="shared" si="97"/>
        <v>420599675.28000003</v>
      </c>
      <c r="X138" s="41">
        <f t="shared" si="97"/>
        <v>27844442.480000004</v>
      </c>
      <c r="Y138" s="41">
        <f t="shared" si="97"/>
        <v>0</v>
      </c>
      <c r="Z138" s="41">
        <f t="shared" si="97"/>
        <v>5616752.21</v>
      </c>
      <c r="AA138" s="41">
        <f t="shared" si="97"/>
        <v>4484873.2299999995</v>
      </c>
      <c r="AB138" s="41">
        <f t="shared" si="97"/>
        <v>7151349.0299999993</v>
      </c>
      <c r="AC138" s="6">
        <f t="shared" si="97"/>
        <v>679216665.94999993</v>
      </c>
      <c r="AE138" s="9" t="s">
        <v>118</v>
      </c>
      <c r="AF138" s="41">
        <f t="shared" ref="AF138:AR138" si="98">SUM(AF10:AF15)</f>
        <v>0</v>
      </c>
      <c r="AG138" s="41">
        <f t="shared" si="98"/>
        <v>0</v>
      </c>
      <c r="AH138" s="41">
        <f t="shared" si="98"/>
        <v>65538.899999999994</v>
      </c>
      <c r="AI138" s="41">
        <f t="shared" si="98"/>
        <v>0</v>
      </c>
      <c r="AJ138" s="41">
        <f t="shared" si="98"/>
        <v>134925.90007380073</v>
      </c>
      <c r="AK138" s="41">
        <f t="shared" si="98"/>
        <v>2955558.1192852268</v>
      </c>
      <c r="AL138" s="41">
        <f t="shared" si="98"/>
        <v>6222601.8686472606</v>
      </c>
      <c r="AM138" s="41">
        <f t="shared" si="98"/>
        <v>411914.04535055347</v>
      </c>
      <c r="AN138" s="41">
        <f t="shared" si="98"/>
        <v>0</v>
      </c>
      <c r="AO138" s="41">
        <f t="shared" si="98"/>
        <v>82792.850000000006</v>
      </c>
      <c r="AP138" s="41">
        <f t="shared" si="98"/>
        <v>66374.083248325813</v>
      </c>
      <c r="AQ138" s="41">
        <f t="shared" si="98"/>
        <v>105769.15768949021</v>
      </c>
      <c r="AR138" s="6">
        <f t="shared" si="98"/>
        <v>10045474.924294658</v>
      </c>
      <c r="AU138" s="92">
        <f t="shared" si="86"/>
        <v>1958.6982380248567</v>
      </c>
      <c r="AV138" s="92">
        <f t="shared" si="86"/>
        <v>2231.5229939563424</v>
      </c>
      <c r="AW138" s="92">
        <f t="shared" si="86"/>
        <v>2083.8470448249782</v>
      </c>
    </row>
    <row r="139" spans="1:49" s="40" customFormat="1">
      <c r="A139" s="151" t="s">
        <v>117</v>
      </c>
      <c r="B139" s="41">
        <f>SUM(B26:B31)+SUM(B42:B47)+SUM(B58:B63)+SUM(B74:B79)</f>
        <v>0</v>
      </c>
      <c r="C139" s="41">
        <f t="shared" ref="C139:N139" si="99">SUM(C26:C31)+SUM(C42:C47)+SUM(C58:C63)+SUM(C74:C79)</f>
        <v>0</v>
      </c>
      <c r="D139" s="41">
        <f t="shared" si="99"/>
        <v>0</v>
      </c>
      <c r="E139" s="41">
        <f t="shared" si="99"/>
        <v>0</v>
      </c>
      <c r="F139" s="41">
        <f t="shared" si="99"/>
        <v>0</v>
      </c>
      <c r="G139" s="41">
        <f t="shared" si="99"/>
        <v>1508.94</v>
      </c>
      <c r="H139" s="41">
        <f t="shared" si="99"/>
        <v>2788.5</v>
      </c>
      <c r="I139" s="41">
        <f t="shared" si="99"/>
        <v>197.67000000000002</v>
      </c>
      <c r="J139" s="41">
        <f t="shared" si="99"/>
        <v>0</v>
      </c>
      <c r="K139" s="41">
        <f t="shared" si="99"/>
        <v>64</v>
      </c>
      <c r="L139" s="41">
        <f t="shared" si="99"/>
        <v>43.8</v>
      </c>
      <c r="M139" s="41">
        <f t="shared" si="99"/>
        <v>91.75</v>
      </c>
      <c r="N139" s="6">
        <f t="shared" si="99"/>
        <v>4694.66</v>
      </c>
      <c r="P139" s="151" t="s">
        <v>117</v>
      </c>
      <c r="Q139" s="41">
        <f>SUM(Q26:Q31)+SUM(Q42:Q47)+SUM(Q58:Q63)+SUM(Q74:Q79)</f>
        <v>0</v>
      </c>
      <c r="R139" s="41">
        <f t="shared" ref="R139:AC139" si="100">SUM(R26:R31)+SUM(R42:R47)+SUM(R58:R63)+SUM(R74:R79)</f>
        <v>0</v>
      </c>
      <c r="S139" s="41">
        <f t="shared" si="100"/>
        <v>0</v>
      </c>
      <c r="T139" s="41">
        <f t="shared" si="100"/>
        <v>0</v>
      </c>
      <c r="U139" s="41">
        <f t="shared" si="100"/>
        <v>0</v>
      </c>
      <c r="V139" s="41">
        <f t="shared" si="100"/>
        <v>199949547.82999998</v>
      </c>
      <c r="W139" s="41">
        <f t="shared" si="100"/>
        <v>420599675.27999997</v>
      </c>
      <c r="X139" s="41">
        <f t="shared" si="100"/>
        <v>27844442.480000004</v>
      </c>
      <c r="Y139" s="41">
        <f t="shared" si="100"/>
        <v>0</v>
      </c>
      <c r="Z139" s="41">
        <f t="shared" si="100"/>
        <v>5616752.21</v>
      </c>
      <c r="AA139" s="41">
        <f t="shared" si="100"/>
        <v>3565250.6599999997</v>
      </c>
      <c r="AB139" s="41">
        <f t="shared" si="100"/>
        <v>7151349.0299999993</v>
      </c>
      <c r="AC139" s="6">
        <f t="shared" si="100"/>
        <v>664727017.49000001</v>
      </c>
      <c r="AE139" s="151" t="s">
        <v>117</v>
      </c>
      <c r="AF139" s="41">
        <f>SUM(AF26:AF31)+SUM(AF42:AF47)+SUM(AF58:AF63)+SUM(AF74:AF79)</f>
        <v>0</v>
      </c>
      <c r="AG139" s="41">
        <f t="shared" ref="AG139:AR139" si="101">SUM(AG26:AG31)+SUM(AG42:AG47)+SUM(AG58:AG63)+SUM(AG74:AG79)</f>
        <v>0</v>
      </c>
      <c r="AH139" s="41">
        <f t="shared" si="101"/>
        <v>0</v>
      </c>
      <c r="AI139" s="41">
        <f t="shared" si="101"/>
        <v>0</v>
      </c>
      <c r="AJ139" s="41">
        <f t="shared" si="101"/>
        <v>0</v>
      </c>
      <c r="AK139" s="41">
        <f t="shared" si="101"/>
        <v>2955558.1192852268</v>
      </c>
      <c r="AL139" s="41">
        <f t="shared" si="101"/>
        <v>6222601.8686472606</v>
      </c>
      <c r="AM139" s="41">
        <f t="shared" si="101"/>
        <v>411914.04535055353</v>
      </c>
      <c r="AN139" s="41">
        <f t="shared" si="101"/>
        <v>0</v>
      </c>
      <c r="AO139" s="41">
        <f t="shared" si="101"/>
        <v>82792.850000000006</v>
      </c>
      <c r="AP139" s="41">
        <f t="shared" si="101"/>
        <v>52754.46324832581</v>
      </c>
      <c r="AQ139" s="41">
        <f t="shared" si="101"/>
        <v>105769.15768949021</v>
      </c>
      <c r="AR139" s="6">
        <f t="shared" si="101"/>
        <v>9831390.5042208564</v>
      </c>
      <c r="AU139" s="92">
        <f t="shared" si="86"/>
        <v>1958.6982380248562</v>
      </c>
      <c r="AV139" s="92">
        <f t="shared" si="86"/>
        <v>2231.5229939563424</v>
      </c>
      <c r="AW139" s="92">
        <f t="shared" si="86"/>
        <v>2083.8470448249786</v>
      </c>
    </row>
    <row r="140" spans="1:49" s="40" customFormat="1">
      <c r="A140" s="151" t="s">
        <v>120</v>
      </c>
      <c r="B140" s="41">
        <f t="shared" ref="B140" si="102">SUM(B90:B95)+SUM(B106:B111)</f>
        <v>0</v>
      </c>
      <c r="C140" s="41">
        <f t="shared" ref="C140:N140" si="103">SUM(C90:C95)+SUM(C106:C111)</f>
        <v>0</v>
      </c>
      <c r="D140" s="41">
        <f t="shared" si="103"/>
        <v>36.049999999999997</v>
      </c>
      <c r="E140" s="41">
        <f t="shared" si="103"/>
        <v>0</v>
      </c>
      <c r="F140" s="41">
        <f t="shared" si="103"/>
        <v>89.06</v>
      </c>
      <c r="G140" s="41">
        <f t="shared" si="103"/>
        <v>0</v>
      </c>
      <c r="H140" s="41">
        <f t="shared" si="103"/>
        <v>0</v>
      </c>
      <c r="I140" s="41">
        <f t="shared" si="103"/>
        <v>0</v>
      </c>
      <c r="J140" s="41">
        <f t="shared" si="103"/>
        <v>0</v>
      </c>
      <c r="K140" s="41">
        <f t="shared" si="103"/>
        <v>0</v>
      </c>
      <c r="L140" s="41">
        <f t="shared" si="103"/>
        <v>7.1999999999999993</v>
      </c>
      <c r="M140" s="41">
        <f t="shared" si="103"/>
        <v>0</v>
      </c>
      <c r="N140" s="6">
        <f t="shared" si="103"/>
        <v>132.31</v>
      </c>
      <c r="P140" s="151" t="s">
        <v>120</v>
      </c>
      <c r="Q140" s="41">
        <f t="shared" ref="Q140" si="104">SUM(Q90:Q95)+SUM(Q106:Q111)</f>
        <v>0</v>
      </c>
      <c r="R140" s="41">
        <f t="shared" ref="R140:AC140" si="105">SUM(R90:R95)+SUM(R106:R111)</f>
        <v>0</v>
      </c>
      <c r="S140" s="41">
        <f t="shared" si="105"/>
        <v>4428796.16</v>
      </c>
      <c r="T140" s="41">
        <f t="shared" si="105"/>
        <v>0</v>
      </c>
      <c r="U140" s="41">
        <f t="shared" si="105"/>
        <v>9141229.7300000004</v>
      </c>
      <c r="V140" s="41">
        <f t="shared" si="105"/>
        <v>0</v>
      </c>
      <c r="W140" s="41">
        <f t="shared" si="105"/>
        <v>0</v>
      </c>
      <c r="X140" s="41">
        <f t="shared" si="105"/>
        <v>0</v>
      </c>
      <c r="Y140" s="41">
        <f t="shared" si="105"/>
        <v>0</v>
      </c>
      <c r="Z140" s="41">
        <f t="shared" si="105"/>
        <v>0</v>
      </c>
      <c r="AA140" s="41">
        <f t="shared" si="105"/>
        <v>919622.57</v>
      </c>
      <c r="AB140" s="41">
        <f t="shared" si="105"/>
        <v>0</v>
      </c>
      <c r="AC140" s="6">
        <f t="shared" si="105"/>
        <v>14489648.460000001</v>
      </c>
      <c r="AE140" s="151" t="s">
        <v>120</v>
      </c>
      <c r="AF140" s="41">
        <f t="shared" ref="AF140" si="106">SUM(AF90:AF95)+SUM(AF106:AF111)</f>
        <v>0</v>
      </c>
      <c r="AG140" s="41">
        <f t="shared" ref="AG140:AR140" si="107">SUM(AG90:AG95)+SUM(AG106:AG111)</f>
        <v>0</v>
      </c>
      <c r="AH140" s="41">
        <f t="shared" si="107"/>
        <v>65538.899999999994</v>
      </c>
      <c r="AI140" s="41">
        <f t="shared" si="107"/>
        <v>0</v>
      </c>
      <c r="AJ140" s="41">
        <f t="shared" si="107"/>
        <v>134925.90007380073</v>
      </c>
      <c r="AK140" s="41">
        <f t="shared" si="107"/>
        <v>0</v>
      </c>
      <c r="AL140" s="41">
        <f t="shared" si="107"/>
        <v>0</v>
      </c>
      <c r="AM140" s="41">
        <f t="shared" si="107"/>
        <v>0</v>
      </c>
      <c r="AN140" s="41">
        <f t="shared" si="107"/>
        <v>0</v>
      </c>
      <c r="AO140" s="41">
        <f t="shared" si="107"/>
        <v>0</v>
      </c>
      <c r="AP140" s="41">
        <f t="shared" si="107"/>
        <v>13619.62</v>
      </c>
      <c r="AQ140" s="41">
        <f t="shared" si="107"/>
        <v>0</v>
      </c>
      <c r="AR140" s="6">
        <f t="shared" si="107"/>
        <v>214084.42007380072</v>
      </c>
      <c r="AU140" s="92" t="e">
        <f t="shared" si="86"/>
        <v>#DIV/0!</v>
      </c>
      <c r="AV140" s="92" t="e">
        <f t="shared" si="86"/>
        <v>#DIV/0!</v>
      </c>
      <c r="AW140" s="92" t="e">
        <f t="shared" si="86"/>
        <v>#DIV/0!</v>
      </c>
    </row>
    <row r="141" spans="1:49" s="40" customFormat="1">
      <c r="A141" s="28" t="s">
        <v>4</v>
      </c>
      <c r="B141" s="4">
        <f t="shared" ref="B141:N141" si="108">B135+B138</f>
        <v>0</v>
      </c>
      <c r="C141" s="4">
        <f t="shared" si="108"/>
        <v>0</v>
      </c>
      <c r="D141" s="4">
        <f t="shared" si="108"/>
        <v>148.01</v>
      </c>
      <c r="E141" s="4">
        <f t="shared" si="108"/>
        <v>0</v>
      </c>
      <c r="F141" s="4">
        <f t="shared" si="108"/>
        <v>779.27</v>
      </c>
      <c r="G141" s="4">
        <f t="shared" si="108"/>
        <v>14296.444</v>
      </c>
      <c r="H141" s="4">
        <f t="shared" si="108"/>
        <v>10377.84</v>
      </c>
      <c r="I141" s="4">
        <f t="shared" si="108"/>
        <v>1036.73</v>
      </c>
      <c r="J141" s="4">
        <f t="shared" si="108"/>
        <v>6.12</v>
      </c>
      <c r="K141" s="4">
        <f t="shared" si="108"/>
        <v>160.80000000000001</v>
      </c>
      <c r="L141" s="4">
        <f t="shared" si="108"/>
        <v>248.89000000000001</v>
      </c>
      <c r="M141" s="4">
        <f t="shared" si="108"/>
        <v>367.44</v>
      </c>
      <c r="N141" s="7">
        <f t="shared" si="108"/>
        <v>27421.543999999994</v>
      </c>
      <c r="P141" s="28" t="s">
        <v>4</v>
      </c>
      <c r="Q141" s="4">
        <f t="shared" ref="Q141:AC141" si="109">Q135+Q138</f>
        <v>0</v>
      </c>
      <c r="R141" s="4">
        <f t="shared" si="109"/>
        <v>0</v>
      </c>
      <c r="S141" s="4">
        <f t="shared" si="109"/>
        <v>18398254.039999999</v>
      </c>
      <c r="T141" s="4">
        <f t="shared" si="109"/>
        <v>0</v>
      </c>
      <c r="U141" s="4">
        <f t="shared" si="109"/>
        <v>75276095.590000004</v>
      </c>
      <c r="V141" s="4">
        <f t="shared" si="109"/>
        <v>1583338450.0699999</v>
      </c>
      <c r="W141" s="4">
        <f t="shared" si="109"/>
        <v>1339852092.9300001</v>
      </c>
      <c r="X141" s="4">
        <f t="shared" si="109"/>
        <v>127813946.47</v>
      </c>
      <c r="Y141" s="4">
        <f t="shared" si="109"/>
        <v>809391.05</v>
      </c>
      <c r="Z141" s="4">
        <f t="shared" si="109"/>
        <v>14130401.23</v>
      </c>
      <c r="AA141" s="4">
        <f t="shared" si="109"/>
        <v>22359885.02</v>
      </c>
      <c r="AB141" s="4">
        <f t="shared" si="109"/>
        <v>29557865.82</v>
      </c>
      <c r="AC141" s="7">
        <f t="shared" si="109"/>
        <v>3211536382.2199998</v>
      </c>
      <c r="AE141" s="28" t="s">
        <v>4</v>
      </c>
      <c r="AF141" s="4">
        <f t="shared" ref="AF141:AR141" si="110">AF135+AF138</f>
        <v>0</v>
      </c>
      <c r="AG141" s="4">
        <f t="shared" si="110"/>
        <v>0</v>
      </c>
      <c r="AH141" s="4">
        <f t="shared" si="110"/>
        <v>271420.6914509355</v>
      </c>
      <c r="AI141" s="4">
        <f t="shared" si="110"/>
        <v>0</v>
      </c>
      <c r="AJ141" s="4">
        <f t="shared" si="110"/>
        <v>1110671.8440389067</v>
      </c>
      <c r="AK141" s="4">
        <f t="shared" si="110"/>
        <v>23336162.136297271</v>
      </c>
      <c r="AL141" s="4">
        <f t="shared" si="110"/>
        <v>19767268.171662055</v>
      </c>
      <c r="AM141" s="4">
        <f t="shared" si="110"/>
        <v>1887888.1589742827</v>
      </c>
      <c r="AN141" s="4">
        <f t="shared" si="110"/>
        <v>11867.903958944282</v>
      </c>
      <c r="AO141" s="4">
        <f t="shared" si="110"/>
        <v>208465.88363528671</v>
      </c>
      <c r="AP141" s="4">
        <f t="shared" si="110"/>
        <v>329429.39381946297</v>
      </c>
      <c r="AQ141" s="4">
        <f t="shared" si="110"/>
        <v>436851.52391798049</v>
      </c>
      <c r="AR141" s="7">
        <f t="shared" si="110"/>
        <v>47360025.707755126</v>
      </c>
      <c r="AU141" s="92">
        <f t="shared" si="86"/>
        <v>1632.3053576327982</v>
      </c>
      <c r="AV141" s="92">
        <f t="shared" si="86"/>
        <v>1904.7574612503233</v>
      </c>
      <c r="AW141" s="92">
        <f t="shared" si="86"/>
        <v>1821.0027287473911</v>
      </c>
    </row>
    <row r="150" spans="1:49" s="40" customFormat="1">
      <c r="A150" s="25" t="s">
        <v>109</v>
      </c>
      <c r="B150" s="16" t="s">
        <v>133</v>
      </c>
      <c r="C150" s="16" t="s">
        <v>19</v>
      </c>
      <c r="D150" s="159" t="s">
        <v>17</v>
      </c>
      <c r="E150" s="159" t="s">
        <v>134</v>
      </c>
      <c r="F150" s="387" t="s">
        <v>10</v>
      </c>
      <c r="G150" s="387" t="s">
        <v>11</v>
      </c>
      <c r="H150" s="387" t="s">
        <v>12</v>
      </c>
      <c r="I150" s="387" t="s">
        <v>13</v>
      </c>
      <c r="J150" s="387" t="s">
        <v>14</v>
      </c>
      <c r="K150" s="387" t="s">
        <v>18</v>
      </c>
      <c r="L150" s="387" t="s">
        <v>15</v>
      </c>
      <c r="M150" s="387" t="s">
        <v>16</v>
      </c>
      <c r="N150" s="27" t="s">
        <v>20</v>
      </c>
      <c r="P150" s="25" t="s">
        <v>109</v>
      </c>
      <c r="Q150" s="387" t="s">
        <v>133</v>
      </c>
      <c r="R150" s="387" t="s">
        <v>19</v>
      </c>
      <c r="S150" s="387" t="s">
        <v>17</v>
      </c>
      <c r="T150" s="387" t="s">
        <v>134</v>
      </c>
      <c r="U150" s="387" t="s">
        <v>10</v>
      </c>
      <c r="V150" s="387" t="s">
        <v>11</v>
      </c>
      <c r="W150" s="387" t="s">
        <v>12</v>
      </c>
      <c r="X150" s="387" t="s">
        <v>13</v>
      </c>
      <c r="Y150" s="387" t="s">
        <v>14</v>
      </c>
      <c r="Z150" s="387" t="s">
        <v>18</v>
      </c>
      <c r="AA150" s="387" t="s">
        <v>15</v>
      </c>
      <c r="AB150" s="387" t="s">
        <v>16</v>
      </c>
      <c r="AC150" s="27" t="s">
        <v>20</v>
      </c>
      <c r="AE150" s="25" t="s">
        <v>22</v>
      </c>
      <c r="AF150" s="387" t="s">
        <v>133</v>
      </c>
      <c r="AG150" s="387" t="s">
        <v>19</v>
      </c>
      <c r="AH150" s="387" t="s">
        <v>17</v>
      </c>
      <c r="AI150" s="387" t="s">
        <v>134</v>
      </c>
      <c r="AJ150" s="387" t="s">
        <v>10</v>
      </c>
      <c r="AK150" s="387" t="s">
        <v>11</v>
      </c>
      <c r="AL150" s="387" t="s">
        <v>12</v>
      </c>
      <c r="AM150" s="387" t="s">
        <v>13</v>
      </c>
      <c r="AN150" s="387" t="s">
        <v>14</v>
      </c>
      <c r="AO150" s="387" t="s">
        <v>18</v>
      </c>
      <c r="AP150" s="387" t="s">
        <v>15</v>
      </c>
      <c r="AQ150" s="387" t="s">
        <v>16</v>
      </c>
      <c r="AR150" s="27" t="s">
        <v>20</v>
      </c>
      <c r="AU150" s="387" t="s">
        <v>11</v>
      </c>
      <c r="AV150" s="387" t="s">
        <v>12</v>
      </c>
      <c r="AW150" s="387" t="s">
        <v>13</v>
      </c>
    </row>
    <row r="151" spans="1:49" s="40" customFormat="1">
      <c r="A151" s="9">
        <v>41365</v>
      </c>
      <c r="B151" s="41">
        <f>B20+B36+B52</f>
        <v>0</v>
      </c>
      <c r="C151" s="41">
        <f t="shared" ref="C151:M151" si="111">C20+C36+C52</f>
        <v>0</v>
      </c>
      <c r="D151" s="41">
        <f t="shared" si="111"/>
        <v>0</v>
      </c>
      <c r="E151" s="41">
        <f t="shared" si="111"/>
        <v>0</v>
      </c>
      <c r="F151" s="41">
        <f t="shared" si="111"/>
        <v>92.210000000000008</v>
      </c>
      <c r="G151" s="41">
        <f t="shared" si="111"/>
        <v>1989.12</v>
      </c>
      <c r="H151" s="41">
        <f t="shared" si="111"/>
        <v>1169.95</v>
      </c>
      <c r="I151" s="41">
        <f t="shared" si="111"/>
        <v>59.23</v>
      </c>
      <c r="J151" s="41">
        <f t="shared" si="111"/>
        <v>0</v>
      </c>
      <c r="K151" s="41">
        <f t="shared" si="111"/>
        <v>11.4</v>
      </c>
      <c r="L151" s="41">
        <f t="shared" si="111"/>
        <v>14.4</v>
      </c>
      <c r="M151" s="41">
        <f t="shared" si="111"/>
        <v>0.6</v>
      </c>
      <c r="N151" s="6">
        <f>SUM(B151:M151)</f>
        <v>3336.91</v>
      </c>
      <c r="P151" s="9">
        <v>41365</v>
      </c>
      <c r="Q151" s="41">
        <f>Q20+Q36+Q52</f>
        <v>0</v>
      </c>
      <c r="R151" s="41">
        <f t="shared" ref="R151:AB151" si="112">R20+R36+R52</f>
        <v>0</v>
      </c>
      <c r="S151" s="41">
        <f t="shared" si="112"/>
        <v>0</v>
      </c>
      <c r="T151" s="41">
        <f t="shared" si="112"/>
        <v>0</v>
      </c>
      <c r="U151" s="41">
        <f t="shared" si="112"/>
        <v>8742266.4499999993</v>
      </c>
      <c r="V151" s="41">
        <f t="shared" si="112"/>
        <v>161462782.72</v>
      </c>
      <c r="W151" s="41">
        <f t="shared" si="112"/>
        <v>114064141.21999998</v>
      </c>
      <c r="X151" s="41">
        <f t="shared" si="112"/>
        <v>5814727.5599999996</v>
      </c>
      <c r="Y151" s="41">
        <f t="shared" si="112"/>
        <v>0</v>
      </c>
      <c r="Z151" s="41">
        <f t="shared" si="112"/>
        <v>989818.28</v>
      </c>
      <c r="AA151" s="41">
        <f t="shared" si="112"/>
        <v>1000612.66</v>
      </c>
      <c r="AB151" s="41">
        <f t="shared" si="112"/>
        <v>53717.36</v>
      </c>
      <c r="AC151" s="6">
        <f>SUM(Q151:AB151)</f>
        <v>292128066.25</v>
      </c>
      <c r="AE151" s="9">
        <v>41365</v>
      </c>
      <c r="AF151" s="41">
        <f>AF20+AF36+AF52</f>
        <v>0</v>
      </c>
      <c r="AG151" s="41">
        <f t="shared" ref="AG151:AQ151" si="113">AG20+AG36+AG52</f>
        <v>0</v>
      </c>
      <c r="AH151" s="41">
        <f t="shared" si="113"/>
        <v>0</v>
      </c>
      <c r="AI151" s="41">
        <f t="shared" si="113"/>
        <v>0</v>
      </c>
      <c r="AJ151" s="41">
        <f t="shared" si="113"/>
        <v>129758.03309682777</v>
      </c>
      <c r="AK151" s="41">
        <f t="shared" si="113"/>
        <v>2397195.3305592742</v>
      </c>
      <c r="AL151" s="41">
        <f t="shared" si="113"/>
        <v>1694041.1368211261</v>
      </c>
      <c r="AM151" s="41">
        <f t="shared" si="113"/>
        <v>86916.704932735418</v>
      </c>
      <c r="AN151" s="41">
        <f t="shared" si="113"/>
        <v>0</v>
      </c>
      <c r="AO151" s="41">
        <f t="shared" si="113"/>
        <v>14795.489985052316</v>
      </c>
      <c r="AP151" s="41">
        <f t="shared" si="113"/>
        <v>14823.891259259261</v>
      </c>
      <c r="AQ151" s="41">
        <f t="shared" si="113"/>
        <v>802.95007473841554</v>
      </c>
      <c r="AR151" s="6">
        <f>SUM(AF151:AQ151)</f>
        <v>4338333.5367290145</v>
      </c>
      <c r="AU151" s="92">
        <f t="shared" ref="AU151:AW162" si="114">+AK151/G151</f>
        <v>1205.1537014153366</v>
      </c>
      <c r="AV151" s="92">
        <f t="shared" si="114"/>
        <v>1447.9602861841327</v>
      </c>
      <c r="AW151" s="92">
        <f t="shared" si="114"/>
        <v>1467.4439461883408</v>
      </c>
    </row>
    <row r="152" spans="1:49" s="40" customFormat="1">
      <c r="A152" s="9">
        <v>41395</v>
      </c>
      <c r="B152" s="41">
        <f t="shared" ref="B152:M162" si="115">B21+B37+B53</f>
        <v>0</v>
      </c>
      <c r="C152" s="41">
        <f t="shared" si="115"/>
        <v>0</v>
      </c>
      <c r="D152" s="41">
        <f t="shared" si="115"/>
        <v>0</v>
      </c>
      <c r="E152" s="41">
        <f t="shared" si="115"/>
        <v>0</v>
      </c>
      <c r="F152" s="41">
        <f t="shared" si="115"/>
        <v>131.45999999999998</v>
      </c>
      <c r="G152" s="41">
        <f t="shared" si="115"/>
        <v>2368.5699999999997</v>
      </c>
      <c r="H152" s="41">
        <f t="shared" si="115"/>
        <v>1001.8399999999999</v>
      </c>
      <c r="I152" s="41">
        <f t="shared" si="115"/>
        <v>234.60000000000002</v>
      </c>
      <c r="J152" s="41">
        <f t="shared" si="115"/>
        <v>0</v>
      </c>
      <c r="K152" s="41">
        <f t="shared" si="115"/>
        <v>0</v>
      </c>
      <c r="L152" s="41">
        <f t="shared" si="115"/>
        <v>7.2</v>
      </c>
      <c r="M152" s="41">
        <f t="shared" si="115"/>
        <v>37.799999999999997</v>
      </c>
      <c r="N152" s="6">
        <f t="shared" ref="N152:N163" si="116">SUM(B152:M152)</f>
        <v>3781.47</v>
      </c>
      <c r="P152" s="9">
        <v>41395</v>
      </c>
      <c r="Q152" s="41">
        <f t="shared" ref="Q152:AB162" si="117">Q21+Q37+Q53</f>
        <v>0</v>
      </c>
      <c r="R152" s="41">
        <f t="shared" si="117"/>
        <v>0</v>
      </c>
      <c r="S152" s="41">
        <f t="shared" si="117"/>
        <v>0</v>
      </c>
      <c r="T152" s="41">
        <f t="shared" si="117"/>
        <v>0</v>
      </c>
      <c r="U152" s="41">
        <f t="shared" si="117"/>
        <v>11590772.859999999</v>
      </c>
      <c r="V152" s="41">
        <f t="shared" si="117"/>
        <v>241251989.88</v>
      </c>
      <c r="W152" s="41">
        <f t="shared" si="117"/>
        <v>108344158.31</v>
      </c>
      <c r="X152" s="41">
        <f t="shared" si="117"/>
        <v>23828806.129999999</v>
      </c>
      <c r="Y152" s="41">
        <f t="shared" si="117"/>
        <v>0</v>
      </c>
      <c r="Z152" s="41">
        <f t="shared" si="117"/>
        <v>0</v>
      </c>
      <c r="AA152" s="41">
        <f t="shared" si="117"/>
        <v>551795.72</v>
      </c>
      <c r="AB152" s="41">
        <f t="shared" si="117"/>
        <v>3404799.0399999996</v>
      </c>
      <c r="AC152" s="6">
        <f t="shared" ref="AC152:AC163" si="118">SUM(Q152:AB152)</f>
        <v>388972321.94000006</v>
      </c>
      <c r="AE152" s="9">
        <v>41395</v>
      </c>
      <c r="AF152" s="41">
        <f t="shared" ref="AF152:AQ162" si="119">AF21+AF37+AF53</f>
        <v>0</v>
      </c>
      <c r="AG152" s="41">
        <f t="shared" si="119"/>
        <v>0</v>
      </c>
      <c r="AH152" s="41">
        <f t="shared" si="119"/>
        <v>0</v>
      </c>
      <c r="AI152" s="41">
        <f t="shared" si="119"/>
        <v>0</v>
      </c>
      <c r="AJ152" s="41">
        <f t="shared" si="119"/>
        <v>171646.06603987364</v>
      </c>
      <c r="AK152" s="41">
        <f t="shared" si="119"/>
        <v>3572430.1135007287</v>
      </c>
      <c r="AL152" s="41">
        <f t="shared" si="119"/>
        <v>1601973.0521661015</v>
      </c>
      <c r="AM152" s="41">
        <f t="shared" si="119"/>
        <v>353691.16549844679</v>
      </c>
      <c r="AN152" s="41">
        <f t="shared" si="119"/>
        <v>0</v>
      </c>
      <c r="AO152" s="41">
        <f t="shared" si="119"/>
        <v>0</v>
      </c>
      <c r="AP152" s="41">
        <f t="shared" si="119"/>
        <v>8108.6806759735491</v>
      </c>
      <c r="AQ152" s="41">
        <f t="shared" si="119"/>
        <v>50033.784570168995</v>
      </c>
      <c r="AR152" s="6">
        <f t="shared" ref="AR152:AR163" si="120">SUM(AF152:AQ152)</f>
        <v>5757882.8624512926</v>
      </c>
      <c r="AU152" s="92">
        <f t="shared" si="114"/>
        <v>1508.264528175536</v>
      </c>
      <c r="AV152" s="92">
        <f t="shared" si="114"/>
        <v>1599.0308354289125</v>
      </c>
      <c r="AW152" s="92">
        <f t="shared" si="114"/>
        <v>1507.6349765492189</v>
      </c>
    </row>
    <row r="153" spans="1:49" s="40" customFormat="1">
      <c r="A153" s="9">
        <v>41426</v>
      </c>
      <c r="B153" s="41">
        <f t="shared" si="115"/>
        <v>0</v>
      </c>
      <c r="C153" s="41">
        <f t="shared" si="115"/>
        <v>0</v>
      </c>
      <c r="D153" s="41">
        <f t="shared" si="115"/>
        <v>0</v>
      </c>
      <c r="E153" s="41">
        <f t="shared" si="115"/>
        <v>0</v>
      </c>
      <c r="F153" s="41">
        <f t="shared" si="115"/>
        <v>0</v>
      </c>
      <c r="G153" s="41">
        <f t="shared" si="115"/>
        <v>3228.9399999999996</v>
      </c>
      <c r="H153" s="41">
        <f t="shared" si="115"/>
        <v>1403.89</v>
      </c>
      <c r="I153" s="41">
        <f t="shared" si="115"/>
        <v>0</v>
      </c>
      <c r="J153" s="41">
        <f t="shared" si="115"/>
        <v>0</v>
      </c>
      <c r="K153" s="41">
        <f t="shared" si="115"/>
        <v>12</v>
      </c>
      <c r="L153" s="41">
        <f t="shared" si="115"/>
        <v>21</v>
      </c>
      <c r="M153" s="41">
        <f t="shared" si="115"/>
        <v>45</v>
      </c>
      <c r="N153" s="6">
        <f t="shared" si="116"/>
        <v>4710.83</v>
      </c>
      <c r="O153" s="42">
        <f>N151+N152+N153</f>
        <v>11829.21</v>
      </c>
      <c r="P153" s="9">
        <v>41426</v>
      </c>
      <c r="Q153" s="41">
        <f t="shared" si="117"/>
        <v>0</v>
      </c>
      <c r="R153" s="41">
        <f t="shared" si="117"/>
        <v>0</v>
      </c>
      <c r="S153" s="41">
        <f t="shared" si="117"/>
        <v>0</v>
      </c>
      <c r="T153" s="41">
        <f t="shared" si="117"/>
        <v>0</v>
      </c>
      <c r="U153" s="41">
        <f t="shared" si="117"/>
        <v>0</v>
      </c>
      <c r="V153" s="41">
        <f t="shared" si="117"/>
        <v>371550376.34000003</v>
      </c>
      <c r="W153" s="41">
        <f t="shared" si="117"/>
        <v>167698169.43000001</v>
      </c>
      <c r="X153" s="41">
        <f t="shared" si="117"/>
        <v>0</v>
      </c>
      <c r="Y153" s="41">
        <f t="shared" si="117"/>
        <v>0</v>
      </c>
      <c r="Z153" s="41">
        <f t="shared" si="117"/>
        <v>1134053.25</v>
      </c>
      <c r="AA153" s="41">
        <f t="shared" si="117"/>
        <v>1943275.35</v>
      </c>
      <c r="AB153" s="41">
        <f t="shared" si="117"/>
        <v>4221899.74</v>
      </c>
      <c r="AC153" s="6">
        <f t="shared" si="118"/>
        <v>546547774.11000001</v>
      </c>
      <c r="AE153" s="9">
        <v>41426</v>
      </c>
      <c r="AF153" s="41">
        <f t="shared" si="119"/>
        <v>0</v>
      </c>
      <c r="AG153" s="41">
        <f t="shared" si="119"/>
        <v>0</v>
      </c>
      <c r="AH153" s="41">
        <f t="shared" si="119"/>
        <v>0</v>
      </c>
      <c r="AI153" s="41">
        <f t="shared" si="119"/>
        <v>0</v>
      </c>
      <c r="AJ153" s="41">
        <f t="shared" si="119"/>
        <v>0</v>
      </c>
      <c r="AK153" s="41">
        <f t="shared" si="119"/>
        <v>5451875.9396365834</v>
      </c>
      <c r="AL153" s="41">
        <f t="shared" si="119"/>
        <v>2460234.7982571386</v>
      </c>
      <c r="AM153" s="41">
        <f t="shared" si="119"/>
        <v>0</v>
      </c>
      <c r="AN153" s="41">
        <f t="shared" si="119"/>
        <v>0</v>
      </c>
      <c r="AO153" s="41">
        <f t="shared" si="119"/>
        <v>16665</v>
      </c>
      <c r="AP153" s="41">
        <f t="shared" si="119"/>
        <v>28482</v>
      </c>
      <c r="AQ153" s="41">
        <f t="shared" si="119"/>
        <v>61891.409992544883</v>
      </c>
      <c r="AR153" s="6">
        <f t="shared" si="120"/>
        <v>8019149.1478862669</v>
      </c>
      <c r="AU153" s="92">
        <f t="shared" si="114"/>
        <v>1688.4413893217538</v>
      </c>
      <c r="AV153" s="92">
        <f t="shared" si="114"/>
        <v>1752.4412868936586</v>
      </c>
      <c r="AW153" s="92" t="e">
        <f t="shared" si="114"/>
        <v>#DIV/0!</v>
      </c>
    </row>
    <row r="154" spans="1:49" s="40" customFormat="1">
      <c r="A154" s="9">
        <v>41456</v>
      </c>
      <c r="B154" s="41">
        <f t="shared" si="115"/>
        <v>0</v>
      </c>
      <c r="C154" s="41">
        <f t="shared" si="115"/>
        <v>0</v>
      </c>
      <c r="D154" s="41">
        <f t="shared" si="115"/>
        <v>0</v>
      </c>
      <c r="E154" s="41">
        <f t="shared" si="115"/>
        <v>0</v>
      </c>
      <c r="F154" s="41">
        <f t="shared" si="115"/>
        <v>119.25999999999999</v>
      </c>
      <c r="G154" s="41">
        <f t="shared" si="115"/>
        <v>2220.7599999999998</v>
      </c>
      <c r="H154" s="41">
        <f t="shared" si="115"/>
        <v>1544.83</v>
      </c>
      <c r="I154" s="41">
        <f t="shared" si="115"/>
        <v>253.92000000000002</v>
      </c>
      <c r="J154" s="41">
        <f t="shared" si="115"/>
        <v>6.12</v>
      </c>
      <c r="K154" s="41">
        <f t="shared" si="115"/>
        <v>2</v>
      </c>
      <c r="L154" s="41">
        <f t="shared" si="115"/>
        <v>45.67</v>
      </c>
      <c r="M154" s="41">
        <f t="shared" si="115"/>
        <v>0</v>
      </c>
      <c r="N154" s="6">
        <f t="shared" si="116"/>
        <v>4192.5599999999995</v>
      </c>
      <c r="P154" s="9">
        <v>41456</v>
      </c>
      <c r="Q154" s="41">
        <f t="shared" si="117"/>
        <v>0</v>
      </c>
      <c r="R154" s="41">
        <f t="shared" si="117"/>
        <v>0</v>
      </c>
      <c r="S154" s="41">
        <f t="shared" si="117"/>
        <v>0</v>
      </c>
      <c r="T154" s="41">
        <f t="shared" si="117"/>
        <v>0</v>
      </c>
      <c r="U154" s="41">
        <f t="shared" si="117"/>
        <v>10937473.66</v>
      </c>
      <c r="V154" s="41">
        <f t="shared" si="117"/>
        <v>268560680.13</v>
      </c>
      <c r="W154" s="41">
        <f t="shared" si="117"/>
        <v>202345014.45999998</v>
      </c>
      <c r="X154" s="41">
        <f t="shared" si="117"/>
        <v>32692561.760000002</v>
      </c>
      <c r="Y154" s="41">
        <f t="shared" si="117"/>
        <v>809391.05</v>
      </c>
      <c r="Z154" s="41">
        <f t="shared" si="117"/>
        <v>182273.29</v>
      </c>
      <c r="AA154" s="41">
        <f t="shared" si="117"/>
        <v>4138562.1100000003</v>
      </c>
      <c r="AB154" s="41">
        <f t="shared" si="117"/>
        <v>0</v>
      </c>
      <c r="AC154" s="6">
        <f t="shared" si="118"/>
        <v>519665956.46000004</v>
      </c>
      <c r="AE154" s="9">
        <v>41456</v>
      </c>
      <c r="AF154" s="41">
        <f t="shared" si="119"/>
        <v>0</v>
      </c>
      <c r="AG154" s="41">
        <f t="shared" si="119"/>
        <v>0</v>
      </c>
      <c r="AH154" s="41">
        <f t="shared" si="119"/>
        <v>0</v>
      </c>
      <c r="AI154" s="41">
        <f t="shared" si="119"/>
        <v>0</v>
      </c>
      <c r="AJ154" s="41">
        <f t="shared" si="119"/>
        <v>160589.39402349919</v>
      </c>
      <c r="AK154" s="41">
        <f t="shared" si="119"/>
        <v>3938883.4933530698</v>
      </c>
      <c r="AL154" s="41">
        <f t="shared" si="119"/>
        <v>2968400.4917212804</v>
      </c>
      <c r="AM154" s="41">
        <f t="shared" si="119"/>
        <v>479891.57839549903</v>
      </c>
      <c r="AN154" s="41">
        <f t="shared" si="119"/>
        <v>11867.903958944282</v>
      </c>
      <c r="AO154" s="41">
        <f t="shared" si="119"/>
        <v>2672.6288856304986</v>
      </c>
      <c r="AP154" s="41">
        <f t="shared" si="119"/>
        <v>60716.070864037625</v>
      </c>
      <c r="AQ154" s="41">
        <f t="shared" si="119"/>
        <v>0</v>
      </c>
      <c r="AR154" s="6">
        <f t="shared" si="120"/>
        <v>7623021.5612019608</v>
      </c>
      <c r="AU154" s="92">
        <f t="shared" si="114"/>
        <v>1773.664643344202</v>
      </c>
      <c r="AV154" s="92">
        <f t="shared" si="114"/>
        <v>1921.5062445196434</v>
      </c>
      <c r="AW154" s="92">
        <f t="shared" si="114"/>
        <v>1889.932177045916</v>
      </c>
    </row>
    <row r="155" spans="1:49" s="40" customFormat="1">
      <c r="A155" s="9">
        <v>41487</v>
      </c>
      <c r="B155" s="41">
        <f t="shared" si="115"/>
        <v>0</v>
      </c>
      <c r="C155" s="41">
        <f t="shared" si="115"/>
        <v>0</v>
      </c>
      <c r="D155" s="41">
        <f t="shared" si="115"/>
        <v>0</v>
      </c>
      <c r="E155" s="41">
        <f t="shared" si="115"/>
        <v>0</v>
      </c>
      <c r="F155" s="41">
        <f t="shared" si="115"/>
        <v>33.299999999999997</v>
      </c>
      <c r="G155" s="41">
        <f t="shared" si="115"/>
        <v>1325.5300000000002</v>
      </c>
      <c r="H155" s="41">
        <f t="shared" si="115"/>
        <v>870.83000000000015</v>
      </c>
      <c r="I155" s="41">
        <f t="shared" si="115"/>
        <v>212.3</v>
      </c>
      <c r="J155" s="41">
        <f t="shared" si="115"/>
        <v>0</v>
      </c>
      <c r="K155" s="41">
        <f t="shared" si="115"/>
        <v>41.4</v>
      </c>
      <c r="L155" s="41">
        <f t="shared" si="115"/>
        <v>0</v>
      </c>
      <c r="M155" s="41">
        <f t="shared" si="115"/>
        <v>30.6</v>
      </c>
      <c r="N155" s="6">
        <f t="shared" si="116"/>
        <v>2513.9600000000005</v>
      </c>
      <c r="P155" s="9">
        <v>41487</v>
      </c>
      <c r="Q155" s="41">
        <f t="shared" si="117"/>
        <v>0</v>
      </c>
      <c r="R155" s="41">
        <f t="shared" si="117"/>
        <v>0</v>
      </c>
      <c r="S155" s="41">
        <f t="shared" si="117"/>
        <v>0</v>
      </c>
      <c r="T155" s="41">
        <f t="shared" si="117"/>
        <v>0</v>
      </c>
      <c r="U155" s="41">
        <f t="shared" si="117"/>
        <v>3492435.64</v>
      </c>
      <c r="V155" s="41">
        <f t="shared" si="117"/>
        <v>156499912.41000003</v>
      </c>
      <c r="W155" s="41">
        <f t="shared" si="117"/>
        <v>112954174.84</v>
      </c>
      <c r="X155" s="41">
        <f t="shared" si="117"/>
        <v>27515062.490000002</v>
      </c>
      <c r="Y155" s="41">
        <f t="shared" si="117"/>
        <v>0</v>
      </c>
      <c r="Z155" s="41">
        <f t="shared" si="117"/>
        <v>3638632.32</v>
      </c>
      <c r="AA155" s="41">
        <f t="shared" si="117"/>
        <v>0</v>
      </c>
      <c r="AB155" s="41">
        <f t="shared" si="117"/>
        <v>2807732.84</v>
      </c>
      <c r="AC155" s="6">
        <f t="shared" si="118"/>
        <v>306907950.53999996</v>
      </c>
      <c r="AE155" s="9">
        <v>41487</v>
      </c>
      <c r="AF155" s="41">
        <f t="shared" si="119"/>
        <v>0</v>
      </c>
      <c r="AG155" s="41">
        <f t="shared" si="119"/>
        <v>0</v>
      </c>
      <c r="AH155" s="41">
        <f t="shared" si="119"/>
        <v>0</v>
      </c>
      <c r="AI155" s="41">
        <f t="shared" si="119"/>
        <v>0</v>
      </c>
      <c r="AJ155" s="41">
        <f t="shared" si="119"/>
        <v>51407.94973839452</v>
      </c>
      <c r="AK155" s="41">
        <f t="shared" si="119"/>
        <v>2308470.2895965865</v>
      </c>
      <c r="AL155" s="41">
        <f t="shared" si="119"/>
        <v>1667220.2928413285</v>
      </c>
      <c r="AM155" s="41">
        <f t="shared" si="119"/>
        <v>406126.38361623621</v>
      </c>
      <c r="AN155" s="41">
        <f t="shared" si="119"/>
        <v>0</v>
      </c>
      <c r="AO155" s="41">
        <f t="shared" si="119"/>
        <v>53706.750110701105</v>
      </c>
      <c r="AP155" s="41">
        <f t="shared" si="119"/>
        <v>0</v>
      </c>
      <c r="AQ155" s="41">
        <f t="shared" si="119"/>
        <v>41442.551143911434</v>
      </c>
      <c r="AR155" s="6">
        <f t="shared" si="120"/>
        <v>4528374.2170471577</v>
      </c>
      <c r="AU155" s="92">
        <f t="shared" si="114"/>
        <v>1741.5451099534421</v>
      </c>
      <c r="AV155" s="92">
        <f t="shared" si="114"/>
        <v>1914.5186693629391</v>
      </c>
      <c r="AW155" s="92">
        <f t="shared" si="114"/>
        <v>1912.9834367227329</v>
      </c>
    </row>
    <row r="156" spans="1:49" s="40" customFormat="1">
      <c r="A156" s="9">
        <v>41518</v>
      </c>
      <c r="B156" s="41">
        <f t="shared" si="115"/>
        <v>0</v>
      </c>
      <c r="C156" s="41">
        <f t="shared" si="115"/>
        <v>0</v>
      </c>
      <c r="D156" s="41">
        <f t="shared" si="115"/>
        <v>0</v>
      </c>
      <c r="E156" s="41">
        <f t="shared" si="115"/>
        <v>0</v>
      </c>
      <c r="F156" s="41">
        <f t="shared" si="115"/>
        <v>78.740000000000009</v>
      </c>
      <c r="G156" s="41">
        <f t="shared" si="115"/>
        <v>1260.6100000000001</v>
      </c>
      <c r="H156" s="41">
        <f t="shared" si="115"/>
        <v>1597.9999999999998</v>
      </c>
      <c r="I156" s="41">
        <f t="shared" si="115"/>
        <v>79.009999999999991</v>
      </c>
      <c r="J156" s="41">
        <f t="shared" si="115"/>
        <v>0</v>
      </c>
      <c r="K156" s="41">
        <f t="shared" si="115"/>
        <v>30</v>
      </c>
      <c r="L156" s="41">
        <f t="shared" si="115"/>
        <v>60</v>
      </c>
      <c r="M156" s="41">
        <f t="shared" si="115"/>
        <v>15</v>
      </c>
      <c r="N156" s="6">
        <f t="shared" si="116"/>
        <v>3121.3599999999997</v>
      </c>
      <c r="O156" s="42">
        <f>N154+N155+N156</f>
        <v>9827.880000000001</v>
      </c>
      <c r="P156" s="9">
        <v>41518</v>
      </c>
      <c r="Q156" s="41">
        <f t="shared" si="117"/>
        <v>0</v>
      </c>
      <c r="R156" s="41">
        <f t="shared" si="117"/>
        <v>0</v>
      </c>
      <c r="S156" s="41">
        <f t="shared" si="117"/>
        <v>0</v>
      </c>
      <c r="T156" s="41">
        <f t="shared" si="117"/>
        <v>0</v>
      </c>
      <c r="U156" s="41">
        <f t="shared" si="117"/>
        <v>6526676.3700000001</v>
      </c>
      <c r="V156" s="41">
        <f t="shared" si="117"/>
        <v>151667329.42000002</v>
      </c>
      <c r="W156" s="41">
        <f t="shared" si="117"/>
        <v>213846759.38999996</v>
      </c>
      <c r="X156" s="41">
        <f t="shared" si="117"/>
        <v>10118346.050000001</v>
      </c>
      <c r="Y156" s="41">
        <f t="shared" si="117"/>
        <v>0</v>
      </c>
      <c r="Z156" s="41">
        <f t="shared" si="117"/>
        <v>2568871.88</v>
      </c>
      <c r="AA156" s="41">
        <f t="shared" si="117"/>
        <v>4893836.33</v>
      </c>
      <c r="AB156" s="41">
        <f t="shared" si="117"/>
        <v>1370260.69</v>
      </c>
      <c r="AC156" s="6">
        <f t="shared" si="118"/>
        <v>390992080.12999994</v>
      </c>
      <c r="AE156" s="9">
        <v>41518</v>
      </c>
      <c r="AF156" s="41">
        <f t="shared" si="119"/>
        <v>0</v>
      </c>
      <c r="AG156" s="41">
        <f t="shared" si="119"/>
        <v>0</v>
      </c>
      <c r="AH156" s="41">
        <f t="shared" si="119"/>
        <v>0</v>
      </c>
      <c r="AI156" s="41">
        <f t="shared" si="119"/>
        <v>0</v>
      </c>
      <c r="AJ156" s="41">
        <f t="shared" si="119"/>
        <v>96121.890574374062</v>
      </c>
      <c r="AK156" s="41">
        <f t="shared" si="119"/>
        <v>2236045.0020588124</v>
      </c>
      <c r="AL156" s="41">
        <f t="shared" si="119"/>
        <v>3152796.5312078213</v>
      </c>
      <c r="AM156" s="41">
        <f t="shared" si="119"/>
        <v>149348.28118081181</v>
      </c>
      <c r="AN156" s="41">
        <f t="shared" si="119"/>
        <v>0</v>
      </c>
      <c r="AO156" s="41">
        <f t="shared" si="119"/>
        <v>37833.164653902793</v>
      </c>
      <c r="AP156" s="41">
        <f t="shared" si="119"/>
        <v>72153.244723247233</v>
      </c>
      <c r="AQ156" s="41">
        <f t="shared" si="119"/>
        <v>20180.569808541972</v>
      </c>
      <c r="AR156" s="6">
        <f t="shared" si="120"/>
        <v>5764478.6842075121</v>
      </c>
      <c r="AU156" s="92">
        <f t="shared" si="114"/>
        <v>1773.7801556855904</v>
      </c>
      <c r="AV156" s="92">
        <f t="shared" si="114"/>
        <v>1972.9640370512027</v>
      </c>
      <c r="AW156" s="92">
        <f t="shared" si="114"/>
        <v>1890.2453003520038</v>
      </c>
    </row>
    <row r="157" spans="1:49" s="40" customFormat="1">
      <c r="A157" s="9">
        <v>41548</v>
      </c>
      <c r="B157" s="41">
        <f t="shared" si="115"/>
        <v>0</v>
      </c>
      <c r="C157" s="41">
        <f t="shared" si="115"/>
        <v>0</v>
      </c>
      <c r="D157" s="41">
        <f t="shared" si="115"/>
        <v>0</v>
      </c>
      <c r="E157" s="41">
        <f t="shared" si="115"/>
        <v>0</v>
      </c>
      <c r="F157" s="41">
        <f t="shared" si="115"/>
        <v>0</v>
      </c>
      <c r="G157" s="41">
        <f t="shared" si="115"/>
        <v>651.05999999999995</v>
      </c>
      <c r="H157" s="41">
        <f t="shared" si="115"/>
        <v>1383.73</v>
      </c>
      <c r="I157" s="41">
        <f t="shared" si="115"/>
        <v>78.78</v>
      </c>
      <c r="J157" s="41">
        <f t="shared" si="115"/>
        <v>0</v>
      </c>
      <c r="K157" s="41">
        <f t="shared" si="115"/>
        <v>30</v>
      </c>
      <c r="L157" s="41">
        <f t="shared" si="115"/>
        <v>43.8</v>
      </c>
      <c r="M157" s="41">
        <f t="shared" si="115"/>
        <v>38.04</v>
      </c>
      <c r="N157" s="6">
        <f t="shared" si="116"/>
        <v>2225.4100000000003</v>
      </c>
      <c r="P157" s="9">
        <v>41548</v>
      </c>
      <c r="Q157" s="41">
        <f t="shared" si="117"/>
        <v>0</v>
      </c>
      <c r="R157" s="41">
        <f t="shared" si="117"/>
        <v>0</v>
      </c>
      <c r="S157" s="41">
        <f t="shared" si="117"/>
        <v>0</v>
      </c>
      <c r="T157" s="41">
        <f t="shared" si="117"/>
        <v>0</v>
      </c>
      <c r="U157" s="41">
        <f t="shared" si="117"/>
        <v>0</v>
      </c>
      <c r="V157" s="41">
        <f t="shared" si="117"/>
        <v>78703078.539999992</v>
      </c>
      <c r="W157" s="41">
        <f t="shared" si="117"/>
        <v>206615721.03000003</v>
      </c>
      <c r="X157" s="41">
        <f t="shared" si="117"/>
        <v>10891637.560000001</v>
      </c>
      <c r="Y157" s="41">
        <f t="shared" si="117"/>
        <v>0</v>
      </c>
      <c r="Z157" s="41">
        <f t="shared" si="117"/>
        <v>2618889.6</v>
      </c>
      <c r="AA157" s="41">
        <f t="shared" si="117"/>
        <v>3565250.6599999997</v>
      </c>
      <c r="AB157" s="41">
        <f t="shared" si="117"/>
        <v>3110563.61</v>
      </c>
      <c r="AC157" s="6">
        <f t="shared" si="118"/>
        <v>305505141.00000012</v>
      </c>
      <c r="AE157" s="9">
        <v>41548</v>
      </c>
      <c r="AF157" s="41">
        <f t="shared" si="119"/>
        <v>0</v>
      </c>
      <c r="AG157" s="41">
        <f t="shared" si="119"/>
        <v>0</v>
      </c>
      <c r="AH157" s="41">
        <f t="shared" si="119"/>
        <v>0</v>
      </c>
      <c r="AI157" s="41">
        <f t="shared" si="119"/>
        <v>0</v>
      </c>
      <c r="AJ157" s="41">
        <f t="shared" si="119"/>
        <v>0</v>
      </c>
      <c r="AK157" s="41">
        <f t="shared" si="119"/>
        <v>1166326.3792852263</v>
      </c>
      <c r="AL157" s="41">
        <f t="shared" si="119"/>
        <v>3072891.1086472599</v>
      </c>
      <c r="AM157" s="41">
        <f t="shared" si="119"/>
        <v>161070.49535055351</v>
      </c>
      <c r="AN157" s="41">
        <f t="shared" si="119"/>
        <v>0</v>
      </c>
      <c r="AO157" s="41">
        <f t="shared" si="119"/>
        <v>38784</v>
      </c>
      <c r="AP157" s="41">
        <f t="shared" si="119"/>
        <v>52754.46324832581</v>
      </c>
      <c r="AQ157" s="41">
        <f t="shared" si="119"/>
        <v>46082.423851851847</v>
      </c>
      <c r="AR157" s="6">
        <f t="shared" si="120"/>
        <v>4537908.8703832179</v>
      </c>
      <c r="AU157" s="92">
        <f t="shared" si="114"/>
        <v>1791.4268720013922</v>
      </c>
      <c r="AV157" s="92">
        <f t="shared" si="114"/>
        <v>2220.7302787735034</v>
      </c>
      <c r="AW157" s="92">
        <f t="shared" si="114"/>
        <v>2044.5607432159622</v>
      </c>
    </row>
    <row r="158" spans="1:49" s="40" customFormat="1">
      <c r="A158" s="9">
        <v>41579</v>
      </c>
      <c r="B158" s="41">
        <f t="shared" si="115"/>
        <v>0</v>
      </c>
      <c r="C158" s="41">
        <f t="shared" si="115"/>
        <v>0</v>
      </c>
      <c r="D158" s="41">
        <f t="shared" si="115"/>
        <v>0</v>
      </c>
      <c r="E158" s="41">
        <f t="shared" si="115"/>
        <v>0</v>
      </c>
      <c r="F158" s="41">
        <f t="shared" si="115"/>
        <v>0</v>
      </c>
      <c r="G158" s="41">
        <f t="shared" si="115"/>
        <v>857.87999999999988</v>
      </c>
      <c r="H158" s="41">
        <f t="shared" si="115"/>
        <v>1404.77</v>
      </c>
      <c r="I158" s="41">
        <f t="shared" si="115"/>
        <v>118.89</v>
      </c>
      <c r="J158" s="41">
        <f t="shared" si="115"/>
        <v>0</v>
      </c>
      <c r="K158" s="41">
        <f t="shared" si="115"/>
        <v>34</v>
      </c>
      <c r="L158" s="41">
        <f t="shared" si="115"/>
        <v>0</v>
      </c>
      <c r="M158" s="41">
        <f t="shared" si="115"/>
        <v>0</v>
      </c>
      <c r="N158" s="6">
        <f t="shared" si="116"/>
        <v>2415.5399999999995</v>
      </c>
      <c r="P158" s="9">
        <v>41579</v>
      </c>
      <c r="Q158" s="41">
        <f t="shared" si="117"/>
        <v>0</v>
      </c>
      <c r="R158" s="41">
        <f t="shared" si="117"/>
        <v>0</v>
      </c>
      <c r="S158" s="41">
        <f t="shared" si="117"/>
        <v>0</v>
      </c>
      <c r="T158" s="41">
        <f t="shared" si="117"/>
        <v>0</v>
      </c>
      <c r="U158" s="41">
        <f t="shared" si="117"/>
        <v>0</v>
      </c>
      <c r="V158" s="41">
        <f t="shared" si="117"/>
        <v>121246469.28999999</v>
      </c>
      <c r="W158" s="41">
        <f t="shared" si="117"/>
        <v>213983954.25</v>
      </c>
      <c r="X158" s="41">
        <f t="shared" si="117"/>
        <v>16952804.920000002</v>
      </c>
      <c r="Y158" s="41">
        <f t="shared" si="117"/>
        <v>0</v>
      </c>
      <c r="Z158" s="41">
        <f t="shared" si="117"/>
        <v>2997862.61</v>
      </c>
      <c r="AA158" s="41">
        <f t="shared" si="117"/>
        <v>0</v>
      </c>
      <c r="AB158" s="41">
        <f t="shared" si="117"/>
        <v>0</v>
      </c>
      <c r="AC158" s="6">
        <f t="shared" si="118"/>
        <v>355181091.06999999</v>
      </c>
      <c r="AE158" s="9">
        <v>41579</v>
      </c>
      <c r="AF158" s="41">
        <f t="shared" si="119"/>
        <v>0</v>
      </c>
      <c r="AG158" s="41">
        <f t="shared" si="119"/>
        <v>0</v>
      </c>
      <c r="AH158" s="41">
        <f t="shared" si="119"/>
        <v>0</v>
      </c>
      <c r="AI158" s="41">
        <f t="shared" si="119"/>
        <v>0</v>
      </c>
      <c r="AJ158" s="41">
        <f t="shared" si="119"/>
        <v>0</v>
      </c>
      <c r="AK158" s="41">
        <f t="shared" si="119"/>
        <v>1789231.7400000002</v>
      </c>
      <c r="AL158" s="41">
        <f t="shared" si="119"/>
        <v>3149710.7600000002</v>
      </c>
      <c r="AM158" s="41">
        <f t="shared" si="119"/>
        <v>250843.55</v>
      </c>
      <c r="AN158" s="41">
        <f t="shared" si="119"/>
        <v>0</v>
      </c>
      <c r="AO158" s="41">
        <f t="shared" si="119"/>
        <v>44008.850000000006</v>
      </c>
      <c r="AP158" s="41">
        <f t="shared" si="119"/>
        <v>0</v>
      </c>
      <c r="AQ158" s="41">
        <f t="shared" si="119"/>
        <v>0</v>
      </c>
      <c r="AR158" s="6">
        <f t="shared" si="120"/>
        <v>5233794.8999999994</v>
      </c>
      <c r="AU158" s="92">
        <f t="shared" si="114"/>
        <v>2085.6433766960417</v>
      </c>
      <c r="AV158" s="92">
        <f t="shared" si="114"/>
        <v>2242.1540608071073</v>
      </c>
      <c r="AW158" s="92">
        <f t="shared" si="114"/>
        <v>2109.8793001934559</v>
      </c>
    </row>
    <row r="159" spans="1:49" s="40" customFormat="1">
      <c r="A159" s="9">
        <v>41609</v>
      </c>
      <c r="B159" s="41">
        <f t="shared" si="115"/>
        <v>0</v>
      </c>
      <c r="C159" s="41">
        <f t="shared" si="115"/>
        <v>0</v>
      </c>
      <c r="D159" s="41">
        <f t="shared" si="115"/>
        <v>0</v>
      </c>
      <c r="E159" s="41">
        <f t="shared" si="115"/>
        <v>0</v>
      </c>
      <c r="F159" s="41">
        <f t="shared" si="115"/>
        <v>0</v>
      </c>
      <c r="G159" s="41">
        <f t="shared" si="115"/>
        <v>0</v>
      </c>
      <c r="H159" s="41">
        <f t="shared" si="115"/>
        <v>0</v>
      </c>
      <c r="I159" s="41">
        <f t="shared" si="115"/>
        <v>0</v>
      </c>
      <c r="J159" s="41">
        <f t="shared" si="115"/>
        <v>0</v>
      </c>
      <c r="K159" s="41">
        <f t="shared" si="115"/>
        <v>0</v>
      </c>
      <c r="L159" s="41">
        <f t="shared" si="115"/>
        <v>0</v>
      </c>
      <c r="M159" s="41">
        <f t="shared" si="115"/>
        <v>0</v>
      </c>
      <c r="N159" s="6">
        <f t="shared" si="116"/>
        <v>0</v>
      </c>
      <c r="O159" s="42">
        <f>N157+N158+N159</f>
        <v>4640.95</v>
      </c>
      <c r="P159" s="9">
        <v>41609</v>
      </c>
      <c r="Q159" s="41">
        <f t="shared" si="117"/>
        <v>0</v>
      </c>
      <c r="R159" s="41">
        <f t="shared" si="117"/>
        <v>0</v>
      </c>
      <c r="S159" s="41">
        <f t="shared" si="117"/>
        <v>0</v>
      </c>
      <c r="T159" s="41">
        <f t="shared" si="117"/>
        <v>0</v>
      </c>
      <c r="U159" s="41">
        <f t="shared" si="117"/>
        <v>0</v>
      </c>
      <c r="V159" s="41">
        <f t="shared" si="117"/>
        <v>0</v>
      </c>
      <c r="W159" s="41">
        <f t="shared" si="117"/>
        <v>0</v>
      </c>
      <c r="X159" s="41">
        <f t="shared" si="117"/>
        <v>0</v>
      </c>
      <c r="Y159" s="41">
        <f t="shared" si="117"/>
        <v>0</v>
      </c>
      <c r="Z159" s="41">
        <f t="shared" si="117"/>
        <v>0</v>
      </c>
      <c r="AA159" s="41">
        <f t="shared" si="117"/>
        <v>0</v>
      </c>
      <c r="AB159" s="41">
        <f t="shared" si="117"/>
        <v>0</v>
      </c>
      <c r="AC159" s="6">
        <f t="shared" si="118"/>
        <v>0</v>
      </c>
      <c r="AE159" s="9">
        <v>41609</v>
      </c>
      <c r="AF159" s="41">
        <f t="shared" si="119"/>
        <v>0</v>
      </c>
      <c r="AG159" s="41">
        <f t="shared" si="119"/>
        <v>0</v>
      </c>
      <c r="AH159" s="41">
        <f t="shared" si="119"/>
        <v>0</v>
      </c>
      <c r="AI159" s="41">
        <f t="shared" si="119"/>
        <v>0</v>
      </c>
      <c r="AJ159" s="41">
        <f t="shared" si="119"/>
        <v>0</v>
      </c>
      <c r="AK159" s="41">
        <f t="shared" si="119"/>
        <v>0</v>
      </c>
      <c r="AL159" s="41">
        <f t="shared" si="119"/>
        <v>0</v>
      </c>
      <c r="AM159" s="41">
        <f t="shared" si="119"/>
        <v>0</v>
      </c>
      <c r="AN159" s="41">
        <f t="shared" si="119"/>
        <v>0</v>
      </c>
      <c r="AO159" s="41">
        <f t="shared" si="119"/>
        <v>0</v>
      </c>
      <c r="AP159" s="41">
        <f t="shared" si="119"/>
        <v>0</v>
      </c>
      <c r="AQ159" s="41">
        <f t="shared" si="119"/>
        <v>0</v>
      </c>
      <c r="AR159" s="6">
        <f t="shared" si="120"/>
        <v>0</v>
      </c>
      <c r="AU159" s="92" t="e">
        <f t="shared" si="114"/>
        <v>#DIV/0!</v>
      </c>
      <c r="AV159" s="92" t="e">
        <f t="shared" si="114"/>
        <v>#DIV/0!</v>
      </c>
      <c r="AW159" s="92" t="e">
        <f t="shared" si="114"/>
        <v>#DIV/0!</v>
      </c>
    </row>
    <row r="160" spans="1:49" s="40" customFormat="1">
      <c r="A160" s="9">
        <v>41640</v>
      </c>
      <c r="B160" s="41">
        <f t="shared" si="115"/>
        <v>0</v>
      </c>
      <c r="C160" s="41">
        <f t="shared" si="115"/>
        <v>0</v>
      </c>
      <c r="D160" s="41">
        <f t="shared" si="115"/>
        <v>0</v>
      </c>
      <c r="E160" s="41">
        <f t="shared" si="115"/>
        <v>0</v>
      </c>
      <c r="F160" s="41">
        <f t="shared" si="115"/>
        <v>0</v>
      </c>
      <c r="G160" s="41">
        <f t="shared" si="115"/>
        <v>0</v>
      </c>
      <c r="H160" s="41">
        <f t="shared" si="115"/>
        <v>0</v>
      </c>
      <c r="I160" s="41">
        <f t="shared" si="115"/>
        <v>0</v>
      </c>
      <c r="J160" s="41">
        <f t="shared" si="115"/>
        <v>0</v>
      </c>
      <c r="K160" s="41">
        <f t="shared" si="115"/>
        <v>0</v>
      </c>
      <c r="L160" s="41">
        <f t="shared" si="115"/>
        <v>0</v>
      </c>
      <c r="M160" s="41">
        <f t="shared" si="115"/>
        <v>0</v>
      </c>
      <c r="N160" s="6">
        <f t="shared" si="116"/>
        <v>0</v>
      </c>
      <c r="P160" s="9">
        <v>41640</v>
      </c>
      <c r="Q160" s="41">
        <f t="shared" si="117"/>
        <v>0</v>
      </c>
      <c r="R160" s="41">
        <f t="shared" si="117"/>
        <v>0</v>
      </c>
      <c r="S160" s="41">
        <f t="shared" si="117"/>
        <v>0</v>
      </c>
      <c r="T160" s="41">
        <f t="shared" si="117"/>
        <v>0</v>
      </c>
      <c r="U160" s="41">
        <f t="shared" si="117"/>
        <v>0</v>
      </c>
      <c r="V160" s="41">
        <f t="shared" si="117"/>
        <v>0</v>
      </c>
      <c r="W160" s="41">
        <f t="shared" si="117"/>
        <v>0</v>
      </c>
      <c r="X160" s="41">
        <f t="shared" si="117"/>
        <v>0</v>
      </c>
      <c r="Y160" s="41">
        <f t="shared" si="117"/>
        <v>0</v>
      </c>
      <c r="Z160" s="41">
        <f t="shared" si="117"/>
        <v>0</v>
      </c>
      <c r="AA160" s="41">
        <f t="shared" si="117"/>
        <v>0</v>
      </c>
      <c r="AB160" s="41">
        <f t="shared" si="117"/>
        <v>0</v>
      </c>
      <c r="AC160" s="6">
        <f t="shared" si="118"/>
        <v>0</v>
      </c>
      <c r="AE160" s="9">
        <v>41640</v>
      </c>
      <c r="AF160" s="41">
        <f t="shared" si="119"/>
        <v>0</v>
      </c>
      <c r="AG160" s="41">
        <f t="shared" si="119"/>
        <v>0</v>
      </c>
      <c r="AH160" s="41">
        <f t="shared" si="119"/>
        <v>0</v>
      </c>
      <c r="AI160" s="41">
        <f t="shared" si="119"/>
        <v>0</v>
      </c>
      <c r="AJ160" s="41">
        <f t="shared" si="119"/>
        <v>0</v>
      </c>
      <c r="AK160" s="41">
        <f t="shared" si="119"/>
        <v>0</v>
      </c>
      <c r="AL160" s="41">
        <f t="shared" si="119"/>
        <v>0</v>
      </c>
      <c r="AM160" s="41">
        <f t="shared" si="119"/>
        <v>0</v>
      </c>
      <c r="AN160" s="41">
        <f t="shared" si="119"/>
        <v>0</v>
      </c>
      <c r="AO160" s="41">
        <f t="shared" si="119"/>
        <v>0</v>
      </c>
      <c r="AP160" s="41">
        <f t="shared" si="119"/>
        <v>0</v>
      </c>
      <c r="AQ160" s="41">
        <f t="shared" si="119"/>
        <v>0</v>
      </c>
      <c r="AR160" s="6">
        <f t="shared" si="120"/>
        <v>0</v>
      </c>
      <c r="AU160" s="92" t="e">
        <f t="shared" si="114"/>
        <v>#DIV/0!</v>
      </c>
      <c r="AV160" s="92" t="e">
        <f t="shared" si="114"/>
        <v>#DIV/0!</v>
      </c>
      <c r="AW160" s="92" t="e">
        <f t="shared" si="114"/>
        <v>#DIV/0!</v>
      </c>
    </row>
    <row r="161" spans="1:49" s="40" customFormat="1">
      <c r="A161" s="9">
        <v>41671</v>
      </c>
      <c r="B161" s="41">
        <f t="shared" si="115"/>
        <v>0</v>
      </c>
      <c r="C161" s="41">
        <f t="shared" si="115"/>
        <v>0</v>
      </c>
      <c r="D161" s="41">
        <f t="shared" si="115"/>
        <v>0</v>
      </c>
      <c r="E161" s="41">
        <f t="shared" si="115"/>
        <v>0</v>
      </c>
      <c r="F161" s="41">
        <f t="shared" si="115"/>
        <v>0</v>
      </c>
      <c r="G161" s="41">
        <f t="shared" si="115"/>
        <v>0</v>
      </c>
      <c r="H161" s="41">
        <f t="shared" si="115"/>
        <v>0</v>
      </c>
      <c r="I161" s="41">
        <f t="shared" si="115"/>
        <v>0</v>
      </c>
      <c r="J161" s="41">
        <f t="shared" si="115"/>
        <v>0</v>
      </c>
      <c r="K161" s="41">
        <f t="shared" si="115"/>
        <v>0</v>
      </c>
      <c r="L161" s="41">
        <f t="shared" si="115"/>
        <v>0</v>
      </c>
      <c r="M161" s="41">
        <f t="shared" si="115"/>
        <v>0</v>
      </c>
      <c r="N161" s="6">
        <f t="shared" si="116"/>
        <v>0</v>
      </c>
      <c r="P161" s="9">
        <v>41671</v>
      </c>
      <c r="Q161" s="41">
        <f t="shared" si="117"/>
        <v>0</v>
      </c>
      <c r="R161" s="41">
        <f t="shared" si="117"/>
        <v>0</v>
      </c>
      <c r="S161" s="41">
        <f t="shared" si="117"/>
        <v>0</v>
      </c>
      <c r="T161" s="41">
        <f t="shared" si="117"/>
        <v>0</v>
      </c>
      <c r="U161" s="41">
        <f t="shared" si="117"/>
        <v>0</v>
      </c>
      <c r="V161" s="41">
        <f t="shared" si="117"/>
        <v>0</v>
      </c>
      <c r="W161" s="41">
        <f t="shared" si="117"/>
        <v>0</v>
      </c>
      <c r="X161" s="41">
        <f t="shared" si="117"/>
        <v>0</v>
      </c>
      <c r="Y161" s="41">
        <f t="shared" si="117"/>
        <v>0</v>
      </c>
      <c r="Z161" s="41">
        <f t="shared" si="117"/>
        <v>0</v>
      </c>
      <c r="AA161" s="41">
        <f t="shared" si="117"/>
        <v>0</v>
      </c>
      <c r="AB161" s="41">
        <f t="shared" si="117"/>
        <v>0</v>
      </c>
      <c r="AC161" s="6">
        <f t="shared" si="118"/>
        <v>0</v>
      </c>
      <c r="AE161" s="9">
        <v>41671</v>
      </c>
      <c r="AF161" s="41">
        <f t="shared" si="119"/>
        <v>0</v>
      </c>
      <c r="AG161" s="41">
        <f t="shared" si="119"/>
        <v>0</v>
      </c>
      <c r="AH161" s="41">
        <f t="shared" si="119"/>
        <v>0</v>
      </c>
      <c r="AI161" s="41">
        <f t="shared" si="119"/>
        <v>0</v>
      </c>
      <c r="AJ161" s="41">
        <f t="shared" si="119"/>
        <v>0</v>
      </c>
      <c r="AK161" s="41">
        <f t="shared" si="119"/>
        <v>0</v>
      </c>
      <c r="AL161" s="41">
        <f t="shared" si="119"/>
        <v>0</v>
      </c>
      <c r="AM161" s="41">
        <f t="shared" si="119"/>
        <v>0</v>
      </c>
      <c r="AN161" s="41">
        <f t="shared" si="119"/>
        <v>0</v>
      </c>
      <c r="AO161" s="41">
        <f t="shared" si="119"/>
        <v>0</v>
      </c>
      <c r="AP161" s="41">
        <f t="shared" si="119"/>
        <v>0</v>
      </c>
      <c r="AQ161" s="41">
        <f t="shared" si="119"/>
        <v>0</v>
      </c>
      <c r="AR161" s="6">
        <f t="shared" si="120"/>
        <v>0</v>
      </c>
      <c r="AU161" s="92" t="e">
        <f t="shared" si="114"/>
        <v>#DIV/0!</v>
      </c>
      <c r="AV161" s="92" t="e">
        <f t="shared" si="114"/>
        <v>#DIV/0!</v>
      </c>
      <c r="AW161" s="92" t="e">
        <f t="shared" si="114"/>
        <v>#DIV/0!</v>
      </c>
    </row>
    <row r="162" spans="1:49" s="40" customFormat="1">
      <c r="A162" s="9">
        <v>41699</v>
      </c>
      <c r="B162" s="41">
        <f t="shared" si="115"/>
        <v>0</v>
      </c>
      <c r="C162" s="41">
        <f t="shared" si="115"/>
        <v>0</v>
      </c>
      <c r="D162" s="41">
        <f t="shared" si="115"/>
        <v>0</v>
      </c>
      <c r="E162" s="41">
        <f t="shared" si="115"/>
        <v>0</v>
      </c>
      <c r="F162" s="41">
        <f t="shared" si="115"/>
        <v>0</v>
      </c>
      <c r="G162" s="41">
        <f t="shared" si="115"/>
        <v>0</v>
      </c>
      <c r="H162" s="41">
        <f t="shared" si="115"/>
        <v>0</v>
      </c>
      <c r="I162" s="41">
        <f t="shared" si="115"/>
        <v>0</v>
      </c>
      <c r="J162" s="41">
        <f t="shared" si="115"/>
        <v>0</v>
      </c>
      <c r="K162" s="41">
        <f t="shared" si="115"/>
        <v>0</v>
      </c>
      <c r="L162" s="41">
        <f t="shared" si="115"/>
        <v>0</v>
      </c>
      <c r="M162" s="41">
        <f t="shared" si="115"/>
        <v>0</v>
      </c>
      <c r="N162" s="6">
        <f t="shared" si="116"/>
        <v>0</v>
      </c>
      <c r="O162" s="42">
        <f>N160+N161+N162</f>
        <v>0</v>
      </c>
      <c r="P162" s="9">
        <v>41699</v>
      </c>
      <c r="Q162" s="41">
        <f t="shared" si="117"/>
        <v>0</v>
      </c>
      <c r="R162" s="41">
        <f t="shared" si="117"/>
        <v>0</v>
      </c>
      <c r="S162" s="41">
        <f t="shared" si="117"/>
        <v>0</v>
      </c>
      <c r="T162" s="41">
        <f t="shared" si="117"/>
        <v>0</v>
      </c>
      <c r="U162" s="41">
        <f t="shared" si="117"/>
        <v>0</v>
      </c>
      <c r="V162" s="41">
        <f t="shared" si="117"/>
        <v>0</v>
      </c>
      <c r="W162" s="41">
        <f t="shared" si="117"/>
        <v>0</v>
      </c>
      <c r="X162" s="41">
        <f t="shared" si="117"/>
        <v>0</v>
      </c>
      <c r="Y162" s="41">
        <f t="shared" si="117"/>
        <v>0</v>
      </c>
      <c r="Z162" s="41">
        <f t="shared" si="117"/>
        <v>0</v>
      </c>
      <c r="AA162" s="41">
        <f t="shared" si="117"/>
        <v>0</v>
      </c>
      <c r="AB162" s="41">
        <f t="shared" si="117"/>
        <v>0</v>
      </c>
      <c r="AC162" s="6">
        <f t="shared" si="118"/>
        <v>0</v>
      </c>
      <c r="AE162" s="9">
        <v>41699</v>
      </c>
      <c r="AF162" s="41">
        <f t="shared" si="119"/>
        <v>0</v>
      </c>
      <c r="AG162" s="41">
        <f t="shared" si="119"/>
        <v>0</v>
      </c>
      <c r="AH162" s="41">
        <f t="shared" si="119"/>
        <v>0</v>
      </c>
      <c r="AI162" s="41">
        <f t="shared" si="119"/>
        <v>0</v>
      </c>
      <c r="AJ162" s="41">
        <f t="shared" si="119"/>
        <v>0</v>
      </c>
      <c r="AK162" s="41">
        <f t="shared" si="119"/>
        <v>0</v>
      </c>
      <c r="AL162" s="41">
        <f t="shared" si="119"/>
        <v>0</v>
      </c>
      <c r="AM162" s="41">
        <f t="shared" si="119"/>
        <v>0</v>
      </c>
      <c r="AN162" s="41">
        <f t="shared" si="119"/>
        <v>0</v>
      </c>
      <c r="AO162" s="41">
        <f t="shared" si="119"/>
        <v>0</v>
      </c>
      <c r="AP162" s="41">
        <f t="shared" si="119"/>
        <v>0</v>
      </c>
      <c r="AQ162" s="41">
        <f t="shared" si="119"/>
        <v>0</v>
      </c>
      <c r="AR162" s="6">
        <f t="shared" si="120"/>
        <v>0</v>
      </c>
      <c r="AU162" s="92" t="e">
        <f t="shared" si="114"/>
        <v>#DIV/0!</v>
      </c>
      <c r="AV162" s="92" t="e">
        <f t="shared" si="114"/>
        <v>#DIV/0!</v>
      </c>
      <c r="AW162" s="92" t="e">
        <f t="shared" si="114"/>
        <v>#DIV/0!</v>
      </c>
    </row>
    <row r="163" spans="1:49" s="40" customFormat="1">
      <c r="A163" s="28" t="s">
        <v>4</v>
      </c>
      <c r="B163" s="91">
        <f>SUM(B151:B162)</f>
        <v>0</v>
      </c>
      <c r="C163" s="91">
        <f t="shared" ref="C163:M163" si="121">SUM(C151:C162)</f>
        <v>0</v>
      </c>
      <c r="D163" s="91">
        <f t="shared" si="121"/>
        <v>0</v>
      </c>
      <c r="E163" s="91">
        <f t="shared" si="121"/>
        <v>0</v>
      </c>
      <c r="F163" s="91">
        <f t="shared" si="121"/>
        <v>454.96999999999997</v>
      </c>
      <c r="G163" s="91">
        <f t="shared" si="121"/>
        <v>13902.47</v>
      </c>
      <c r="H163" s="91">
        <f t="shared" si="121"/>
        <v>10377.84</v>
      </c>
      <c r="I163" s="91">
        <f t="shared" si="121"/>
        <v>1036.73</v>
      </c>
      <c r="J163" s="91">
        <f t="shared" si="121"/>
        <v>6.12</v>
      </c>
      <c r="K163" s="91">
        <f t="shared" si="121"/>
        <v>160.80000000000001</v>
      </c>
      <c r="L163" s="91">
        <f t="shared" si="121"/>
        <v>192.07</v>
      </c>
      <c r="M163" s="91">
        <f t="shared" si="121"/>
        <v>167.04</v>
      </c>
      <c r="N163" s="127">
        <f t="shared" si="116"/>
        <v>26298.039999999997</v>
      </c>
      <c r="P163" s="128" t="s">
        <v>4</v>
      </c>
      <c r="Q163" s="91">
        <f>SUM(Q151:Q162)</f>
        <v>0</v>
      </c>
      <c r="R163" s="91">
        <f t="shared" ref="R163:AB163" si="122">SUM(R151:R162)</f>
        <v>0</v>
      </c>
      <c r="S163" s="91">
        <f t="shared" si="122"/>
        <v>0</v>
      </c>
      <c r="T163" s="91">
        <f t="shared" si="122"/>
        <v>0</v>
      </c>
      <c r="U163" s="91">
        <f t="shared" si="122"/>
        <v>41289624.979999997</v>
      </c>
      <c r="V163" s="91">
        <f t="shared" si="122"/>
        <v>1550942618.73</v>
      </c>
      <c r="W163" s="91">
        <f t="shared" si="122"/>
        <v>1339852092.9300001</v>
      </c>
      <c r="X163" s="91">
        <f t="shared" si="122"/>
        <v>127813946.47</v>
      </c>
      <c r="Y163" s="91">
        <f t="shared" si="122"/>
        <v>809391.05</v>
      </c>
      <c r="Z163" s="91">
        <f t="shared" si="122"/>
        <v>14130401.229999999</v>
      </c>
      <c r="AA163" s="91">
        <f t="shared" si="122"/>
        <v>16093332.83</v>
      </c>
      <c r="AB163" s="91">
        <f t="shared" si="122"/>
        <v>14968973.279999999</v>
      </c>
      <c r="AC163" s="127">
        <f t="shared" si="118"/>
        <v>3105900381.5000005</v>
      </c>
      <c r="AE163" s="128" t="s">
        <v>4</v>
      </c>
      <c r="AF163" s="91">
        <f>SUM(AF151:AF162)</f>
        <v>0</v>
      </c>
      <c r="AG163" s="91">
        <f t="shared" ref="AG163:AQ163" si="123">SUM(AG151:AG162)</f>
        <v>0</v>
      </c>
      <c r="AH163" s="91">
        <f t="shared" si="123"/>
        <v>0</v>
      </c>
      <c r="AI163" s="91">
        <f t="shared" si="123"/>
        <v>0</v>
      </c>
      <c r="AJ163" s="91">
        <f t="shared" si="123"/>
        <v>609523.33347296924</v>
      </c>
      <c r="AK163" s="91">
        <f t="shared" si="123"/>
        <v>22860458.287990279</v>
      </c>
      <c r="AL163" s="91">
        <f t="shared" si="123"/>
        <v>19767268.171662059</v>
      </c>
      <c r="AM163" s="91">
        <f t="shared" si="123"/>
        <v>1887888.1589742827</v>
      </c>
      <c r="AN163" s="91">
        <f t="shared" si="123"/>
        <v>11867.903958944282</v>
      </c>
      <c r="AO163" s="91">
        <f t="shared" si="123"/>
        <v>208465.88363528671</v>
      </c>
      <c r="AP163" s="91">
        <f t="shared" si="123"/>
        <v>237038.35077084345</v>
      </c>
      <c r="AQ163" s="91">
        <f t="shared" si="123"/>
        <v>220433.68944175754</v>
      </c>
      <c r="AR163" s="127">
        <f t="shared" si="120"/>
        <v>45802943.779906429</v>
      </c>
    </row>
  </sheetData>
  <mergeCells count="6">
    <mergeCell ref="AU2:AW2"/>
    <mergeCell ref="F116:G116"/>
    <mergeCell ref="AH116:AI116"/>
    <mergeCell ref="D1:M1"/>
    <mergeCell ref="S1:AB1"/>
    <mergeCell ref="AH1:AQ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78"/>
  <sheetViews>
    <sheetView showGridLines="0" workbookViewId="0">
      <pane xSplit="11" ySplit="4" topLeftCell="BI32" activePane="bottomRight" state="frozen"/>
      <selection activeCell="F45" sqref="F45"/>
      <selection pane="topRight" activeCell="F45" sqref="F45"/>
      <selection pane="bottomLeft" activeCell="F45" sqref="F45"/>
      <selection pane="bottomRight" activeCell="BI47" sqref="BI47"/>
    </sheetView>
  </sheetViews>
  <sheetFormatPr defaultRowHeight="15"/>
  <cols>
    <col min="1" max="1" width="9.140625" style="39"/>
    <col min="2" max="2" width="15.5703125" style="39" customWidth="1"/>
    <col min="3" max="3" width="10.5703125" style="39" bestFit="1" customWidth="1"/>
    <col min="4" max="4" width="9.28515625" style="78" bestFit="1" customWidth="1"/>
    <col min="5" max="5" width="10.140625" style="74" bestFit="1" customWidth="1"/>
    <col min="6" max="6" width="9.28515625" style="78" bestFit="1" customWidth="1"/>
    <col min="7" max="7" width="10.140625" style="39" bestFit="1" customWidth="1"/>
    <col min="8" max="8" width="9.28515625" style="78" bestFit="1" customWidth="1"/>
    <col min="9" max="9" width="10.140625" style="39" bestFit="1" customWidth="1"/>
    <col min="10" max="10" width="9.28515625" style="78" bestFit="1" customWidth="1"/>
    <col min="11" max="11" width="9.140625" style="39"/>
    <col min="12" max="12" width="0" style="39" hidden="1" customWidth="1"/>
    <col min="13" max="13" width="13" style="40" hidden="1" customWidth="1"/>
    <col min="14" max="14" width="15.140625" style="40" hidden="1" customWidth="1"/>
    <col min="15" max="15" width="13" style="40" hidden="1" customWidth="1"/>
    <col min="16" max="18" width="15.140625" style="40" hidden="1" customWidth="1"/>
    <col min="19" max="20" width="13" style="40" hidden="1" customWidth="1"/>
    <col min="21" max="21" width="15.140625" style="40" hidden="1" customWidth="1"/>
    <col min="22" max="22" width="13" style="40" hidden="1" customWidth="1"/>
    <col min="23" max="23" width="13.5703125" style="40" hidden="1" customWidth="1"/>
    <col min="24" max="26" width="0" style="39" hidden="1" customWidth="1"/>
    <col min="27" max="27" width="13" style="40" hidden="1" customWidth="1"/>
    <col min="28" max="28" width="15.140625" style="40" hidden="1" customWidth="1"/>
    <col min="29" max="29" width="13" style="40" hidden="1" customWidth="1"/>
    <col min="30" max="32" width="15.140625" style="40" hidden="1" customWidth="1"/>
    <col min="33" max="34" width="13" style="40" hidden="1" customWidth="1"/>
    <col min="35" max="35" width="15.140625" style="40" hidden="1" customWidth="1"/>
    <col min="36" max="36" width="13" style="40" hidden="1" customWidth="1"/>
    <col min="37" max="37" width="13.5703125" style="40" hidden="1" customWidth="1"/>
    <col min="38" max="39" width="0" style="39" hidden="1" customWidth="1"/>
    <col min="40" max="40" width="9.140625" style="39" customWidth="1"/>
    <col min="41" max="41" width="12" style="40" bestFit="1" customWidth="1"/>
    <col min="42" max="42" width="14.140625" style="40" bestFit="1" customWidth="1"/>
    <col min="43" max="43" width="13.5703125" style="40" bestFit="1" customWidth="1"/>
    <col min="44" max="46" width="14.140625" style="40" bestFit="1" customWidth="1"/>
    <col min="47" max="48" width="12" style="40" bestFit="1" customWidth="1"/>
    <col min="49" max="49" width="14.140625" style="40" bestFit="1" customWidth="1"/>
    <col min="50" max="50" width="12" style="40" bestFit="1" customWidth="1"/>
    <col min="51" max="51" width="13.5703125" style="40" customWidth="1"/>
    <col min="52" max="53" width="9.140625" style="39"/>
    <col min="54" max="54" width="9.140625" style="39" customWidth="1"/>
    <col min="55" max="55" width="13" style="40" customWidth="1"/>
    <col min="56" max="56" width="15.140625" style="40" customWidth="1"/>
    <col min="57" max="57" width="13" style="40" customWidth="1"/>
    <col min="58" max="60" width="15.140625" style="40" customWidth="1"/>
    <col min="61" max="62" width="13" style="40" customWidth="1"/>
    <col min="63" max="63" width="15.140625" style="40" customWidth="1"/>
    <col min="64" max="64" width="13" style="40" customWidth="1"/>
    <col min="65" max="65" width="13.5703125" style="40" customWidth="1"/>
    <col min="66" max="16384" width="9.140625" style="39"/>
  </cols>
  <sheetData>
    <row r="2" spans="2:65" ht="15" customHeight="1">
      <c r="B2" s="48"/>
      <c r="C2" s="425" t="s">
        <v>48</v>
      </c>
      <c r="D2" s="426"/>
      <c r="E2" s="425" t="s">
        <v>33</v>
      </c>
      <c r="F2" s="427"/>
      <c r="G2" s="426" t="s">
        <v>39</v>
      </c>
      <c r="H2" s="426"/>
      <c r="I2" s="428" t="s">
        <v>54</v>
      </c>
      <c r="J2" s="429"/>
    </row>
    <row r="3" spans="2:65" ht="25.5">
      <c r="B3" s="49"/>
      <c r="C3" s="50" t="s">
        <v>55</v>
      </c>
      <c r="D3" s="86" t="s">
        <v>56</v>
      </c>
      <c r="E3" s="79" t="s">
        <v>55</v>
      </c>
      <c r="F3" s="83" t="s">
        <v>56</v>
      </c>
      <c r="G3" s="51" t="s">
        <v>55</v>
      </c>
      <c r="H3" s="86" t="s">
        <v>56</v>
      </c>
      <c r="I3" s="50" t="s">
        <v>55</v>
      </c>
      <c r="J3" s="86" t="s">
        <v>56</v>
      </c>
    </row>
    <row r="4" spans="2:65">
      <c r="B4" s="52" t="s">
        <v>57</v>
      </c>
      <c r="C4" s="53"/>
      <c r="D4" s="87"/>
      <c r="E4" s="80"/>
      <c r="F4" s="84"/>
      <c r="G4" s="52"/>
      <c r="H4" s="87"/>
      <c r="I4" s="53"/>
      <c r="J4" s="87"/>
      <c r="M4" s="77" t="s">
        <v>17</v>
      </c>
      <c r="N4" s="77" t="s">
        <v>24</v>
      </c>
      <c r="O4" s="77" t="s">
        <v>10</v>
      </c>
      <c r="P4" s="77" t="s">
        <v>11</v>
      </c>
      <c r="Q4" s="32" t="s">
        <v>12</v>
      </c>
      <c r="R4" s="32" t="s">
        <v>13</v>
      </c>
      <c r="S4" s="32" t="s">
        <v>14</v>
      </c>
      <c r="T4" s="32" t="s">
        <v>18</v>
      </c>
      <c r="U4" s="32" t="s">
        <v>15</v>
      </c>
      <c r="V4" s="32" t="s">
        <v>16</v>
      </c>
      <c r="W4" s="32" t="s">
        <v>20</v>
      </c>
      <c r="AA4" s="77" t="s">
        <v>17</v>
      </c>
      <c r="AB4" s="77" t="s">
        <v>24</v>
      </c>
      <c r="AC4" s="77" t="s">
        <v>10</v>
      </c>
      <c r="AD4" s="77" t="s">
        <v>11</v>
      </c>
      <c r="AE4" s="77" t="s">
        <v>12</v>
      </c>
      <c r="AF4" s="77" t="s">
        <v>13</v>
      </c>
      <c r="AG4" s="77" t="s">
        <v>14</v>
      </c>
      <c r="AH4" s="32" t="s">
        <v>18</v>
      </c>
      <c r="AI4" s="32" t="s">
        <v>15</v>
      </c>
      <c r="AJ4" s="32" t="s">
        <v>16</v>
      </c>
      <c r="AK4" s="32" t="s">
        <v>20</v>
      </c>
      <c r="AO4" s="77" t="s">
        <v>17</v>
      </c>
      <c r="AP4" s="77" t="s">
        <v>10</v>
      </c>
      <c r="AQ4" s="77" t="s">
        <v>11</v>
      </c>
      <c r="AR4" s="77" t="s">
        <v>12</v>
      </c>
      <c r="AS4" s="77" t="s">
        <v>13</v>
      </c>
      <c r="AT4" s="32" t="s">
        <v>14</v>
      </c>
      <c r="AU4" s="32" t="s">
        <v>18</v>
      </c>
      <c r="AV4" s="32" t="s">
        <v>15</v>
      </c>
      <c r="AW4" s="32" t="s">
        <v>16</v>
      </c>
      <c r="AX4" s="32" t="s">
        <v>19</v>
      </c>
      <c r="AY4" s="32" t="s">
        <v>20</v>
      </c>
      <c r="BC4" s="77" t="s">
        <v>17</v>
      </c>
      <c r="BD4" s="77" t="s">
        <v>10</v>
      </c>
      <c r="BE4" s="77" t="s">
        <v>11</v>
      </c>
      <c r="BF4" s="77" t="s">
        <v>12</v>
      </c>
      <c r="BG4" s="32" t="s">
        <v>13</v>
      </c>
      <c r="BH4" s="32" t="s">
        <v>14</v>
      </c>
      <c r="BI4" s="32" t="s">
        <v>18</v>
      </c>
      <c r="BJ4" s="32" t="s">
        <v>15</v>
      </c>
      <c r="BK4" s="32" t="s">
        <v>16</v>
      </c>
      <c r="BL4" s="32" t="s">
        <v>19</v>
      </c>
      <c r="BM4" s="32" t="s">
        <v>20</v>
      </c>
    </row>
    <row r="5" spans="2:65">
      <c r="B5" s="48" t="s">
        <v>0</v>
      </c>
      <c r="C5" s="54"/>
      <c r="D5" s="55"/>
      <c r="E5" s="54"/>
      <c r="F5" s="57"/>
      <c r="G5" s="58">
        <v>0</v>
      </c>
      <c r="H5" s="55">
        <v>0</v>
      </c>
      <c r="I5" s="56"/>
      <c r="J5" s="55"/>
      <c r="M5" s="41">
        <f>'Imports 2013-14'!D16</f>
        <v>58.06</v>
      </c>
      <c r="N5" s="41">
        <f>'Imports 2013-14'!E16</f>
        <v>57.14</v>
      </c>
      <c r="O5" s="41">
        <f>'Imports 2013-14'!F16</f>
        <v>677.77</v>
      </c>
      <c r="P5" s="41">
        <f>'Imports 2013-14'!G16</f>
        <v>43047.42</v>
      </c>
      <c r="Q5" s="41">
        <f>'Imports 2013-14'!H16</f>
        <v>10754.320005</v>
      </c>
      <c r="R5" s="41">
        <f>'Imports 2013-14'!I16</f>
        <v>2322.81007</v>
      </c>
      <c r="S5" s="41">
        <f>'Imports 2013-14'!J16</f>
        <v>0</v>
      </c>
      <c r="T5" s="41">
        <f>'Imports 2013-14'!K16</f>
        <v>235</v>
      </c>
      <c r="U5" s="41">
        <f>'Imports 2013-14'!L16</f>
        <v>130.94</v>
      </c>
      <c r="V5" s="41">
        <f>'Imports 2013-14'!M16</f>
        <v>183.76399999999998</v>
      </c>
      <c r="W5" s="41">
        <f>'Imports 2013-14'!N16</f>
        <v>57467.224074999998</v>
      </c>
      <c r="AA5" s="41">
        <f>'Imports 2014-15'!D16</f>
        <v>38.980000000000004</v>
      </c>
      <c r="AB5" s="41">
        <f>'Imports 2014-15'!E16</f>
        <v>95.27000000000001</v>
      </c>
      <c r="AC5" s="41">
        <f>'Imports 2014-15'!F16</f>
        <v>1368.7149999999999</v>
      </c>
      <c r="AD5" s="41">
        <f>'Imports 2014-15'!G16</f>
        <v>54235.356000000007</v>
      </c>
      <c r="AE5" s="41">
        <f>'Imports 2014-15'!H16</f>
        <v>10674.84</v>
      </c>
      <c r="AF5" s="41">
        <f>'Imports 2014-15'!I16</f>
        <v>1794.3000000000002</v>
      </c>
      <c r="AG5" s="41">
        <f>'Imports 2014-15'!J16</f>
        <v>6.12</v>
      </c>
      <c r="AH5" s="41">
        <f>'Imports 2014-15'!K16</f>
        <v>306.89999999999998</v>
      </c>
      <c r="AI5" s="41">
        <f>'Imports 2014-15'!L16</f>
        <v>304.5</v>
      </c>
      <c r="AJ5" s="41">
        <f>'Imports 2014-15'!M16</f>
        <v>175.72899999999998</v>
      </c>
      <c r="AK5" s="41">
        <f>'Imports 2014-15'!N16</f>
        <v>69000.710000000006</v>
      </c>
      <c r="AO5" s="41">
        <f>'Imports 2015-16'!D16</f>
        <v>20.399999999999999</v>
      </c>
      <c r="AP5" s="41">
        <f>'Imports 2015-16'!F16</f>
        <v>743.0200000000001</v>
      </c>
      <c r="AQ5" s="41">
        <f>'Imports 2015-16'!G16</f>
        <v>31255.074000000004</v>
      </c>
      <c r="AR5" s="41">
        <f>'Imports 2015-16'!H16</f>
        <v>11870.04</v>
      </c>
      <c r="AS5" s="41">
        <f>'Imports 2015-16'!I16</f>
        <v>1864.6099999999997</v>
      </c>
      <c r="AT5" s="41">
        <f>'Imports 2015-16'!J16</f>
        <v>1.6</v>
      </c>
      <c r="AU5" s="41">
        <f>'Imports 2015-16'!K16</f>
        <v>94.716499999999982</v>
      </c>
      <c r="AV5" s="41">
        <f>'Imports 2015-16'!L16</f>
        <v>221.67999999999998</v>
      </c>
      <c r="AW5" s="41">
        <f>'Imports 2015-16'!M16</f>
        <v>315.92</v>
      </c>
      <c r="AX5" s="41">
        <f>'Imports 2015-16'!C16</f>
        <v>2.04</v>
      </c>
      <c r="AY5" s="41">
        <f>'Imports 2015-16'!N16</f>
        <v>46389.100500000008</v>
      </c>
      <c r="BC5" s="41">
        <f>'Imports 2016-17'!D16</f>
        <v>148.01</v>
      </c>
      <c r="BD5" s="41">
        <f>'Imports 2016-17'!F16</f>
        <v>779.27</v>
      </c>
      <c r="BE5" s="41">
        <f>'Imports 2016-17'!G16</f>
        <v>14296.443999999998</v>
      </c>
      <c r="BF5" s="41">
        <f>'Imports 2016-17'!H16</f>
        <v>10377.84</v>
      </c>
      <c r="BG5" s="41">
        <f>'Imports 2016-17'!I16</f>
        <v>1036.73</v>
      </c>
      <c r="BH5" s="41">
        <f>'Imports 2016-17'!J16</f>
        <v>6.12</v>
      </c>
      <c r="BI5" s="41">
        <f>'Imports 2016-17'!K16</f>
        <v>160.80000000000001</v>
      </c>
      <c r="BJ5" s="41">
        <f>'Imports 2016-17'!L16</f>
        <v>248.89</v>
      </c>
      <c r="BK5" s="41">
        <f>'Imports 2016-17'!M16</f>
        <v>367.44</v>
      </c>
      <c r="BL5" s="41">
        <f>'Imports 2016-17'!C16</f>
        <v>0</v>
      </c>
      <c r="BM5" s="41">
        <f>'Imports 2016-17'!N16</f>
        <v>27421.543999999994</v>
      </c>
    </row>
    <row r="6" spans="2:65">
      <c r="B6" s="48" t="s">
        <v>1</v>
      </c>
      <c r="C6" s="54"/>
      <c r="D6" s="59"/>
      <c r="E6" s="54"/>
      <c r="F6" s="57"/>
      <c r="G6" s="58">
        <v>2.04</v>
      </c>
      <c r="H6" s="55">
        <v>228.04992156862747</v>
      </c>
      <c r="I6" s="56"/>
      <c r="J6" s="55"/>
      <c r="L6" s="39" t="s">
        <v>60</v>
      </c>
      <c r="M6" s="41">
        <f>'Imports 2013-14'!D48</f>
        <v>19.760000000000002</v>
      </c>
      <c r="N6" s="41">
        <f>'Imports 2013-14'!E48</f>
        <v>0</v>
      </c>
      <c r="O6" s="41">
        <f>'Imports 2013-14'!F48</f>
        <v>337.51</v>
      </c>
      <c r="P6" s="41">
        <f>'Imports 2013-14'!G48</f>
        <v>13938.879999999996</v>
      </c>
      <c r="Q6" s="41">
        <f>'Imports 2013-14'!H48</f>
        <v>0</v>
      </c>
      <c r="R6" s="41">
        <f>'Imports 2013-14'!I48</f>
        <v>19.7</v>
      </c>
      <c r="S6" s="41">
        <f>'Imports 2013-14'!J48</f>
        <v>0</v>
      </c>
      <c r="T6" s="41">
        <f>'Imports 2013-14'!K48</f>
        <v>157.19999999999999</v>
      </c>
      <c r="U6" s="41">
        <f>'Imports 2013-14'!L48</f>
        <v>0</v>
      </c>
      <c r="V6" s="41">
        <f>'Imports 2013-14'!M48</f>
        <v>129.6</v>
      </c>
      <c r="W6" s="41">
        <f>'Imports 2013-14'!N48</f>
        <v>14602.649999999998</v>
      </c>
      <c r="Z6" s="39" t="s">
        <v>60</v>
      </c>
      <c r="AA6" s="41">
        <f>'Imports 2014-15'!D48</f>
        <v>0</v>
      </c>
      <c r="AB6" s="41">
        <f>'Imports 2014-15'!E48</f>
        <v>0</v>
      </c>
      <c r="AC6" s="41">
        <f>'Imports 2014-15'!F48</f>
        <v>568.71999999999991</v>
      </c>
      <c r="AD6" s="41">
        <f>'Imports 2014-15'!G48</f>
        <v>25215.180000000004</v>
      </c>
      <c r="AE6" s="41">
        <f>'Imports 2014-15'!H48</f>
        <v>0</v>
      </c>
      <c r="AF6" s="41">
        <f>'Imports 2014-15'!I48</f>
        <v>0</v>
      </c>
      <c r="AG6" s="41">
        <f>'Imports 2014-15'!J48</f>
        <v>6.12</v>
      </c>
      <c r="AH6" s="41">
        <f>'Imports 2014-15'!K48</f>
        <v>240</v>
      </c>
      <c r="AI6" s="41">
        <f>'Imports 2014-15'!L48</f>
        <v>15</v>
      </c>
      <c r="AJ6" s="41">
        <f>'Imports 2014-15'!M48</f>
        <v>105</v>
      </c>
      <c r="AK6" s="41">
        <f>'Imports 2014-15'!N48</f>
        <v>26150.020000000004</v>
      </c>
      <c r="AN6" s="39" t="s">
        <v>60</v>
      </c>
      <c r="AO6" s="41">
        <f>'Imports 2015-16'!D48</f>
        <v>6.8</v>
      </c>
      <c r="AP6" s="41">
        <f>'Imports 2015-16'!F48</f>
        <v>557.28000000000009</v>
      </c>
      <c r="AQ6" s="41">
        <f>'Imports 2015-16'!G48</f>
        <v>10655.46</v>
      </c>
      <c r="AR6" s="41">
        <f>'Imports 2015-16'!H48</f>
        <v>0</v>
      </c>
      <c r="AS6" s="41">
        <f>'Imports 2015-16'!I48</f>
        <v>39.369999999999997</v>
      </c>
      <c r="AT6" s="41">
        <f>'Imports 2015-16'!J48</f>
        <v>0</v>
      </c>
      <c r="AU6" s="41">
        <f>'Imports 2015-16'!K48</f>
        <v>30</v>
      </c>
      <c r="AV6" s="41">
        <f>'Imports 2015-16'!L48</f>
        <v>75</v>
      </c>
      <c r="AW6" s="41">
        <f>'Imports 2015-16'!M48</f>
        <v>0</v>
      </c>
      <c r="AX6" s="41">
        <f>'Imports 2015-16'!C48</f>
        <v>0</v>
      </c>
      <c r="AY6" s="41">
        <f>'Imports 2015-16'!N48</f>
        <v>11363.91</v>
      </c>
      <c r="BB6" s="39" t="s">
        <v>60</v>
      </c>
      <c r="BC6" s="41">
        <f>'Imports 2016-17'!D48</f>
        <v>0</v>
      </c>
      <c r="BD6" s="41">
        <f>'Imports 2016-17'!F48</f>
        <v>451.4</v>
      </c>
      <c r="BE6" s="41">
        <f>'Imports 2016-17'!G48</f>
        <v>6410.6799999999994</v>
      </c>
      <c r="BF6" s="41">
        <f>'Imports 2016-17'!H48</f>
        <v>0</v>
      </c>
      <c r="BG6" s="41">
        <f>'Imports 2016-17'!I48</f>
        <v>0</v>
      </c>
      <c r="BH6" s="41">
        <f>'Imports 2016-17'!J48</f>
        <v>6.12</v>
      </c>
      <c r="BI6" s="41">
        <f>'Imports 2016-17'!K48</f>
        <v>120</v>
      </c>
      <c r="BJ6" s="41">
        <f>'Imports 2016-17'!L48</f>
        <v>82.2</v>
      </c>
      <c r="BK6" s="41">
        <f>'Imports 2016-17'!M48</f>
        <v>7.8</v>
      </c>
      <c r="BL6" s="41">
        <f>'Imports 2016-17'!C48</f>
        <v>0</v>
      </c>
      <c r="BM6" s="41">
        <f>'Imports 2016-17'!N48</f>
        <v>7078.1999999999989</v>
      </c>
    </row>
    <row r="7" spans="2:65">
      <c r="B7" s="48" t="s">
        <v>3</v>
      </c>
      <c r="C7" s="54"/>
      <c r="D7" s="55"/>
      <c r="E7" s="54"/>
      <c r="F7" s="57"/>
      <c r="G7" s="58">
        <v>0</v>
      </c>
      <c r="H7" s="55">
        <v>0</v>
      </c>
      <c r="I7" s="56"/>
      <c r="J7" s="55"/>
      <c r="L7" s="39" t="s">
        <v>59</v>
      </c>
      <c r="M7" s="41">
        <f>'Imports 2013-14'!D32</f>
        <v>0</v>
      </c>
      <c r="N7" s="41">
        <f>'Imports 2013-14'!E32</f>
        <v>20.09</v>
      </c>
      <c r="O7" s="41">
        <f>'Imports 2013-14'!F32</f>
        <v>340.26000000000005</v>
      </c>
      <c r="P7" s="41">
        <f>'Imports 2013-14'!G32</f>
        <v>21370.34</v>
      </c>
      <c r="Q7" s="41">
        <f>'Imports 2013-14'!H32</f>
        <v>6213.94</v>
      </c>
      <c r="R7" s="41">
        <f>'Imports 2013-14'!I32</f>
        <v>859.19007000000011</v>
      </c>
      <c r="S7" s="41">
        <f>'Imports 2013-14'!J32</f>
        <v>0</v>
      </c>
      <c r="T7" s="41">
        <f>'Imports 2013-14'!K32</f>
        <v>66.8</v>
      </c>
      <c r="U7" s="41">
        <f>'Imports 2013-14'!L32</f>
        <v>74.2</v>
      </c>
      <c r="V7" s="41">
        <f>'Imports 2013-14'!M32</f>
        <v>52</v>
      </c>
      <c r="W7" s="41">
        <f>'Imports 2013-14'!N32</f>
        <v>28996.820069999998</v>
      </c>
      <c r="Z7" s="39" t="s">
        <v>59</v>
      </c>
      <c r="AA7" s="41">
        <f>'Imports 2014-15'!D32</f>
        <v>0</v>
      </c>
      <c r="AB7" s="41">
        <f>'Imports 2014-15'!E32</f>
        <v>37.57</v>
      </c>
      <c r="AC7" s="41">
        <f>'Imports 2014-15'!F32</f>
        <v>702.16500000000008</v>
      </c>
      <c r="AD7" s="41">
        <f>'Imports 2014-15'!G32</f>
        <v>24477.780000000002</v>
      </c>
      <c r="AE7" s="41">
        <f>'Imports 2014-15'!H32</f>
        <v>5969.62</v>
      </c>
      <c r="AF7" s="41">
        <f>'Imports 2014-15'!I32</f>
        <v>861.84</v>
      </c>
      <c r="AG7" s="41">
        <f>'Imports 2014-15'!J32</f>
        <v>0</v>
      </c>
      <c r="AH7" s="41">
        <f>'Imports 2014-15'!K32</f>
        <v>66.900000000000006</v>
      </c>
      <c r="AI7" s="41">
        <f>'Imports 2014-15'!L32</f>
        <v>166.5</v>
      </c>
      <c r="AJ7" s="41">
        <f>'Imports 2014-15'!M32</f>
        <v>51.6</v>
      </c>
      <c r="AK7" s="41">
        <f>'Imports 2014-15'!N32</f>
        <v>32333.975000000002</v>
      </c>
      <c r="AN7" s="39" t="s">
        <v>59</v>
      </c>
      <c r="AO7" s="41">
        <f>'Imports 2015-16'!D32</f>
        <v>0</v>
      </c>
      <c r="AP7" s="41">
        <f>'Imports 2015-16'!F32</f>
        <v>185.74</v>
      </c>
      <c r="AQ7" s="41">
        <f>'Imports 2015-16'!G32</f>
        <v>16163.770000000002</v>
      </c>
      <c r="AR7" s="41">
        <f>'Imports 2015-16'!H32</f>
        <v>7362.6200000000008</v>
      </c>
      <c r="AS7" s="41">
        <f>'Imports 2015-16'!I32</f>
        <v>1092.3499999999999</v>
      </c>
      <c r="AT7" s="41">
        <f>'Imports 2015-16'!J32</f>
        <v>0</v>
      </c>
      <c r="AU7" s="41">
        <f>'Imports 2015-16'!K32</f>
        <v>63.79999999999999</v>
      </c>
      <c r="AV7" s="41">
        <f>'Imports 2015-16'!L32</f>
        <v>94.2</v>
      </c>
      <c r="AW7" s="41">
        <f>'Imports 2015-16'!M32</f>
        <v>62</v>
      </c>
      <c r="AX7" s="41">
        <f>'Imports 2015-16'!C32</f>
        <v>2.04</v>
      </c>
      <c r="AY7" s="41">
        <f>'Imports 2015-16'!N32</f>
        <v>25026.520000000004</v>
      </c>
      <c r="BB7" s="39" t="s">
        <v>59</v>
      </c>
      <c r="BC7" s="41">
        <f>'Imports 2016-17'!D32</f>
        <v>0</v>
      </c>
      <c r="BD7" s="41">
        <f>'Imports 2016-17'!F32</f>
        <v>3.57</v>
      </c>
      <c r="BE7" s="41">
        <f>'Imports 2016-17'!G32</f>
        <v>6050.24</v>
      </c>
      <c r="BF7" s="41">
        <f>'Imports 2016-17'!H32</f>
        <v>6792.11</v>
      </c>
      <c r="BG7" s="41">
        <f>'Imports 2016-17'!I32</f>
        <v>938.08</v>
      </c>
      <c r="BH7" s="41">
        <f>'Imports 2016-17'!J32</f>
        <v>0</v>
      </c>
      <c r="BI7" s="41">
        <f>'Imports 2016-17'!K32</f>
        <v>40.799999999999997</v>
      </c>
      <c r="BJ7" s="41">
        <f>'Imports 2016-17'!L32</f>
        <v>98.67</v>
      </c>
      <c r="BK7" s="41">
        <f>'Imports 2016-17'!M32</f>
        <v>159.23999999999998</v>
      </c>
      <c r="BL7" s="41">
        <f>'Imports 2016-17'!C32</f>
        <v>0</v>
      </c>
      <c r="BM7" s="41">
        <f>'Imports 2016-17'!N32</f>
        <v>14082.709999999997</v>
      </c>
    </row>
    <row r="8" spans="2:65" ht="15.75" thickBot="1">
      <c r="B8" s="48" t="s">
        <v>7</v>
      </c>
      <c r="C8" s="54"/>
      <c r="D8" s="55"/>
      <c r="E8" s="54"/>
      <c r="F8" s="57"/>
      <c r="G8" s="58">
        <v>0.63600000000000012</v>
      </c>
      <c r="H8" s="55">
        <v>371.04702830188671</v>
      </c>
      <c r="I8" s="56"/>
      <c r="J8" s="55"/>
      <c r="L8" s="39" t="s">
        <v>61</v>
      </c>
      <c r="M8" s="41">
        <f>'Imports 2013-14'!D64</f>
        <v>19.5</v>
      </c>
      <c r="N8" s="41">
        <f>'Imports 2013-14'!E64</f>
        <v>0</v>
      </c>
      <c r="O8" s="41">
        <f>'Imports 2013-14'!F64</f>
        <v>0</v>
      </c>
      <c r="P8" s="41">
        <f>'Imports 2013-14'!G64</f>
        <v>7738.2000000000007</v>
      </c>
      <c r="Q8" s="41">
        <f>'Imports 2013-14'!H64</f>
        <v>4540.380005</v>
      </c>
      <c r="R8" s="41">
        <f>'Imports 2013-14'!I64</f>
        <v>1443.9199999999998</v>
      </c>
      <c r="S8" s="41">
        <f>'Imports 2013-14'!J64</f>
        <v>0</v>
      </c>
      <c r="T8" s="41">
        <f>'Imports 2013-14'!K64</f>
        <v>11</v>
      </c>
      <c r="U8" s="41">
        <f>'Imports 2013-14'!L64</f>
        <v>43</v>
      </c>
      <c r="V8" s="41">
        <f>'Imports 2013-14'!M64</f>
        <v>0</v>
      </c>
      <c r="W8" s="41">
        <f>'Imports 2013-14'!N64</f>
        <v>13796.000005</v>
      </c>
      <c r="Z8" s="39" t="s">
        <v>61</v>
      </c>
      <c r="AA8" s="41">
        <f>'Imports 2014-15'!D64</f>
        <v>20.07</v>
      </c>
      <c r="AB8" s="41">
        <f>'Imports 2014-15'!E64</f>
        <v>0</v>
      </c>
      <c r="AC8" s="41">
        <f>'Imports 2014-15'!F64</f>
        <v>97.83</v>
      </c>
      <c r="AD8" s="41">
        <f>'Imports 2014-15'!G64</f>
        <v>4541.7899999999991</v>
      </c>
      <c r="AE8" s="41">
        <f>'Imports 2014-15'!H64</f>
        <v>4705.22</v>
      </c>
      <c r="AF8" s="41">
        <f>'Imports 2014-15'!I64</f>
        <v>932.46</v>
      </c>
      <c r="AG8" s="41">
        <f>'Imports 2014-15'!J64</f>
        <v>0</v>
      </c>
      <c r="AH8" s="41">
        <f>'Imports 2014-15'!K64</f>
        <v>0</v>
      </c>
      <c r="AI8" s="41">
        <f>'Imports 2014-15'!L64</f>
        <v>123</v>
      </c>
      <c r="AJ8" s="41">
        <f>'Imports 2014-15'!M64</f>
        <v>0</v>
      </c>
      <c r="AK8" s="41">
        <f>'Imports 2014-15'!N64</f>
        <v>10420.369999999999</v>
      </c>
      <c r="AN8" s="39" t="s">
        <v>61</v>
      </c>
      <c r="AO8" s="41">
        <f>'Imports 2015-16'!D64</f>
        <v>0</v>
      </c>
      <c r="AP8" s="41">
        <f>'Imports 2015-16'!F64</f>
        <v>0</v>
      </c>
      <c r="AQ8" s="41">
        <f>'Imports 2015-16'!G64</f>
        <v>1978.97</v>
      </c>
      <c r="AR8" s="41">
        <f>'Imports 2015-16'!H64</f>
        <v>4507.42</v>
      </c>
      <c r="AS8" s="41">
        <f>'Imports 2015-16'!I64</f>
        <v>732.89</v>
      </c>
      <c r="AT8" s="41">
        <f>'Imports 2015-16'!J64</f>
        <v>0</v>
      </c>
      <c r="AU8" s="41">
        <f>'Imports 2015-16'!K64</f>
        <v>0</v>
      </c>
      <c r="AV8" s="41">
        <f>'Imports 2015-16'!L64</f>
        <v>0</v>
      </c>
      <c r="AW8" s="41">
        <f>'Imports 2015-16'!M64</f>
        <v>16</v>
      </c>
      <c r="AX8" s="41">
        <f>'Imports 2015-16'!C64</f>
        <v>0</v>
      </c>
      <c r="AY8" s="41">
        <f>'Imports 2015-16'!N64</f>
        <v>7235.2800000000007</v>
      </c>
      <c r="BB8" s="39" t="s">
        <v>61</v>
      </c>
      <c r="BC8" s="41">
        <f>'Imports 2016-17'!D64</f>
        <v>0</v>
      </c>
      <c r="BD8" s="41">
        <f>'Imports 2016-17'!F64</f>
        <v>0</v>
      </c>
      <c r="BE8" s="41">
        <f>'Imports 2016-17'!G64</f>
        <v>1441.55</v>
      </c>
      <c r="BF8" s="41">
        <f>'Imports 2016-17'!H64</f>
        <v>3585.73</v>
      </c>
      <c r="BG8" s="41">
        <f>'Imports 2016-17'!I64</f>
        <v>98.65</v>
      </c>
      <c r="BH8" s="41">
        <f>'Imports 2016-17'!J64</f>
        <v>0</v>
      </c>
      <c r="BI8" s="41">
        <f>'Imports 2016-17'!K64</f>
        <v>0</v>
      </c>
      <c r="BJ8" s="41">
        <f>'Imports 2016-17'!L64</f>
        <v>11.2</v>
      </c>
      <c r="BK8" s="41">
        <f>'Imports 2016-17'!M64</f>
        <v>0</v>
      </c>
      <c r="BL8" s="41">
        <f>'Imports 2016-17'!C64</f>
        <v>0</v>
      </c>
      <c r="BM8" s="41">
        <f>'Imports 2016-17'!N64</f>
        <v>5137.1299999999992</v>
      </c>
    </row>
    <row r="9" spans="2:65" s="37" customFormat="1">
      <c r="B9" s="60" t="s">
        <v>58</v>
      </c>
      <c r="C9" s="61">
        <f>SUM(C5:C8)</f>
        <v>0</v>
      </c>
      <c r="D9" s="62">
        <f>IF(C9&lt;=0,0,SUMPRODUCT(C5:C8,D5:D8)/C9)</f>
        <v>0</v>
      </c>
      <c r="E9" s="61">
        <f>SUM(E5:E8)</f>
        <v>0</v>
      </c>
      <c r="F9" s="62">
        <f>IF(E9&lt;=0,0,SUMPRODUCT(E5:E8,F5:F8)/E9)</f>
        <v>0</v>
      </c>
      <c r="G9" s="81">
        <f>SUM(G5:G8)</f>
        <v>2.6760000000000002</v>
      </c>
      <c r="H9" s="62">
        <f>IF(G9&lt;=0,0,SUMPRODUCT(G5:G8,H5:H8)/G9)</f>
        <v>262.03578101644246</v>
      </c>
      <c r="I9" s="82">
        <f>SUM(I5:I8)</f>
        <v>0</v>
      </c>
      <c r="J9" s="62">
        <f>IF(I9&lt;=0,0,SUMPRODUCT(I5:I8,J5:J8)/I9)</f>
        <v>0</v>
      </c>
      <c r="L9" s="76" t="s">
        <v>62</v>
      </c>
      <c r="M9" s="75">
        <f t="shared" ref="M9:W9" si="0">M5-M7-M6-M8</f>
        <v>18.799999999999997</v>
      </c>
      <c r="N9" s="75">
        <f t="shared" si="0"/>
        <v>37.049999999999997</v>
      </c>
      <c r="O9" s="75">
        <f t="shared" si="0"/>
        <v>-5.6843418860808015E-14</v>
      </c>
      <c r="P9" s="75">
        <f t="shared" si="0"/>
        <v>0</v>
      </c>
      <c r="Q9" s="75">
        <f t="shared" si="0"/>
        <v>0</v>
      </c>
      <c r="R9" s="75">
        <f t="shared" si="0"/>
        <v>0</v>
      </c>
      <c r="S9" s="75">
        <f t="shared" si="0"/>
        <v>0</v>
      </c>
      <c r="T9" s="75">
        <f t="shared" si="0"/>
        <v>0</v>
      </c>
      <c r="U9" s="75">
        <f t="shared" si="0"/>
        <v>13.739999999999995</v>
      </c>
      <c r="V9" s="75">
        <f t="shared" si="0"/>
        <v>2.1639999999999873</v>
      </c>
      <c r="W9" s="75">
        <f t="shared" si="0"/>
        <v>71.754000000002634</v>
      </c>
      <c r="Z9" s="76" t="s">
        <v>62</v>
      </c>
      <c r="AA9" s="41">
        <f t="shared" ref="AA9:AK9" si="1">AA5-AA7-AA6-AA8</f>
        <v>18.910000000000004</v>
      </c>
      <c r="AB9" s="41">
        <f t="shared" si="1"/>
        <v>57.70000000000001</v>
      </c>
      <c r="AC9" s="41">
        <f t="shared" si="1"/>
        <v>0</v>
      </c>
      <c r="AD9" s="41">
        <f t="shared" si="1"/>
        <v>0.60600000000158616</v>
      </c>
      <c r="AE9" s="41">
        <f t="shared" si="1"/>
        <v>0</v>
      </c>
      <c r="AF9" s="41">
        <f t="shared" si="1"/>
        <v>0</v>
      </c>
      <c r="AG9" s="41">
        <f t="shared" si="1"/>
        <v>0</v>
      </c>
      <c r="AH9" s="41">
        <f t="shared" si="1"/>
        <v>-2.8421709430404007E-14</v>
      </c>
      <c r="AI9" s="41">
        <f t="shared" si="1"/>
        <v>0</v>
      </c>
      <c r="AJ9" s="41">
        <f t="shared" si="1"/>
        <v>19.128999999999991</v>
      </c>
      <c r="AK9" s="41">
        <f t="shared" si="1"/>
        <v>96.344999999997526</v>
      </c>
      <c r="AN9" s="76" t="s">
        <v>62</v>
      </c>
      <c r="AO9" s="41">
        <f t="shared" ref="AO9:AY9" si="2">AO5-AO7-AO6-AO8</f>
        <v>13.599999999999998</v>
      </c>
      <c r="AP9" s="41">
        <f t="shared" si="2"/>
        <v>0</v>
      </c>
      <c r="AQ9" s="41">
        <f t="shared" si="2"/>
        <v>2456.8740000000025</v>
      </c>
      <c r="AR9" s="41">
        <f t="shared" si="2"/>
        <v>0</v>
      </c>
      <c r="AS9" s="41">
        <f t="shared" si="2"/>
        <v>0</v>
      </c>
      <c r="AT9" s="75">
        <f t="shared" si="2"/>
        <v>1.6</v>
      </c>
      <c r="AU9" s="75">
        <f t="shared" si="2"/>
        <v>0.9164999999999921</v>
      </c>
      <c r="AV9" s="75">
        <f t="shared" si="2"/>
        <v>52.479999999999976</v>
      </c>
      <c r="AW9" s="75">
        <f t="shared" si="2"/>
        <v>237.92000000000002</v>
      </c>
      <c r="AX9" s="75">
        <f t="shared" si="2"/>
        <v>0</v>
      </c>
      <c r="AY9" s="75">
        <f t="shared" si="2"/>
        <v>2763.3905000000032</v>
      </c>
      <c r="BB9" s="76" t="s">
        <v>62</v>
      </c>
      <c r="BC9" s="75">
        <f t="shared" ref="BC9:BM9" si="3">BC5-BC7-BC6-BC8</f>
        <v>148.01</v>
      </c>
      <c r="BD9" s="75">
        <f t="shared" si="3"/>
        <v>324.29999999999995</v>
      </c>
      <c r="BE9" s="75">
        <f t="shared" si="3"/>
        <v>393.97399999999857</v>
      </c>
      <c r="BF9" s="75">
        <f t="shared" si="3"/>
        <v>0</v>
      </c>
      <c r="BG9" s="75">
        <f t="shared" si="3"/>
        <v>0</v>
      </c>
      <c r="BH9" s="75">
        <f t="shared" si="3"/>
        <v>0</v>
      </c>
      <c r="BI9" s="75">
        <f t="shared" si="3"/>
        <v>1.4210854715202004E-14</v>
      </c>
      <c r="BJ9" s="75">
        <f t="shared" si="3"/>
        <v>56.819999999999965</v>
      </c>
      <c r="BK9" s="75">
        <f t="shared" si="3"/>
        <v>200.4</v>
      </c>
      <c r="BL9" s="75">
        <f t="shared" si="3"/>
        <v>0</v>
      </c>
      <c r="BM9" s="75">
        <f t="shared" si="3"/>
        <v>1123.503999999999</v>
      </c>
    </row>
    <row r="10" spans="2:65">
      <c r="B10" s="52" t="s">
        <v>17</v>
      </c>
      <c r="C10" s="53"/>
      <c r="D10" s="87"/>
      <c r="E10" s="80"/>
      <c r="F10" s="84"/>
      <c r="G10" s="63"/>
      <c r="H10" s="87"/>
      <c r="I10" s="53"/>
      <c r="J10" s="87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O10" s="76"/>
      <c r="AP10" s="76"/>
      <c r="AQ10" s="76"/>
      <c r="AR10" s="76"/>
      <c r="AS10" s="76"/>
      <c r="AT10" s="39"/>
      <c r="AU10" s="39"/>
      <c r="AV10" s="39"/>
      <c r="AW10" s="39"/>
      <c r="AX10" s="39"/>
      <c r="AY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</row>
    <row r="11" spans="2:65">
      <c r="B11" s="48" t="s">
        <v>0</v>
      </c>
      <c r="C11" s="54">
        <v>19.760000000000002</v>
      </c>
      <c r="D11" s="55">
        <f>M18</f>
        <v>151.81465030364373</v>
      </c>
      <c r="E11" s="54">
        <v>0</v>
      </c>
      <c r="F11" s="57">
        <v>0</v>
      </c>
      <c r="G11" s="58">
        <v>6.8</v>
      </c>
      <c r="H11" s="55">
        <v>243.7938</v>
      </c>
      <c r="I11" s="64"/>
      <c r="J11" s="65"/>
      <c r="M11" s="41">
        <f>'Imports 2013-14'!S16</f>
        <v>9097915.1999999993</v>
      </c>
      <c r="N11" s="41">
        <f>'Imports 2013-14'!T16</f>
        <v>8496986.0999999996</v>
      </c>
      <c r="O11" s="41">
        <f>'Imports 2013-14'!U16</f>
        <v>69447461.560000002</v>
      </c>
      <c r="P11" s="41">
        <f>'Imports 2013-14'!V16</f>
        <v>3956079467.21</v>
      </c>
      <c r="Q11" s="41">
        <f>'Imports 2013-14'!W16</f>
        <v>1001764959.7799999</v>
      </c>
      <c r="R11" s="41">
        <f>'Imports 2013-14'!X16</f>
        <v>223063022.69</v>
      </c>
      <c r="S11" s="41">
        <f>'Imports 2013-14'!Y16</f>
        <v>0</v>
      </c>
      <c r="T11" s="41">
        <f>'Imports 2013-14'!Z16</f>
        <v>22779262.120000001</v>
      </c>
      <c r="U11" s="41">
        <f>'Imports 2013-14'!AA16</f>
        <v>11860201.66</v>
      </c>
      <c r="V11" s="41">
        <f>'Imports 2013-14'!AB16</f>
        <v>15660747.399999999</v>
      </c>
      <c r="W11" s="41">
        <f>'Imports 2013-14'!AC16</f>
        <v>5318250023.7200012</v>
      </c>
      <c r="AA11" s="41">
        <f>'Imports 2014-15'!S16</f>
        <v>6524718.0500000007</v>
      </c>
      <c r="AB11" s="41">
        <f>'Imports 2014-15'!T16</f>
        <v>15627165.16</v>
      </c>
      <c r="AC11" s="41">
        <f>'Imports 2014-15'!U16</f>
        <v>138201667.98000002</v>
      </c>
      <c r="AD11" s="41">
        <f>'Imports 2014-15'!V16</f>
        <v>5377563514.1399994</v>
      </c>
      <c r="AE11" s="41">
        <f>'Imports 2014-15'!W16</f>
        <v>1104204847.3500001</v>
      </c>
      <c r="AF11" s="41">
        <f>'Imports 2014-15'!X16</f>
        <v>186026797.68000001</v>
      </c>
      <c r="AG11" s="41">
        <f>'Imports 2014-15'!Y16</f>
        <v>731912.46</v>
      </c>
      <c r="AH11" s="41">
        <f>'Imports 2014-15'!Z16</f>
        <v>35162645.489999995</v>
      </c>
      <c r="AI11" s="41">
        <f>'Imports 2014-15'!AA16</f>
        <v>29883900.599999998</v>
      </c>
      <c r="AJ11" s="41">
        <f>'Imports 2014-15'!AB16</f>
        <v>17343456.969999999</v>
      </c>
      <c r="AK11" s="41">
        <f>'Imports 2014-15'!AC16</f>
        <v>6911270625.8800001</v>
      </c>
      <c r="AO11" s="41">
        <f>'Imports 2015-16'!S16</f>
        <v>4596803.91</v>
      </c>
      <c r="AP11" s="41">
        <f>'Imports 2015-16'!U16</f>
        <v>67023863.93</v>
      </c>
      <c r="AQ11" s="41">
        <f>'Imports 2015-16'!V16</f>
        <v>2606040500.0900002</v>
      </c>
      <c r="AR11" s="41">
        <f>'Imports 2015-16'!W16</f>
        <v>1055081312.9400002</v>
      </c>
      <c r="AS11" s="41">
        <f>'Imports 2015-16'!X16</f>
        <v>164490900.17000002</v>
      </c>
      <c r="AT11" s="41">
        <f>'Imports 2015-16'!Y16</f>
        <v>311594.09000000003</v>
      </c>
      <c r="AU11" s="41">
        <f>'Imports 2015-16'!Z16</f>
        <v>10056502.380000001</v>
      </c>
      <c r="AV11" s="41">
        <f>'Imports 2015-16'!AA16</f>
        <v>19353362.699999999</v>
      </c>
      <c r="AW11" s="41">
        <f>'Imports 2015-16'!AB16</f>
        <v>24785134.440000001</v>
      </c>
      <c r="AX11" s="41">
        <f>'Imports 2015-16'!R16</f>
        <v>465221.84</v>
      </c>
      <c r="AY11" s="41">
        <f>'Imports 2015-16'!AC16</f>
        <v>3952205196.4900012</v>
      </c>
      <c r="BC11" s="41">
        <f>'Imports 2016-17'!S16</f>
        <v>18398254.039999999</v>
      </c>
      <c r="BD11" s="41">
        <f>'Imports 2016-17'!U16</f>
        <v>75276095.590000004</v>
      </c>
      <c r="BE11" s="41">
        <f>'Imports 2016-17'!V16</f>
        <v>1583338450.0699999</v>
      </c>
      <c r="BF11" s="41">
        <f>'Imports 2016-17'!W16</f>
        <v>1339852092.9299998</v>
      </c>
      <c r="BG11" s="41">
        <f>'Imports 2016-17'!X16</f>
        <v>127813946.47</v>
      </c>
      <c r="BH11" s="41">
        <f>'Imports 2016-17'!Y16</f>
        <v>809391.05</v>
      </c>
      <c r="BI11" s="41">
        <f>'Imports 2016-17'!Z16</f>
        <v>14130401.23</v>
      </c>
      <c r="BJ11" s="41">
        <f>'Imports 2016-17'!AA16</f>
        <v>22359885.020000003</v>
      </c>
      <c r="BK11" s="41">
        <f>'Imports 2016-17'!AB16</f>
        <v>29557865.82</v>
      </c>
      <c r="BL11" s="41">
        <f>'Imports 2016-17'!R16</f>
        <v>0</v>
      </c>
      <c r="BM11" s="41">
        <f>'Imports 2016-17'!AC16</f>
        <v>3211536382.2199998</v>
      </c>
    </row>
    <row r="12" spans="2:65">
      <c r="B12" s="48" t="s">
        <v>1</v>
      </c>
      <c r="C12" s="54">
        <v>0</v>
      </c>
      <c r="D12" s="55">
        <f t="shared" ref="D12:D14" si="4">M19</f>
        <v>0</v>
      </c>
      <c r="E12" s="54">
        <v>0</v>
      </c>
      <c r="F12" s="57">
        <v>0</v>
      </c>
      <c r="G12" s="58">
        <v>0</v>
      </c>
      <c r="H12" s="55">
        <v>0</v>
      </c>
      <c r="I12" s="54"/>
      <c r="J12" s="55"/>
      <c r="M12" s="41">
        <f>'Imports 2013-14'!S48</f>
        <v>2999857.49</v>
      </c>
      <c r="N12" s="41">
        <f>'Imports 2013-14'!T48</f>
        <v>0</v>
      </c>
      <c r="O12" s="41">
        <f>'Imports 2013-14'!U48</f>
        <v>34401328.219999999</v>
      </c>
      <c r="P12" s="41">
        <f>'Imports 2013-14'!V48</f>
        <v>1236904265.1900001</v>
      </c>
      <c r="Q12" s="41">
        <f>'Imports 2013-14'!W48</f>
        <v>0</v>
      </c>
      <c r="R12" s="41">
        <f>'Imports 2013-14'!X48</f>
        <v>1485609.51</v>
      </c>
      <c r="S12" s="41">
        <f>'Imports 2013-14'!Y48</f>
        <v>0</v>
      </c>
      <c r="T12" s="41">
        <f>'Imports 2013-14'!Z48</f>
        <v>14940439.630000001</v>
      </c>
      <c r="U12" s="41">
        <f>'Imports 2013-14'!AA48</f>
        <v>0</v>
      </c>
      <c r="V12" s="41">
        <f>'Imports 2013-14'!AB48</f>
        <v>10613681.709999999</v>
      </c>
      <c r="W12" s="41">
        <f>'Imports 2013-14'!AC48</f>
        <v>1301345181.7500002</v>
      </c>
      <c r="AA12" s="41">
        <f>'Imports 2014-15'!S48</f>
        <v>0</v>
      </c>
      <c r="AB12" s="41">
        <f>'Imports 2014-15'!T48</f>
        <v>0</v>
      </c>
      <c r="AC12" s="41">
        <f>'Imports 2014-15'!U48</f>
        <v>57882384.259999998</v>
      </c>
      <c r="AD12" s="41">
        <f>'Imports 2014-15'!V48</f>
        <v>2484012181.27</v>
      </c>
      <c r="AE12" s="41">
        <f>'Imports 2014-15'!W48</f>
        <v>0</v>
      </c>
      <c r="AF12" s="41">
        <f>'Imports 2014-15'!X48</f>
        <v>0</v>
      </c>
      <c r="AG12" s="41">
        <f>'Imports 2014-15'!Y48</f>
        <v>731912.46</v>
      </c>
      <c r="AH12" s="41">
        <f>'Imports 2014-15'!Z48</f>
        <v>27717273.459999997</v>
      </c>
      <c r="AI12" s="41">
        <f>'Imports 2014-15'!AA48</f>
        <v>1478640</v>
      </c>
      <c r="AJ12" s="41">
        <f>'Imports 2014-15'!AB48</f>
        <v>10733472.01</v>
      </c>
      <c r="AK12" s="41">
        <f>'Imports 2014-15'!AC48</f>
        <v>2582555863.4600005</v>
      </c>
      <c r="AO12" s="41">
        <f>'Imports 2015-16'!S48</f>
        <v>1657797.84</v>
      </c>
      <c r="AP12" s="41">
        <f>'Imports 2015-16'!U48</f>
        <v>50375980.920000002</v>
      </c>
      <c r="AQ12" s="41">
        <f>'Imports 2015-16'!V48</f>
        <v>881270679.92000008</v>
      </c>
      <c r="AR12" s="41">
        <f>'Imports 2015-16'!W48</f>
        <v>0</v>
      </c>
      <c r="AS12" s="41">
        <f>'Imports 2015-16'!X48</f>
        <v>2890051.7</v>
      </c>
      <c r="AT12" s="41">
        <f>'Imports 2015-16'!Y48</f>
        <v>0</v>
      </c>
      <c r="AU12" s="41">
        <f>'Imports 2015-16'!Z48</f>
        <v>3291526.88</v>
      </c>
      <c r="AV12" s="41">
        <f>'Imports 2015-16'!AA48</f>
        <v>6564851.04</v>
      </c>
      <c r="AW12" s="41">
        <f>'Imports 2015-16'!AB48</f>
        <v>0</v>
      </c>
      <c r="AX12" s="41">
        <f>'Imports 2015-16'!R48</f>
        <v>0</v>
      </c>
      <c r="AY12" s="41">
        <f>'Imports 2015-16'!AC48</f>
        <v>946050888.30000007</v>
      </c>
      <c r="BC12" s="41">
        <f>'Imports 2016-17'!S48</f>
        <v>0</v>
      </c>
      <c r="BD12" s="41">
        <f>'Imports 2016-17'!U48</f>
        <v>40816198.369999997</v>
      </c>
      <c r="BE12" s="41">
        <f>'Imports 2016-17'!V48</f>
        <v>755043223.57000005</v>
      </c>
      <c r="BF12" s="41">
        <f>'Imports 2016-17'!W48</f>
        <v>0</v>
      </c>
      <c r="BG12" s="41">
        <f>'Imports 2016-17'!X48</f>
        <v>0</v>
      </c>
      <c r="BH12" s="41">
        <f>'Imports 2016-17'!Y48</f>
        <v>809391.05</v>
      </c>
      <c r="BI12" s="41">
        <f>'Imports 2016-17'!Z48</f>
        <v>10375591.140000001</v>
      </c>
      <c r="BJ12" s="41">
        <f>'Imports 2016-17'!AA48</f>
        <v>6667062.9299999997</v>
      </c>
      <c r="BK12" s="41">
        <f>'Imports 2016-17'!AB48</f>
        <v>645389.4</v>
      </c>
      <c r="BL12" s="41">
        <f>'Imports 2016-17'!R48</f>
        <v>0</v>
      </c>
      <c r="BM12" s="41">
        <f>'Imports 2016-17'!AC48</f>
        <v>814356856.45999992</v>
      </c>
    </row>
    <row r="13" spans="2:65">
      <c r="B13" s="48" t="s">
        <v>3</v>
      </c>
      <c r="C13" s="54">
        <v>19.5</v>
      </c>
      <c r="D13" s="55">
        <f t="shared" si="4"/>
        <v>177.24591025641024</v>
      </c>
      <c r="E13" s="54">
        <v>20.07</v>
      </c>
      <c r="F13" s="57">
        <v>197.91738814150472</v>
      </c>
      <c r="G13" s="58">
        <v>0</v>
      </c>
      <c r="H13" s="55">
        <v>0</v>
      </c>
      <c r="I13" s="54"/>
      <c r="J13" s="55"/>
      <c r="M13" s="41">
        <f>'Imports 2013-14'!S32</f>
        <v>0</v>
      </c>
      <c r="N13" s="41">
        <f>'Imports 2013-14'!T32</f>
        <v>2282320.4300000002</v>
      </c>
      <c r="O13" s="41">
        <f>'Imports 2013-14'!U32</f>
        <v>35046133.339999996</v>
      </c>
      <c r="P13" s="41">
        <f>'Imports 2013-14'!V32</f>
        <v>1964561056.3000002</v>
      </c>
      <c r="Q13" s="41">
        <f>'Imports 2013-14'!W32</f>
        <v>542558403.70999992</v>
      </c>
      <c r="R13" s="41">
        <f>'Imports 2013-14'!X32</f>
        <v>77770899.679999992</v>
      </c>
      <c r="S13" s="41">
        <f>'Imports 2013-14'!Y32</f>
        <v>0</v>
      </c>
      <c r="T13" s="41">
        <f>'Imports 2013-14'!Z32</f>
        <v>6730238.6899999995</v>
      </c>
      <c r="U13" s="41">
        <f>'Imports 2013-14'!AA32</f>
        <v>6939844.7700000005</v>
      </c>
      <c r="V13" s="41">
        <f>'Imports 2013-14'!AB32</f>
        <v>4900975.1099999994</v>
      </c>
      <c r="W13" s="41">
        <f>'Imports 2013-14'!AC32</f>
        <v>2640789872.0300002</v>
      </c>
      <c r="AA13" s="41">
        <f>'Imports 2014-15'!S32</f>
        <v>0</v>
      </c>
      <c r="AB13" s="41">
        <f>'Imports 2014-15'!T32</f>
        <v>5717245.1399999997</v>
      </c>
      <c r="AC13" s="41">
        <f>'Imports 2014-15'!U32</f>
        <v>72180789.88000001</v>
      </c>
      <c r="AD13" s="41">
        <f>'Imports 2014-15'!V32</f>
        <v>2414983972.4399996</v>
      </c>
      <c r="AE13" s="41">
        <f>'Imports 2014-15'!W32</f>
        <v>654968969.6400001</v>
      </c>
      <c r="AF13" s="41">
        <f>'Imports 2014-15'!X32</f>
        <v>93292506.519999996</v>
      </c>
      <c r="AG13" s="41">
        <f>'Imports 2014-15'!Y32</f>
        <v>0</v>
      </c>
      <c r="AH13" s="41">
        <f>'Imports 2014-15'!Z32</f>
        <v>7445372.0299999993</v>
      </c>
      <c r="AI13" s="41">
        <f>'Imports 2014-15'!AA32</f>
        <v>16868440.149999999</v>
      </c>
      <c r="AJ13" s="41">
        <f>'Imports 2014-15'!AB32</f>
        <v>5252729.3099999996</v>
      </c>
      <c r="AK13" s="41">
        <f>'Imports 2014-15'!AC32</f>
        <v>3270710025.1099997</v>
      </c>
      <c r="AO13" s="41">
        <f>'Imports 2015-16'!S32</f>
        <v>0</v>
      </c>
      <c r="AP13" s="41">
        <f>'Imports 2015-16'!U32</f>
        <v>16647883.01</v>
      </c>
      <c r="AQ13" s="41">
        <f>'Imports 2015-16'!V32</f>
        <v>1350782375.6800003</v>
      </c>
      <c r="AR13" s="41">
        <f>'Imports 2015-16'!W32</f>
        <v>679266458.36000013</v>
      </c>
      <c r="AS13" s="41">
        <f>'Imports 2015-16'!X32</f>
        <v>97797999.439999998</v>
      </c>
      <c r="AT13" s="41">
        <f>'Imports 2015-16'!Y32</f>
        <v>0</v>
      </c>
      <c r="AU13" s="41">
        <f>'Imports 2015-16'!Z32</f>
        <v>6271549.7800000003</v>
      </c>
      <c r="AV13" s="41">
        <f>'Imports 2015-16'!AA32</f>
        <v>8075814.7999999989</v>
      </c>
      <c r="AW13" s="41">
        <f>'Imports 2015-16'!AB32</f>
        <v>5478702.6699999999</v>
      </c>
      <c r="AX13" s="41">
        <f>'Imports 2015-16'!R32</f>
        <v>465221.84</v>
      </c>
      <c r="AY13" s="41">
        <f>'Imports 2015-16'!AC32</f>
        <v>2164786005.5800009</v>
      </c>
      <c r="BC13" s="41">
        <f>'Imports 2016-17'!S32</f>
        <v>0</v>
      </c>
      <c r="BD13" s="41">
        <f>'Imports 2016-17'!U32</f>
        <v>473426.61</v>
      </c>
      <c r="BE13" s="41">
        <f>'Imports 2016-17'!V32</f>
        <v>609461193.84000003</v>
      </c>
      <c r="BF13" s="41">
        <f>'Imports 2016-17'!W32</f>
        <v>868003559.40999997</v>
      </c>
      <c r="BG13" s="41">
        <f>'Imports 2016-17'!X32</f>
        <v>116747457.38</v>
      </c>
      <c r="BH13" s="41">
        <f>'Imports 2016-17'!Y32</f>
        <v>0</v>
      </c>
      <c r="BI13" s="41">
        <f>'Imports 2016-17'!Z32</f>
        <v>3754810.0900000003</v>
      </c>
      <c r="BJ13" s="41">
        <f>'Imports 2016-17'!AA32</f>
        <v>8387064.7400000002</v>
      </c>
      <c r="BK13" s="41">
        <f>'Imports 2016-17'!AB32</f>
        <v>14323583.879999999</v>
      </c>
      <c r="BL13" s="41">
        <f>'Imports 2016-17'!R32</f>
        <v>0</v>
      </c>
      <c r="BM13" s="41">
        <f>'Imports 2016-17'!AC32</f>
        <v>1621151095.9500003</v>
      </c>
    </row>
    <row r="14" spans="2:65" ht="15.75" thickBot="1">
      <c r="B14" s="48" t="s">
        <v>7</v>
      </c>
      <c r="C14" s="54">
        <v>18.799999999999997</v>
      </c>
      <c r="D14" s="55">
        <f t="shared" si="4"/>
        <v>140.51927978723401</v>
      </c>
      <c r="E14" s="54">
        <v>18.910000000000004</v>
      </c>
      <c r="F14" s="57">
        <v>134.98234108937072</v>
      </c>
      <c r="G14" s="58">
        <v>13.599999999999998</v>
      </c>
      <c r="H14" s="55">
        <v>216.10338750000008</v>
      </c>
      <c r="I14" s="54"/>
      <c r="J14" s="55"/>
      <c r="M14" s="41">
        <f>'Imports 2013-14'!S64</f>
        <v>3456295.25</v>
      </c>
      <c r="N14" s="41">
        <f>'Imports 2013-14'!T64</f>
        <v>0</v>
      </c>
      <c r="O14" s="41">
        <f>'Imports 2013-14'!U64</f>
        <v>0</v>
      </c>
      <c r="P14" s="41">
        <f>'Imports 2013-14'!V64</f>
        <v>754614145.71999991</v>
      </c>
      <c r="Q14" s="41">
        <f>'Imports 2013-14'!W64</f>
        <v>459206556.06999993</v>
      </c>
      <c r="R14" s="41">
        <f>'Imports 2013-14'!X64</f>
        <v>143806513.5</v>
      </c>
      <c r="S14" s="41">
        <f>'Imports 2013-14'!Y64</f>
        <v>0</v>
      </c>
      <c r="T14" s="41">
        <f>'Imports 2013-14'!Z64</f>
        <v>1108583.8</v>
      </c>
      <c r="U14" s="41">
        <f>'Imports 2013-14'!AA64</f>
        <v>4027123.29</v>
      </c>
      <c r="V14" s="41">
        <f>'Imports 2013-14'!AB64</f>
        <v>0</v>
      </c>
      <c r="W14" s="41">
        <f>'Imports 2013-14'!AC64</f>
        <v>1366219217.6299999</v>
      </c>
      <c r="AA14" s="41">
        <f>'Imports 2014-15'!S64</f>
        <v>3972201.98</v>
      </c>
      <c r="AB14" s="41">
        <f>'Imports 2014-15'!T64</f>
        <v>0</v>
      </c>
      <c r="AC14" s="41">
        <f>'Imports 2014-15'!U64</f>
        <v>8138493.8399999999</v>
      </c>
      <c r="AD14" s="41">
        <f>'Imports 2014-15'!V64</f>
        <v>478528676.32999986</v>
      </c>
      <c r="AE14" s="41">
        <f>'Imports 2014-15'!W64</f>
        <v>449235877.71000004</v>
      </c>
      <c r="AF14" s="41">
        <f>'Imports 2014-15'!X64</f>
        <v>92734291.160000011</v>
      </c>
      <c r="AG14" s="41">
        <f>'Imports 2014-15'!Y64</f>
        <v>0</v>
      </c>
      <c r="AH14" s="41">
        <f>'Imports 2014-15'!Z64</f>
        <v>0</v>
      </c>
      <c r="AI14" s="41">
        <f>'Imports 2014-15'!AA64</f>
        <v>11536820.449999999</v>
      </c>
      <c r="AJ14" s="41">
        <f>'Imports 2014-15'!AB64</f>
        <v>0</v>
      </c>
      <c r="AK14" s="41">
        <f>'Imports 2014-15'!AC64</f>
        <v>1044146361.4699999</v>
      </c>
      <c r="AO14" s="41">
        <f>'Imports 2015-16'!S64</f>
        <v>0</v>
      </c>
      <c r="AP14" s="41">
        <f>'Imports 2015-16'!U64</f>
        <v>0</v>
      </c>
      <c r="AQ14" s="41">
        <f>'Imports 2015-16'!V64</f>
        <v>161775056.44</v>
      </c>
      <c r="AR14" s="41">
        <f>'Imports 2015-16'!W64</f>
        <v>375814854.58000004</v>
      </c>
      <c r="AS14" s="41">
        <f>'Imports 2015-16'!X64</f>
        <v>63802849.030000001</v>
      </c>
      <c r="AT14" s="41">
        <f>'Imports 2015-16'!Y64</f>
        <v>0</v>
      </c>
      <c r="AU14" s="41">
        <f>'Imports 2015-16'!Z64</f>
        <v>0</v>
      </c>
      <c r="AV14" s="41">
        <f>'Imports 2015-16'!AA64</f>
        <v>0</v>
      </c>
      <c r="AW14" s="41">
        <f>'Imports 2015-16'!AB64</f>
        <v>1571115.6</v>
      </c>
      <c r="AX14" s="41">
        <f>'Imports 2015-16'!R64</f>
        <v>0</v>
      </c>
      <c r="AY14" s="41">
        <f>'Imports 2015-16'!AC64</f>
        <v>602963875.64999998</v>
      </c>
      <c r="BC14" s="41">
        <f>'Imports 2016-17'!S64</f>
        <v>0</v>
      </c>
      <c r="BD14" s="41">
        <f>'Imports 2016-17'!U64</f>
        <v>0</v>
      </c>
      <c r="BE14" s="41">
        <f>'Imports 2016-17'!V64</f>
        <v>186438201.31999999</v>
      </c>
      <c r="BF14" s="41">
        <f>'Imports 2016-17'!W64</f>
        <v>471848533.51999998</v>
      </c>
      <c r="BG14" s="41">
        <f>'Imports 2016-17'!X64</f>
        <v>11066489.09</v>
      </c>
      <c r="BH14" s="41">
        <f>'Imports 2016-17'!Y64</f>
        <v>0</v>
      </c>
      <c r="BI14" s="41">
        <f>'Imports 2016-17'!Z64</f>
        <v>0</v>
      </c>
      <c r="BJ14" s="41">
        <f>'Imports 2016-17'!AA64</f>
        <v>1039205.16</v>
      </c>
      <c r="BK14" s="41">
        <f>'Imports 2016-17'!AB64</f>
        <v>0</v>
      </c>
      <c r="BL14" s="41">
        <f>'Imports 2016-17'!R64</f>
        <v>0</v>
      </c>
      <c r="BM14" s="41">
        <f>'Imports 2016-17'!AC64</f>
        <v>670392429.08999991</v>
      </c>
    </row>
    <row r="15" spans="2:65" s="37" customFormat="1">
      <c r="B15" s="60" t="s">
        <v>58</v>
      </c>
      <c r="C15" s="61">
        <f>SUM(C11:C14)</f>
        <v>58.06</v>
      </c>
      <c r="D15" s="62">
        <f>IF(C15&lt;=0,0,SUMPRODUCT(C11:C14,D11:D14)/C15)</f>
        <v>156.69850499483292</v>
      </c>
      <c r="E15" s="61">
        <f>SUM(E11:E14)</f>
        <v>38.980000000000004</v>
      </c>
      <c r="F15" s="62">
        <f>IF(E15&lt;=0,0,SUMPRODUCT(E11:E14,F11:F14)/E15)</f>
        <v>167.38630194971782</v>
      </c>
      <c r="G15" s="81">
        <f>SUM(G11:G14)</f>
        <v>20.399999999999999</v>
      </c>
      <c r="H15" s="62">
        <f>IF(G15&lt;=0,0,SUMPRODUCT(G11:G14,H11:H14)/G15)</f>
        <v>225.33352500000004</v>
      </c>
      <c r="I15" s="82">
        <f>SUM(I11:I14)</f>
        <v>0</v>
      </c>
      <c r="J15" s="62">
        <f>IF(I15&lt;=0,0,SUMPRODUCT(I11:I14,J11:J14)/I15)</f>
        <v>0</v>
      </c>
      <c r="M15" s="75">
        <f t="shared" ref="M15:W15" si="5">M11-M13-M12-M14</f>
        <v>2641762.459999999</v>
      </c>
      <c r="N15" s="75">
        <f t="shared" si="5"/>
        <v>6214665.6699999999</v>
      </c>
      <c r="O15" s="75">
        <f t="shared" si="5"/>
        <v>7.4505805969238281E-9</v>
      </c>
      <c r="P15" s="75">
        <f t="shared" si="5"/>
        <v>0</v>
      </c>
      <c r="Q15" s="75">
        <f t="shared" si="5"/>
        <v>0</v>
      </c>
      <c r="R15" s="75">
        <f t="shared" si="5"/>
        <v>0</v>
      </c>
      <c r="S15" s="75">
        <f t="shared" si="5"/>
        <v>0</v>
      </c>
      <c r="T15" s="75">
        <f t="shared" si="5"/>
        <v>0</v>
      </c>
      <c r="U15" s="75">
        <f t="shared" si="5"/>
        <v>893233.59999999963</v>
      </c>
      <c r="V15" s="75">
        <f t="shared" si="5"/>
        <v>146090.58000000007</v>
      </c>
      <c r="W15" s="75">
        <f t="shared" si="5"/>
        <v>9895752.3100008965</v>
      </c>
      <c r="AA15" s="75">
        <f t="shared" ref="AA15:AK15" si="6">AA11-AA13-AA12-AA14</f>
        <v>2552516.0700000008</v>
      </c>
      <c r="AB15" s="75">
        <f t="shared" si="6"/>
        <v>9909920.0199999996</v>
      </c>
      <c r="AC15" s="75">
        <f t="shared" si="6"/>
        <v>1.1175870895385742E-8</v>
      </c>
      <c r="AD15" s="75">
        <f t="shared" si="6"/>
        <v>38684.099999964237</v>
      </c>
      <c r="AE15" s="75">
        <f t="shared" si="6"/>
        <v>0</v>
      </c>
      <c r="AF15" s="75">
        <f t="shared" si="6"/>
        <v>0</v>
      </c>
      <c r="AG15" s="75">
        <f t="shared" si="6"/>
        <v>0</v>
      </c>
      <c r="AH15" s="75">
        <f t="shared" si="6"/>
        <v>-3.7252902984619141E-9</v>
      </c>
      <c r="AI15" s="75">
        <f t="shared" si="6"/>
        <v>0</v>
      </c>
      <c r="AJ15" s="75">
        <f t="shared" si="6"/>
        <v>1357255.6500000004</v>
      </c>
      <c r="AK15" s="75">
        <f t="shared" si="6"/>
        <v>13858375.840000033</v>
      </c>
      <c r="AO15" s="41">
        <f t="shared" ref="AO15:AY15" si="7">AO11-AO13-AO12-AO14</f>
        <v>2939006.0700000003</v>
      </c>
      <c r="AP15" s="41">
        <f t="shared" si="7"/>
        <v>0</v>
      </c>
      <c r="AQ15" s="41">
        <f t="shared" si="7"/>
        <v>212212388.04999977</v>
      </c>
      <c r="AR15" s="41">
        <f t="shared" si="7"/>
        <v>0</v>
      </c>
      <c r="AS15" s="41">
        <f t="shared" si="7"/>
        <v>0</v>
      </c>
      <c r="AT15" s="75">
        <f t="shared" si="7"/>
        <v>311594.09000000003</v>
      </c>
      <c r="AU15" s="75">
        <f t="shared" si="7"/>
        <v>493425.72000000067</v>
      </c>
      <c r="AV15" s="75">
        <f t="shared" si="7"/>
        <v>4712696.8600000003</v>
      </c>
      <c r="AW15" s="75">
        <f t="shared" si="7"/>
        <v>17735316.170000002</v>
      </c>
      <c r="AX15" s="75">
        <f t="shared" si="7"/>
        <v>0</v>
      </c>
      <c r="AY15" s="75">
        <f t="shared" si="7"/>
        <v>238404426.96000028</v>
      </c>
      <c r="BC15" s="75">
        <f t="shared" ref="BC15:BM15" si="8">BC11-BC13-BC12-BC14</f>
        <v>18398254.039999999</v>
      </c>
      <c r="BD15" s="75">
        <f t="shared" si="8"/>
        <v>33986470.610000007</v>
      </c>
      <c r="BE15" s="75">
        <f t="shared" si="8"/>
        <v>32395831.339999855</v>
      </c>
      <c r="BF15" s="75">
        <f t="shared" si="8"/>
        <v>0</v>
      </c>
      <c r="BG15" s="75">
        <f t="shared" si="8"/>
        <v>0</v>
      </c>
      <c r="BH15" s="75">
        <f t="shared" si="8"/>
        <v>0</v>
      </c>
      <c r="BI15" s="75">
        <f t="shared" si="8"/>
        <v>0</v>
      </c>
      <c r="BJ15" s="75">
        <f t="shared" si="8"/>
        <v>6266552.1900000032</v>
      </c>
      <c r="BK15" s="75">
        <f t="shared" si="8"/>
        <v>14588892.540000001</v>
      </c>
      <c r="BL15" s="75">
        <f t="shared" si="8"/>
        <v>0</v>
      </c>
      <c r="BM15" s="75">
        <f t="shared" si="8"/>
        <v>105636000.71999967</v>
      </c>
    </row>
    <row r="16" spans="2:65">
      <c r="B16" s="52" t="s">
        <v>24</v>
      </c>
      <c r="C16" s="53"/>
      <c r="D16" s="87"/>
      <c r="E16" s="80"/>
      <c r="F16" s="84"/>
      <c r="G16" s="63"/>
      <c r="H16" s="87"/>
      <c r="I16" s="53"/>
      <c r="J16" s="87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O16" s="76"/>
      <c r="AP16" s="76"/>
      <c r="AQ16" s="76"/>
      <c r="AR16" s="76"/>
      <c r="AS16" s="76"/>
      <c r="AT16" s="39"/>
      <c r="AU16" s="39"/>
      <c r="AV16" s="39"/>
      <c r="AW16" s="39"/>
      <c r="AX16" s="39"/>
      <c r="AY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</row>
    <row r="17" spans="2:65">
      <c r="B17" s="48" t="s">
        <v>0</v>
      </c>
      <c r="C17" s="66">
        <f>N6</f>
        <v>0</v>
      </c>
      <c r="D17" s="67">
        <f>N18</f>
        <v>0</v>
      </c>
      <c r="E17" s="66">
        <v>0</v>
      </c>
      <c r="F17" s="68">
        <v>0</v>
      </c>
      <c r="G17" s="69"/>
      <c r="H17" s="67"/>
      <c r="I17" s="70"/>
      <c r="J17" s="71"/>
      <c r="M17" s="41">
        <f t="shared" ref="M17:W17" si="9">IF(M11&lt;=0,0,M11/M5/1000)</f>
        <v>156.69850499483292</v>
      </c>
      <c r="N17" s="41">
        <f t="shared" si="9"/>
        <v>148.70469198459924</v>
      </c>
      <c r="O17" s="41">
        <f t="shared" si="9"/>
        <v>102.46464369918999</v>
      </c>
      <c r="P17" s="41">
        <f t="shared" si="9"/>
        <v>91.900501056973923</v>
      </c>
      <c r="Q17" s="41">
        <f t="shared" si="9"/>
        <v>93.150004771501116</v>
      </c>
      <c r="R17" s="41">
        <f t="shared" si="9"/>
        <v>96.03153764956771</v>
      </c>
      <c r="S17" s="41">
        <f t="shared" si="9"/>
        <v>0</v>
      </c>
      <c r="T17" s="41">
        <f t="shared" si="9"/>
        <v>96.933030297872349</v>
      </c>
      <c r="U17" s="41">
        <f t="shared" si="9"/>
        <v>90.577376355582714</v>
      </c>
      <c r="V17" s="41">
        <f t="shared" si="9"/>
        <v>85.222064169260577</v>
      </c>
      <c r="W17" s="41">
        <f t="shared" si="9"/>
        <v>92.544056361225955</v>
      </c>
      <c r="AA17" s="41">
        <f t="shared" ref="AA17:AK17" si="10">IF(AA11&lt;=0,0,AA11/AA5/1000)</f>
        <v>167.38630194971779</v>
      </c>
      <c r="AB17" s="41">
        <f t="shared" si="10"/>
        <v>164.03028403484831</v>
      </c>
      <c r="AC17" s="41">
        <f t="shared" si="10"/>
        <v>100.97183707345944</v>
      </c>
      <c r="AD17" s="41">
        <f t="shared" si="10"/>
        <v>99.152359470821935</v>
      </c>
      <c r="AE17" s="41">
        <f t="shared" si="10"/>
        <v>103.43994358229257</v>
      </c>
      <c r="AF17" s="41">
        <f t="shared" si="10"/>
        <v>103.67652994482528</v>
      </c>
      <c r="AG17" s="41">
        <f t="shared" si="10"/>
        <v>119.59353921568626</v>
      </c>
      <c r="AH17" s="41">
        <f t="shared" si="10"/>
        <v>114.57362492668621</v>
      </c>
      <c r="AI17" s="41">
        <f t="shared" si="10"/>
        <v>98.140888669950726</v>
      </c>
      <c r="AJ17" s="41">
        <f t="shared" si="10"/>
        <v>98.694335994628105</v>
      </c>
      <c r="AK17" s="41">
        <f t="shared" si="10"/>
        <v>100.16231174838634</v>
      </c>
      <c r="AO17" s="41">
        <f t="shared" ref="AO17:AY17" si="11">IF(AO11&lt;=0,0,AO11/AO5/1000)</f>
        <v>225.33352500000004</v>
      </c>
      <c r="AP17" s="41">
        <f t="shared" si="11"/>
        <v>90.204656577211907</v>
      </c>
      <c r="AQ17" s="41">
        <f t="shared" si="11"/>
        <v>83.379757798365787</v>
      </c>
      <c r="AR17" s="41">
        <f t="shared" si="11"/>
        <v>88.886078980357283</v>
      </c>
      <c r="AS17" s="41">
        <f t="shared" si="11"/>
        <v>88.217321675846449</v>
      </c>
      <c r="AT17" s="41">
        <f t="shared" si="11"/>
        <v>194.74630625</v>
      </c>
      <c r="AU17" s="41">
        <f t="shared" si="11"/>
        <v>106.17476764872015</v>
      </c>
      <c r="AV17" s="41">
        <f t="shared" si="11"/>
        <v>87.303151840490798</v>
      </c>
      <c r="AW17" s="41">
        <f t="shared" si="11"/>
        <v>78.453831476323117</v>
      </c>
      <c r="AX17" s="41">
        <f t="shared" si="11"/>
        <v>228.04992156862747</v>
      </c>
      <c r="AY17" s="41">
        <f t="shared" si="11"/>
        <v>85.196849128169674</v>
      </c>
      <c r="BC17" s="41">
        <f t="shared" ref="BC17:BM17" si="12">IF(BC11&lt;=0,0,BC11/BC5/1000)</f>
        <v>124.30412836970474</v>
      </c>
      <c r="BD17" s="41">
        <f t="shared" si="12"/>
        <v>96.598220886214023</v>
      </c>
      <c r="BE17" s="41">
        <f t="shared" si="12"/>
        <v>110.75050901259083</v>
      </c>
      <c r="BF17" s="41">
        <f t="shared" si="12"/>
        <v>129.10702929800419</v>
      </c>
      <c r="BG17" s="41">
        <f t="shared" si="12"/>
        <v>123.28566403017179</v>
      </c>
      <c r="BH17" s="41">
        <f t="shared" si="12"/>
        <v>132.25343954248365</v>
      </c>
      <c r="BI17" s="41">
        <f t="shared" si="12"/>
        <v>87.875629539800997</v>
      </c>
      <c r="BJ17" s="41">
        <f t="shared" si="12"/>
        <v>89.838422676684502</v>
      </c>
      <c r="BK17" s="41">
        <f t="shared" si="12"/>
        <v>80.442700359242323</v>
      </c>
      <c r="BL17" s="41">
        <f t="shared" si="12"/>
        <v>0</v>
      </c>
      <c r="BM17" s="41">
        <f t="shared" si="12"/>
        <v>117.11727035574657</v>
      </c>
    </row>
    <row r="18" spans="2:65">
      <c r="B18" s="48" t="s">
        <v>1</v>
      </c>
      <c r="C18" s="66">
        <f t="shared" ref="C18:C20" si="13">N7</f>
        <v>20.09</v>
      </c>
      <c r="D18" s="67">
        <f t="shared" ref="D18:D20" si="14">N19</f>
        <v>113.604799900448</v>
      </c>
      <c r="E18" s="66">
        <v>37.57</v>
      </c>
      <c r="F18" s="68">
        <v>152.17580889007183</v>
      </c>
      <c r="G18" s="69"/>
      <c r="H18" s="67"/>
      <c r="I18" s="70"/>
      <c r="J18" s="71"/>
      <c r="L18" s="39" t="s">
        <v>60</v>
      </c>
      <c r="M18" s="41">
        <f t="shared" ref="M18:W18" si="15">IF(M12&lt;=0,0,M12/M6/1000)</f>
        <v>151.81465030364373</v>
      </c>
      <c r="N18" s="41">
        <f t="shared" si="15"/>
        <v>0</v>
      </c>
      <c r="O18" s="41">
        <f t="shared" si="15"/>
        <v>101.92684133803442</v>
      </c>
      <c r="P18" s="41">
        <f t="shared" si="15"/>
        <v>88.737708136521761</v>
      </c>
      <c r="Q18" s="41">
        <f t="shared" si="15"/>
        <v>0</v>
      </c>
      <c r="R18" s="41">
        <f t="shared" si="15"/>
        <v>75.41165025380711</v>
      </c>
      <c r="S18" s="41">
        <f t="shared" si="15"/>
        <v>0</v>
      </c>
      <c r="T18" s="41">
        <f t="shared" si="15"/>
        <v>95.040964567430038</v>
      </c>
      <c r="U18" s="41">
        <f t="shared" si="15"/>
        <v>0</v>
      </c>
      <c r="V18" s="41">
        <f t="shared" si="15"/>
        <v>81.895692206790116</v>
      </c>
      <c r="W18" s="41">
        <f t="shared" si="15"/>
        <v>89.117056270608444</v>
      </c>
      <c r="Z18" s="39" t="s">
        <v>60</v>
      </c>
      <c r="AA18" s="41">
        <f t="shared" ref="AA18:AK18" si="16">IF(AA12&lt;=0,0,AA12/AA6/1000)</f>
        <v>0</v>
      </c>
      <c r="AB18" s="41">
        <f t="shared" si="16"/>
        <v>0</v>
      </c>
      <c r="AC18" s="41">
        <f t="shared" si="16"/>
        <v>101.77659350822903</v>
      </c>
      <c r="AD18" s="41">
        <f t="shared" si="16"/>
        <v>98.512569859505248</v>
      </c>
      <c r="AE18" s="41">
        <f t="shared" si="16"/>
        <v>0</v>
      </c>
      <c r="AF18" s="41">
        <f t="shared" si="16"/>
        <v>0</v>
      </c>
      <c r="AG18" s="41">
        <f t="shared" si="16"/>
        <v>119.59353921568626</v>
      </c>
      <c r="AH18" s="41">
        <f t="shared" si="16"/>
        <v>115.48863941666666</v>
      </c>
      <c r="AI18" s="41">
        <f t="shared" si="16"/>
        <v>98.575999999999993</v>
      </c>
      <c r="AJ18" s="41">
        <f t="shared" si="16"/>
        <v>102.22354295238094</v>
      </c>
      <c r="AK18" s="41">
        <f t="shared" si="16"/>
        <v>98.759230909192425</v>
      </c>
      <c r="AN18" s="39" t="s">
        <v>60</v>
      </c>
      <c r="AO18" s="41">
        <f t="shared" ref="AO18:AY18" si="17">IF(AO12&lt;=0,0,AO12/AO6/1000)</f>
        <v>243.7938</v>
      </c>
      <c r="AP18" s="41">
        <f t="shared" si="17"/>
        <v>90.396175925925917</v>
      </c>
      <c r="AQ18" s="41">
        <f t="shared" si="17"/>
        <v>82.706019253978724</v>
      </c>
      <c r="AR18" s="41">
        <f t="shared" si="17"/>
        <v>0</v>
      </c>
      <c r="AS18" s="41">
        <f t="shared" si="17"/>
        <v>73.407459994920004</v>
      </c>
      <c r="AT18" s="41">
        <f t="shared" si="17"/>
        <v>0</v>
      </c>
      <c r="AU18" s="41">
        <f t="shared" si="17"/>
        <v>109.71756266666667</v>
      </c>
      <c r="AV18" s="41">
        <f t="shared" si="17"/>
        <v>87.531347199999999</v>
      </c>
      <c r="AW18" s="41">
        <f t="shared" si="17"/>
        <v>0</v>
      </c>
      <c r="AX18" s="41">
        <f t="shared" si="17"/>
        <v>0</v>
      </c>
      <c r="AY18" s="41">
        <f t="shared" si="17"/>
        <v>83.250473498998147</v>
      </c>
      <c r="BB18" s="39" t="s">
        <v>60</v>
      </c>
      <c r="BC18" s="41">
        <f t="shared" ref="BC18:BM18" si="18">IF(BC12&lt;=0,0,BC12/BC6/1000)</f>
        <v>0</v>
      </c>
      <c r="BD18" s="41">
        <f t="shared" si="18"/>
        <v>90.421352171023472</v>
      </c>
      <c r="BE18" s="41">
        <f t="shared" si="18"/>
        <v>117.77896004324037</v>
      </c>
      <c r="BF18" s="41">
        <f t="shared" si="18"/>
        <v>0</v>
      </c>
      <c r="BG18" s="41">
        <f t="shared" si="18"/>
        <v>0</v>
      </c>
      <c r="BH18" s="41">
        <f t="shared" si="18"/>
        <v>132.25343954248365</v>
      </c>
      <c r="BI18" s="41">
        <f t="shared" si="18"/>
        <v>86.463259500000007</v>
      </c>
      <c r="BJ18" s="41">
        <f t="shared" si="18"/>
        <v>81.1078215328467</v>
      </c>
      <c r="BK18" s="41">
        <f t="shared" si="18"/>
        <v>82.742230769230787</v>
      </c>
      <c r="BL18" s="41">
        <f t="shared" si="18"/>
        <v>0</v>
      </c>
      <c r="BM18" s="41">
        <f t="shared" si="18"/>
        <v>115.0514052244921</v>
      </c>
    </row>
    <row r="19" spans="2:65">
      <c r="B19" s="48" t="s">
        <v>3</v>
      </c>
      <c r="C19" s="66">
        <f t="shared" si="13"/>
        <v>0</v>
      </c>
      <c r="D19" s="67">
        <f t="shared" si="14"/>
        <v>0</v>
      </c>
      <c r="E19" s="66">
        <v>0</v>
      </c>
      <c r="F19" s="68">
        <v>0</v>
      </c>
      <c r="G19" s="69"/>
      <c r="H19" s="67"/>
      <c r="I19" s="70"/>
      <c r="J19" s="71"/>
      <c r="L19" s="39" t="s">
        <v>59</v>
      </c>
      <c r="M19" s="41">
        <f t="shared" ref="M19:W19" si="19">IF(M13&lt;=0,0,M13/M7/1000)</f>
        <v>0</v>
      </c>
      <c r="N19" s="41">
        <f t="shared" si="19"/>
        <v>113.604799900448</v>
      </c>
      <c r="O19" s="41">
        <f t="shared" si="19"/>
        <v>102.99809951213776</v>
      </c>
      <c r="P19" s="41">
        <f t="shared" si="19"/>
        <v>91.929330852948539</v>
      </c>
      <c r="Q19" s="41">
        <f t="shared" si="19"/>
        <v>87.313106291660361</v>
      </c>
      <c r="R19" s="41">
        <f t="shared" si="19"/>
        <v>90.516525266638595</v>
      </c>
      <c r="S19" s="41">
        <f t="shared" si="19"/>
        <v>0</v>
      </c>
      <c r="T19" s="41">
        <f t="shared" si="19"/>
        <v>100.75207619760478</v>
      </c>
      <c r="U19" s="41">
        <f t="shared" si="19"/>
        <v>93.528905256064689</v>
      </c>
      <c r="V19" s="41">
        <f t="shared" si="19"/>
        <v>94.249521346153841</v>
      </c>
      <c r="W19" s="41">
        <f t="shared" si="19"/>
        <v>91.071705988966414</v>
      </c>
      <c r="Z19" s="39" t="s">
        <v>59</v>
      </c>
      <c r="AA19" s="41">
        <f t="shared" ref="AA19:AK19" si="20">IF(AA13&lt;=0,0,AA13/AA7/1000)</f>
        <v>0</v>
      </c>
      <c r="AB19" s="41">
        <f t="shared" si="20"/>
        <v>152.17580889007183</v>
      </c>
      <c r="AC19" s="41">
        <f t="shared" si="20"/>
        <v>102.79747620573512</v>
      </c>
      <c r="AD19" s="41">
        <f t="shared" si="20"/>
        <v>98.660253194529872</v>
      </c>
      <c r="AE19" s="41">
        <f t="shared" si="20"/>
        <v>109.71702882930573</v>
      </c>
      <c r="AF19" s="41">
        <f t="shared" si="20"/>
        <v>108.24805824747051</v>
      </c>
      <c r="AG19" s="41">
        <f t="shared" si="20"/>
        <v>0</v>
      </c>
      <c r="AH19" s="41">
        <f t="shared" si="20"/>
        <v>111.29106173393122</v>
      </c>
      <c r="AI19" s="41">
        <f t="shared" si="20"/>
        <v>101.31195285285284</v>
      </c>
      <c r="AJ19" s="41">
        <f t="shared" si="20"/>
        <v>101.79707965116279</v>
      </c>
      <c r="AK19" s="41">
        <f t="shared" si="20"/>
        <v>101.15397272095372</v>
      </c>
      <c r="AN19" s="39" t="s">
        <v>59</v>
      </c>
      <c r="AO19" s="41">
        <f t="shared" ref="AO19:AY19" si="21">IF(AO13&lt;=0,0,AO13/AO7/1000)</f>
        <v>0</v>
      </c>
      <c r="AP19" s="41">
        <f t="shared" si="21"/>
        <v>89.63003666415419</v>
      </c>
      <c r="AQ19" s="41">
        <f t="shared" si="21"/>
        <v>83.56852242267739</v>
      </c>
      <c r="AR19" s="41">
        <f t="shared" si="21"/>
        <v>92.258796238295616</v>
      </c>
      <c r="AS19" s="41">
        <f t="shared" si="21"/>
        <v>89.529912061152572</v>
      </c>
      <c r="AT19" s="41">
        <f t="shared" si="21"/>
        <v>0</v>
      </c>
      <c r="AU19" s="41">
        <f t="shared" si="21"/>
        <v>98.300153291536077</v>
      </c>
      <c r="AV19" s="41">
        <f t="shared" si="21"/>
        <v>85.730518046709108</v>
      </c>
      <c r="AW19" s="41">
        <f t="shared" si="21"/>
        <v>88.366172096774193</v>
      </c>
      <c r="AX19" s="41">
        <f t="shared" si="21"/>
        <v>228.04992156862747</v>
      </c>
      <c r="AY19" s="41">
        <f t="shared" si="21"/>
        <v>86.499681361212041</v>
      </c>
      <c r="BB19" s="39" t="s">
        <v>59</v>
      </c>
      <c r="BC19" s="41">
        <f t="shared" ref="BC19:BM19" si="22">IF(BC13&lt;=0,0,BC13/BC7/1000)</f>
        <v>0</v>
      </c>
      <c r="BD19" s="41">
        <f t="shared" si="22"/>
        <v>132.61249579831932</v>
      </c>
      <c r="BE19" s="41">
        <f t="shared" si="22"/>
        <v>100.73339137620988</v>
      </c>
      <c r="BF19" s="41">
        <f t="shared" si="22"/>
        <v>127.79586305433804</v>
      </c>
      <c r="BG19" s="41">
        <f t="shared" si="22"/>
        <v>124.45362589544601</v>
      </c>
      <c r="BH19" s="41">
        <f t="shared" si="22"/>
        <v>0</v>
      </c>
      <c r="BI19" s="41">
        <f t="shared" si="22"/>
        <v>92.029659068627467</v>
      </c>
      <c r="BJ19" s="41">
        <f t="shared" si="22"/>
        <v>85.001162866119387</v>
      </c>
      <c r="BK19" s="41">
        <f t="shared" si="22"/>
        <v>89.949660135644308</v>
      </c>
      <c r="BL19" s="41">
        <f t="shared" si="22"/>
        <v>0</v>
      </c>
      <c r="BM19" s="41">
        <f t="shared" si="22"/>
        <v>115.11641551590571</v>
      </c>
    </row>
    <row r="20" spans="2:65" ht="15.75" thickBot="1">
      <c r="B20" s="48" t="s">
        <v>7</v>
      </c>
      <c r="C20" s="66">
        <f t="shared" si="13"/>
        <v>37.049999999999997</v>
      </c>
      <c r="D20" s="67">
        <f t="shared" si="14"/>
        <v>167.73726504723351</v>
      </c>
      <c r="E20" s="66">
        <v>57.702999999999996</v>
      </c>
      <c r="F20" s="68">
        <v>171.89696601563176</v>
      </c>
      <c r="G20" s="69"/>
      <c r="H20" s="67"/>
      <c r="I20" s="70"/>
      <c r="J20" s="71"/>
      <c r="L20" s="39" t="s">
        <v>61</v>
      </c>
      <c r="M20" s="41">
        <f t="shared" ref="M20:W20" si="23">IF(M14&lt;=0,0,M14/M8/1000)</f>
        <v>177.24591025641024</v>
      </c>
      <c r="N20" s="41">
        <f t="shared" si="23"/>
        <v>0</v>
      </c>
      <c r="O20" s="41">
        <f t="shared" si="23"/>
        <v>0</v>
      </c>
      <c r="P20" s="41">
        <f t="shared" si="23"/>
        <v>97.518046279496502</v>
      </c>
      <c r="Q20" s="41">
        <f t="shared" si="23"/>
        <v>101.13835308152801</v>
      </c>
      <c r="R20" s="41">
        <f t="shared" si="23"/>
        <v>99.59451597041388</v>
      </c>
      <c r="S20" s="41">
        <f t="shared" si="23"/>
        <v>0</v>
      </c>
      <c r="T20" s="41">
        <f t="shared" si="23"/>
        <v>100.78034545454545</v>
      </c>
      <c r="U20" s="41">
        <f t="shared" si="23"/>
        <v>93.654030000000006</v>
      </c>
      <c r="V20" s="41">
        <f t="shared" si="23"/>
        <v>0</v>
      </c>
      <c r="W20" s="41">
        <f t="shared" si="23"/>
        <v>99.030096921922976</v>
      </c>
      <c r="Z20" s="39" t="s">
        <v>61</v>
      </c>
      <c r="AA20" s="41">
        <f t="shared" ref="AA20:AK20" si="24">IF(AA14&lt;=0,0,AA14/AA8/1000)</f>
        <v>197.91738814150472</v>
      </c>
      <c r="AB20" s="41">
        <f t="shared" si="24"/>
        <v>0</v>
      </c>
      <c r="AC20" s="41">
        <f t="shared" si="24"/>
        <v>83.190164980067465</v>
      </c>
      <c r="AD20" s="41">
        <f t="shared" si="24"/>
        <v>105.36125103318294</v>
      </c>
      <c r="AE20" s="41">
        <f t="shared" si="24"/>
        <v>95.476062269139376</v>
      </c>
      <c r="AF20" s="41">
        <f t="shared" si="24"/>
        <v>99.451227033867411</v>
      </c>
      <c r="AG20" s="41">
        <f t="shared" si="24"/>
        <v>0</v>
      </c>
      <c r="AH20" s="41">
        <f t="shared" si="24"/>
        <v>0</v>
      </c>
      <c r="AI20" s="41">
        <f t="shared" si="24"/>
        <v>93.795288211382115</v>
      </c>
      <c r="AJ20" s="41">
        <f t="shared" si="24"/>
        <v>0</v>
      </c>
      <c r="AK20" s="41">
        <f t="shared" si="24"/>
        <v>100.20242673436741</v>
      </c>
      <c r="AN20" s="39" t="s">
        <v>61</v>
      </c>
      <c r="AO20" s="41">
        <f t="shared" ref="AO20:AY20" si="25">IF(AO14&lt;=0,0,AO14/AO8/1000)</f>
        <v>0</v>
      </c>
      <c r="AP20" s="41">
        <f t="shared" si="25"/>
        <v>0</v>
      </c>
      <c r="AQ20" s="41">
        <f t="shared" si="25"/>
        <v>81.747098965623536</v>
      </c>
      <c r="AR20" s="41">
        <f t="shared" si="25"/>
        <v>83.376932830754626</v>
      </c>
      <c r="AS20" s="41">
        <f t="shared" si="25"/>
        <v>87.056514661136049</v>
      </c>
      <c r="AT20" s="41">
        <f t="shared" si="25"/>
        <v>0</v>
      </c>
      <c r="AU20" s="41">
        <f t="shared" si="25"/>
        <v>0</v>
      </c>
      <c r="AV20" s="41">
        <f t="shared" si="25"/>
        <v>0</v>
      </c>
      <c r="AW20" s="41">
        <f t="shared" si="25"/>
        <v>98.194725000000005</v>
      </c>
      <c r="AX20" s="41">
        <f t="shared" si="25"/>
        <v>0</v>
      </c>
      <c r="AY20" s="41">
        <f t="shared" si="25"/>
        <v>83.336633226357506</v>
      </c>
      <c r="BB20" s="39" t="s">
        <v>61</v>
      </c>
      <c r="BC20" s="41">
        <f t="shared" ref="BC20:BM20" si="26">IF(BC14&lt;=0,0,BC14/BC8/1000)</f>
        <v>0</v>
      </c>
      <c r="BD20" s="41">
        <f t="shared" si="26"/>
        <v>0</v>
      </c>
      <c r="BE20" s="41">
        <f t="shared" si="26"/>
        <v>129.33176186743435</v>
      </c>
      <c r="BF20" s="41">
        <f t="shared" si="26"/>
        <v>131.59064779556743</v>
      </c>
      <c r="BG20" s="41">
        <f t="shared" si="26"/>
        <v>112.17931160669032</v>
      </c>
      <c r="BH20" s="41">
        <f t="shared" si="26"/>
        <v>0</v>
      </c>
      <c r="BI20" s="41">
        <f t="shared" si="26"/>
        <v>0</v>
      </c>
      <c r="BJ20" s="41">
        <f t="shared" si="26"/>
        <v>92.786175</v>
      </c>
      <c r="BK20" s="41">
        <f t="shared" si="26"/>
        <v>0</v>
      </c>
      <c r="BL20" s="41">
        <f t="shared" si="26"/>
        <v>0</v>
      </c>
      <c r="BM20" s="41">
        <f t="shared" si="26"/>
        <v>130.4994090260515</v>
      </c>
    </row>
    <row r="21" spans="2:65" s="37" customFormat="1">
      <c r="B21" s="60" t="s">
        <v>58</v>
      </c>
      <c r="C21" s="61">
        <f>SUM(C17:C20)</f>
        <v>57.14</v>
      </c>
      <c r="D21" s="62">
        <f>IF(C21&lt;=0,0,SUMPRODUCT(C17:C20,D17:D20)/C21)</f>
        <v>148.70469198459926</v>
      </c>
      <c r="E21" s="61">
        <f>SUM(E17:E20)</f>
        <v>95.272999999999996</v>
      </c>
      <c r="F21" s="62">
        <f>IF(E21&lt;=0,0,SUMPRODUCT(E17:E20,F17:F20)/E21)</f>
        <v>164.12011556264628</v>
      </c>
      <c r="G21" s="81">
        <f>SUM(G17:G20)</f>
        <v>0</v>
      </c>
      <c r="H21" s="62">
        <f>IF(G21&lt;=0,0,SUMPRODUCT(G17:G20,H17:H20)/G21)</f>
        <v>0</v>
      </c>
      <c r="I21" s="82">
        <f>SUM(I17:I20)</f>
        <v>0</v>
      </c>
      <c r="J21" s="62">
        <f>IF(I21&lt;=0,0,SUMPRODUCT(I17:I20,J17:J20)/I21)</f>
        <v>0</v>
      </c>
      <c r="L21" s="76" t="s">
        <v>62</v>
      </c>
      <c r="M21" s="41">
        <f t="shared" ref="M21:W21" si="27">IF(M15&lt;=0,0,M15/M9/1000)</f>
        <v>140.51927978723401</v>
      </c>
      <c r="N21" s="41">
        <f t="shared" si="27"/>
        <v>167.73726504723351</v>
      </c>
      <c r="O21" s="41">
        <f t="shared" si="27"/>
        <v>-131.072</v>
      </c>
      <c r="P21" s="41">
        <f t="shared" si="27"/>
        <v>0</v>
      </c>
      <c r="Q21" s="41">
        <f t="shared" si="27"/>
        <v>0</v>
      </c>
      <c r="R21" s="41">
        <f t="shared" si="27"/>
        <v>0</v>
      </c>
      <c r="S21" s="41">
        <f t="shared" si="27"/>
        <v>0</v>
      </c>
      <c r="T21" s="41">
        <f t="shared" si="27"/>
        <v>0</v>
      </c>
      <c r="U21" s="41">
        <f t="shared" si="27"/>
        <v>65.009723435225609</v>
      </c>
      <c r="V21" s="41">
        <f t="shared" si="27"/>
        <v>67.509510166359036</v>
      </c>
      <c r="W21" s="41">
        <f t="shared" si="27"/>
        <v>137.91220433704788</v>
      </c>
      <c r="Z21" s="76" t="s">
        <v>62</v>
      </c>
      <c r="AA21" s="41">
        <f t="shared" ref="AA21:AK21" si="28">IF(AA15&lt;=0,0,AA15/AA9/1000)</f>
        <v>134.98234108937072</v>
      </c>
      <c r="AB21" s="41">
        <f t="shared" si="28"/>
        <v>171.74904714038124</v>
      </c>
      <c r="AC21" s="41" t="e">
        <f t="shared" si="28"/>
        <v>#DIV/0!</v>
      </c>
      <c r="AD21" s="41">
        <f t="shared" si="28"/>
        <v>63.835148514625381</v>
      </c>
      <c r="AE21" s="41">
        <f t="shared" si="28"/>
        <v>0</v>
      </c>
      <c r="AF21" s="41">
        <f t="shared" si="28"/>
        <v>0</v>
      </c>
      <c r="AG21" s="41">
        <f t="shared" si="28"/>
        <v>0</v>
      </c>
      <c r="AH21" s="41">
        <f t="shared" si="28"/>
        <v>0</v>
      </c>
      <c r="AI21" s="41">
        <f t="shared" si="28"/>
        <v>0</v>
      </c>
      <c r="AJ21" s="41">
        <f t="shared" si="28"/>
        <v>70.952775890009988</v>
      </c>
      <c r="AK21" s="41">
        <f t="shared" si="28"/>
        <v>143.8411525247848</v>
      </c>
      <c r="AN21" s="76" t="s">
        <v>62</v>
      </c>
      <c r="AO21" s="41">
        <f t="shared" ref="AO21:AY21" si="29">IF(AO15&lt;=0,0,AO15/AO9/1000)</f>
        <v>216.10338750000008</v>
      </c>
      <c r="AP21" s="41">
        <f t="shared" si="29"/>
        <v>0</v>
      </c>
      <c r="AQ21" s="41">
        <f t="shared" si="29"/>
        <v>86.374957791893081</v>
      </c>
      <c r="AR21" s="41">
        <f t="shared" si="29"/>
        <v>0</v>
      </c>
      <c r="AS21" s="41">
        <f t="shared" si="29"/>
        <v>0</v>
      </c>
      <c r="AT21" s="41">
        <f t="shared" si="29"/>
        <v>194.74630625</v>
      </c>
      <c r="AU21" s="41">
        <f t="shared" si="29"/>
        <v>538.38049099836871</v>
      </c>
      <c r="AV21" s="41">
        <f t="shared" si="29"/>
        <v>89.799863948170781</v>
      </c>
      <c r="AW21" s="41">
        <f t="shared" si="29"/>
        <v>74.543191703093484</v>
      </c>
      <c r="AX21" s="41">
        <f t="shared" si="29"/>
        <v>0</v>
      </c>
      <c r="AY21" s="41">
        <f t="shared" si="29"/>
        <v>86.272434880267554</v>
      </c>
      <c r="BB21" s="76" t="s">
        <v>62</v>
      </c>
      <c r="BC21" s="41">
        <f t="shared" ref="BC21:BM21" si="30">IF(BC15&lt;=0,0,BC15/BC9/1000)</f>
        <v>124.30412836970474</v>
      </c>
      <c r="BD21" s="41">
        <f t="shared" si="30"/>
        <v>104.79947767499233</v>
      </c>
      <c r="BE21" s="41">
        <f t="shared" si="30"/>
        <v>82.228348418931134</v>
      </c>
      <c r="BF21" s="41">
        <f t="shared" si="30"/>
        <v>0</v>
      </c>
      <c r="BG21" s="41">
        <f t="shared" si="30"/>
        <v>0</v>
      </c>
      <c r="BH21" s="41">
        <f t="shared" si="30"/>
        <v>0</v>
      </c>
      <c r="BI21" s="41">
        <f t="shared" si="30"/>
        <v>0</v>
      </c>
      <c r="BJ21" s="41">
        <f t="shared" si="30"/>
        <v>110.2877893347414</v>
      </c>
      <c r="BK21" s="41">
        <f t="shared" si="30"/>
        <v>72.798864970059881</v>
      </c>
      <c r="BL21" s="41">
        <f t="shared" si="30"/>
        <v>0</v>
      </c>
      <c r="BM21" s="41">
        <f t="shared" si="30"/>
        <v>94.023697930759269</v>
      </c>
    </row>
    <row r="22" spans="2:65">
      <c r="B22" s="52" t="s">
        <v>10</v>
      </c>
      <c r="C22" s="53"/>
      <c r="D22" s="87"/>
      <c r="E22" s="80"/>
      <c r="F22" s="84"/>
      <c r="G22" s="63"/>
      <c r="H22" s="87"/>
      <c r="I22" s="53"/>
      <c r="J22" s="87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</row>
    <row r="23" spans="2:65">
      <c r="B23" s="48" t="s">
        <v>0</v>
      </c>
      <c r="C23" s="54">
        <f>O6</f>
        <v>337.51</v>
      </c>
      <c r="D23" s="55">
        <f>O18</f>
        <v>101.92684133803442</v>
      </c>
      <c r="E23" s="54">
        <v>568.72502499999996</v>
      </c>
      <c r="F23" s="57">
        <v>101.7813024141148</v>
      </c>
      <c r="G23" s="58">
        <v>557.28000000000009</v>
      </c>
      <c r="H23" s="55">
        <v>90.396175925925917</v>
      </c>
      <c r="I23" s="64">
        <v>223.67</v>
      </c>
      <c r="J23" s="65">
        <v>90.906421558546072</v>
      </c>
    </row>
    <row r="24" spans="2:65">
      <c r="B24" s="48" t="s">
        <v>1</v>
      </c>
      <c r="C24" s="54">
        <f t="shared" ref="C24:C25" si="31">O7</f>
        <v>340.26000000000005</v>
      </c>
      <c r="D24" s="55">
        <f t="shared" ref="D24:D25" si="32">O19</f>
        <v>102.99809951213776</v>
      </c>
      <c r="E24" s="54">
        <v>702.16500000000008</v>
      </c>
      <c r="F24" s="57">
        <v>102.79747620573512</v>
      </c>
      <c r="G24" s="58">
        <v>185.74</v>
      </c>
      <c r="H24" s="55">
        <v>89.63003666415419</v>
      </c>
      <c r="I24" s="64">
        <v>0</v>
      </c>
      <c r="J24" s="65">
        <v>0</v>
      </c>
    </row>
    <row r="25" spans="2:65">
      <c r="B25" s="48" t="s">
        <v>3</v>
      </c>
      <c r="C25" s="54">
        <f t="shared" si="31"/>
        <v>0</v>
      </c>
      <c r="D25" s="55">
        <f t="shared" si="32"/>
        <v>0</v>
      </c>
      <c r="E25" s="54">
        <v>97.83</v>
      </c>
      <c r="F25" s="57">
        <v>83.190164980067465</v>
      </c>
      <c r="G25" s="58">
        <v>0</v>
      </c>
      <c r="H25" s="55">
        <v>0</v>
      </c>
      <c r="I25" s="64">
        <v>0</v>
      </c>
      <c r="J25" s="65">
        <v>0</v>
      </c>
    </row>
    <row r="26" spans="2:65" ht="15.75" thickBot="1">
      <c r="B26" s="48" t="s">
        <v>7</v>
      </c>
      <c r="C26" s="54">
        <v>0</v>
      </c>
      <c r="D26" s="55">
        <v>0</v>
      </c>
      <c r="E26" s="54">
        <v>3.1600000000068462E-2</v>
      </c>
      <c r="F26" s="57">
        <v>3831.5256329037093</v>
      </c>
      <c r="G26" s="58">
        <v>4.9999999999840838E-2</v>
      </c>
      <c r="H26" s="55">
        <v>242.4404000006883</v>
      </c>
      <c r="I26" s="64">
        <v>56.239999999999981</v>
      </c>
      <c r="J26" s="65">
        <v>129.27057681365585</v>
      </c>
    </row>
    <row r="27" spans="2:65" s="37" customFormat="1">
      <c r="B27" s="60" t="s">
        <v>58</v>
      </c>
      <c r="C27" s="61">
        <f>SUM(C23:C26)</f>
        <v>677.77</v>
      </c>
      <c r="D27" s="62">
        <f>IF(C27&lt;=0,0,SUMPRODUCT(C23:C26,D23:D26)/C27)</f>
        <v>102.46464369918999</v>
      </c>
      <c r="E27" s="61">
        <f>SUM(E23:E26)</f>
        <v>1368.7516250000001</v>
      </c>
      <c r="F27" s="62">
        <f>IF(E27&lt;=0,0,SUMPRODUCT(E23:E26,F23:F26)/E27)</f>
        <v>101.05992289872169</v>
      </c>
      <c r="G27" s="81">
        <f>SUM(G23:G26)</f>
        <v>743.06999999999994</v>
      </c>
      <c r="H27" s="62">
        <f>IF(G27&lt;=0,0,SUMPRODUCT(G23:G26,H23:H26)/G27)</f>
        <v>90.214900278574035</v>
      </c>
      <c r="I27" s="82">
        <f>SUM(I23:I26)</f>
        <v>279.90999999999997</v>
      </c>
      <c r="J27" s="62">
        <f>IF(I27&lt;=0,0,SUMPRODUCT(I23:I26,J23:J26)/I27)</f>
        <v>98.61461380443717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</row>
    <row r="28" spans="2:65">
      <c r="B28" s="52" t="s">
        <v>14</v>
      </c>
      <c r="C28" s="53"/>
      <c r="D28" s="87"/>
      <c r="E28" s="80"/>
      <c r="F28" s="84"/>
      <c r="G28" s="63"/>
      <c r="H28" s="87"/>
      <c r="I28" s="53"/>
      <c r="J28" s="87"/>
    </row>
    <row r="29" spans="2:65">
      <c r="B29" s="48" t="s">
        <v>0</v>
      </c>
      <c r="C29" s="54"/>
      <c r="D29" s="55"/>
      <c r="E29" s="54">
        <v>6.12</v>
      </c>
      <c r="F29" s="57">
        <v>119.59353921568626</v>
      </c>
      <c r="G29" s="58">
        <v>0</v>
      </c>
      <c r="H29" s="55">
        <v>0</v>
      </c>
      <c r="I29" s="56">
        <v>0</v>
      </c>
      <c r="J29" s="55">
        <v>0</v>
      </c>
    </row>
    <row r="30" spans="2:65">
      <c r="B30" s="48" t="s">
        <v>1</v>
      </c>
      <c r="C30" s="54"/>
      <c r="D30" s="55"/>
      <c r="E30" s="54">
        <v>0</v>
      </c>
      <c r="F30" s="57">
        <v>0</v>
      </c>
      <c r="G30" s="58">
        <v>0</v>
      </c>
      <c r="H30" s="55">
        <v>0</v>
      </c>
      <c r="I30" s="56">
        <v>0</v>
      </c>
      <c r="J30" s="55">
        <v>0</v>
      </c>
    </row>
    <row r="31" spans="2:65">
      <c r="B31" s="48" t="s">
        <v>3</v>
      </c>
      <c r="C31" s="54"/>
      <c r="D31" s="55"/>
      <c r="E31" s="54">
        <v>0</v>
      </c>
      <c r="F31" s="57">
        <v>0</v>
      </c>
      <c r="G31" s="58">
        <v>0</v>
      </c>
      <c r="H31" s="55">
        <v>0</v>
      </c>
      <c r="I31" s="56">
        <v>0</v>
      </c>
      <c r="J31" s="55">
        <v>0</v>
      </c>
    </row>
    <row r="32" spans="2:65" ht="15.75" thickBot="1">
      <c r="B32" s="48" t="s">
        <v>7</v>
      </c>
      <c r="C32" s="54"/>
      <c r="D32" s="55"/>
      <c r="E32" s="54">
        <v>7.8</v>
      </c>
      <c r="F32" s="57">
        <v>228.32557051282052</v>
      </c>
      <c r="G32" s="58">
        <v>1.6</v>
      </c>
      <c r="H32" s="55">
        <v>194.74630625</v>
      </c>
      <c r="I32" s="56">
        <v>1.62</v>
      </c>
      <c r="J32" s="55">
        <v>332.02235185185179</v>
      </c>
    </row>
    <row r="33" spans="2:65" s="37" customFormat="1">
      <c r="B33" s="60" t="s">
        <v>58</v>
      </c>
      <c r="C33" s="61">
        <f>SUM(C29:C32)</f>
        <v>0</v>
      </c>
      <c r="D33" s="62">
        <f>IF(C33&lt;=0,0,SUMPRODUCT(C29:C32,D29:D32)/C33)</f>
        <v>0</v>
      </c>
      <c r="E33" s="61">
        <f>SUM(E29:E32)</f>
        <v>13.92</v>
      </c>
      <c r="F33" s="62">
        <f>IF(E33&lt;=0,0,SUMPRODUCT(E29:E32,F29:F32)/E33)</f>
        <v>180.52097054597701</v>
      </c>
      <c r="G33" s="81">
        <f>SUM(G29:G32)</f>
        <v>1.6</v>
      </c>
      <c r="H33" s="62">
        <f>IF(G33&lt;=0,0,SUMPRODUCT(G29:G32,H29:H32)/G33)</f>
        <v>194.74630625000003</v>
      </c>
      <c r="I33" s="82">
        <f>SUM(I29:I32)</f>
        <v>1.62</v>
      </c>
      <c r="J33" s="62">
        <f>IF(I33&lt;=0,0,SUMPRODUCT(I29:I32,J29:J32)/I33)</f>
        <v>332.02235185185179</v>
      </c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</row>
    <row r="34" spans="2:65">
      <c r="B34" s="52" t="s">
        <v>11</v>
      </c>
      <c r="C34" s="53"/>
      <c r="D34" s="87"/>
      <c r="E34" s="80"/>
      <c r="F34" s="84"/>
      <c r="G34" s="63"/>
      <c r="H34" s="87"/>
      <c r="I34" s="53"/>
      <c r="J34" s="87"/>
    </row>
    <row r="35" spans="2:65">
      <c r="B35" s="48" t="s">
        <v>0</v>
      </c>
      <c r="C35" s="54">
        <f>P6</f>
        <v>13938.879999999996</v>
      </c>
      <c r="D35" s="55">
        <f>P18</f>
        <v>88.737708136521761</v>
      </c>
      <c r="E35" s="54">
        <v>25215.180000000004</v>
      </c>
      <c r="F35" s="57">
        <v>98.512569859505248</v>
      </c>
      <c r="G35" s="58">
        <v>10655.46</v>
      </c>
      <c r="H35" s="55">
        <v>82.706019253978724</v>
      </c>
      <c r="I35" s="64">
        <v>1315.55</v>
      </c>
      <c r="J35" s="65">
        <v>94.542178039603215</v>
      </c>
    </row>
    <row r="36" spans="2:65">
      <c r="B36" s="48" t="s">
        <v>1</v>
      </c>
      <c r="C36" s="54">
        <f t="shared" ref="C36:C38" si="33">P7</f>
        <v>21370.34</v>
      </c>
      <c r="D36" s="55">
        <f t="shared" ref="D36:D38" si="34">P19</f>
        <v>91.929330852948539</v>
      </c>
      <c r="E36" s="54">
        <v>24477.780000000002</v>
      </c>
      <c r="F36" s="57">
        <v>98.660253194529872</v>
      </c>
      <c r="G36" s="58">
        <v>16163.770000000002</v>
      </c>
      <c r="H36" s="55">
        <v>83.56852242267739</v>
      </c>
      <c r="I36" s="64">
        <v>2441.64</v>
      </c>
      <c r="J36" s="65">
        <v>80.484619190380229</v>
      </c>
    </row>
    <row r="37" spans="2:65">
      <c r="B37" s="48" t="s">
        <v>3</v>
      </c>
      <c r="C37" s="54">
        <f t="shared" si="33"/>
        <v>7738.2000000000007</v>
      </c>
      <c r="D37" s="55">
        <f t="shared" si="34"/>
        <v>97.518046279496502</v>
      </c>
      <c r="E37" s="54">
        <v>4541.7899999999991</v>
      </c>
      <c r="F37" s="57">
        <v>105.36125103318294</v>
      </c>
      <c r="G37" s="58">
        <v>1978.97</v>
      </c>
      <c r="H37" s="55">
        <v>81.747098965623536</v>
      </c>
      <c r="I37" s="64">
        <v>600.5</v>
      </c>
      <c r="J37" s="65">
        <v>136.26202278101584</v>
      </c>
    </row>
    <row r="38" spans="2:65" ht="15.75" thickBot="1">
      <c r="B38" s="48" t="s">
        <v>7</v>
      </c>
      <c r="C38" s="54">
        <f t="shared" si="33"/>
        <v>0</v>
      </c>
      <c r="D38" s="55">
        <f t="shared" si="34"/>
        <v>0</v>
      </c>
      <c r="E38" s="54">
        <v>0.60800000000199361</v>
      </c>
      <c r="F38" s="57">
        <v>70.22185855227977</v>
      </c>
      <c r="G38" s="58">
        <v>2456.8742000000011</v>
      </c>
      <c r="H38" s="55">
        <v>86.375241906972732</v>
      </c>
      <c r="I38" s="54">
        <v>0</v>
      </c>
      <c r="J38" s="55">
        <v>0</v>
      </c>
    </row>
    <row r="39" spans="2:65" s="37" customFormat="1">
      <c r="B39" s="60" t="s">
        <v>58</v>
      </c>
      <c r="C39" s="61">
        <f>SUM(C35:C38)</f>
        <v>43047.42</v>
      </c>
      <c r="D39" s="62">
        <f>IF(C39&lt;=0,0,SUMPRODUCT(C35:C38,D35:D38)/C39)</f>
        <v>91.900501056973923</v>
      </c>
      <c r="E39" s="61">
        <f>SUM(E35:E38)</f>
        <v>54235.358000000007</v>
      </c>
      <c r="F39" s="62">
        <f>IF(E39&lt;=0,0,SUMPRODUCT(E35:E38,F35:F38)/E39)</f>
        <v>99.152429766020902</v>
      </c>
      <c r="G39" s="81">
        <f>SUM(G35:G38)</f>
        <v>31255.074200000006</v>
      </c>
      <c r="H39" s="62">
        <f>IF(G39&lt;=0,0,SUMPRODUCT(G35:G38,H35:H38)/G39)</f>
        <v>83.379780151025841</v>
      </c>
      <c r="I39" s="82">
        <f>SUM(I35:I38)</f>
        <v>4357.6899999999996</v>
      </c>
      <c r="J39" s="62">
        <f>IF(I39&lt;=0,0,SUMPRODUCT(I35:I38,J35:J38)/I39)</f>
        <v>92.414736385562094</v>
      </c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</row>
    <row r="40" spans="2:65">
      <c r="B40" s="52" t="s">
        <v>12</v>
      </c>
      <c r="C40" s="53"/>
      <c r="D40" s="87"/>
      <c r="E40" s="80"/>
      <c r="F40" s="84"/>
      <c r="G40" s="63"/>
      <c r="H40" s="87"/>
      <c r="I40" s="53"/>
      <c r="J40" s="87"/>
    </row>
    <row r="41" spans="2:65">
      <c r="B41" s="48" t="s">
        <v>0</v>
      </c>
      <c r="C41" s="54">
        <f>Q6</f>
        <v>0</v>
      </c>
      <c r="D41" s="55">
        <f>Q18</f>
        <v>0</v>
      </c>
      <c r="E41" s="54">
        <v>0</v>
      </c>
      <c r="F41" s="57">
        <v>0</v>
      </c>
      <c r="G41" s="58">
        <v>0</v>
      </c>
      <c r="H41" s="55">
        <v>0</v>
      </c>
      <c r="I41" s="64">
        <v>0</v>
      </c>
      <c r="J41" s="65">
        <v>0</v>
      </c>
    </row>
    <row r="42" spans="2:65">
      <c r="B42" s="48"/>
      <c r="C42" s="54">
        <f t="shared" ref="C42:C44" si="35">Q7</f>
        <v>6213.94</v>
      </c>
      <c r="D42" s="55">
        <f t="shared" ref="D42:D44" si="36">Q19</f>
        <v>87.313106291660361</v>
      </c>
      <c r="E42" s="54">
        <v>5969.62</v>
      </c>
      <c r="F42" s="57">
        <v>109.71702882930573</v>
      </c>
      <c r="G42" s="58">
        <v>7362.6200000000008</v>
      </c>
      <c r="H42" s="55">
        <v>92.258796238295616</v>
      </c>
      <c r="I42" s="64">
        <v>1370.73</v>
      </c>
      <c r="J42" s="65">
        <v>97.208617043473183</v>
      </c>
    </row>
    <row r="43" spans="2:65">
      <c r="B43" s="48"/>
      <c r="C43" s="54">
        <f t="shared" si="35"/>
        <v>4540.380005</v>
      </c>
      <c r="D43" s="55">
        <f t="shared" si="36"/>
        <v>101.13835308152801</v>
      </c>
      <c r="E43" s="54">
        <v>4705.22</v>
      </c>
      <c r="F43" s="57">
        <v>95.476062269139376</v>
      </c>
      <c r="G43" s="58">
        <v>4507.42</v>
      </c>
      <c r="H43" s="55">
        <v>73.702146762449473</v>
      </c>
      <c r="I43" s="64">
        <v>801.06</v>
      </c>
      <c r="J43" s="65">
        <v>111.3044364841585</v>
      </c>
    </row>
    <row r="44" spans="2:65" ht="15.75" thickBot="1">
      <c r="B44" s="48"/>
      <c r="C44" s="54">
        <f t="shared" si="35"/>
        <v>0</v>
      </c>
      <c r="D44" s="55">
        <f t="shared" si="36"/>
        <v>0</v>
      </c>
      <c r="E44" s="54">
        <v>0</v>
      </c>
      <c r="F44" s="57">
        <v>0</v>
      </c>
      <c r="G44" s="58">
        <v>0</v>
      </c>
      <c r="H44" s="55">
        <v>0</v>
      </c>
      <c r="I44" s="64">
        <v>0</v>
      </c>
      <c r="J44" s="65">
        <v>0</v>
      </c>
    </row>
    <row r="45" spans="2:65" s="37" customFormat="1">
      <c r="B45" s="60"/>
      <c r="C45" s="61">
        <f>SUM(C41:C44)</f>
        <v>10754.320005</v>
      </c>
      <c r="D45" s="62">
        <f>IF(C45&lt;=0,0,SUMPRODUCT(C41:C44,D41:D44)/C45)</f>
        <v>93.150004771501116</v>
      </c>
      <c r="E45" s="61">
        <f>SUM(E41:E44)</f>
        <v>10674.84</v>
      </c>
      <c r="F45" s="62">
        <f>IF(E45&lt;=0,0,SUMPRODUCT(E41:E44,F41:F44)/E45)</f>
        <v>103.43994358229256</v>
      </c>
      <c r="G45" s="81">
        <f>SUM(G41:G44)</f>
        <v>11870.04</v>
      </c>
      <c r="H45" s="62">
        <f>IF(G45&lt;=0,0,SUMPRODUCT(G41:G44,H41:H44)/G45)</f>
        <v>85.21226455176226</v>
      </c>
      <c r="I45" s="82">
        <f>SUM(I41:I44)</f>
        <v>2171.79</v>
      </c>
      <c r="J45" s="62">
        <f>IF(I45&lt;=0,0,SUMPRODUCT(I41:I44,J41:J44)/I45)</f>
        <v>102.40782926986496</v>
      </c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</row>
    <row r="46" spans="2:65">
      <c r="B46" s="52"/>
      <c r="C46" s="53"/>
      <c r="D46" s="87"/>
      <c r="E46" s="80"/>
      <c r="F46" s="84"/>
      <c r="G46" s="63"/>
      <c r="H46" s="87"/>
      <c r="I46" s="53"/>
      <c r="J46" s="87"/>
    </row>
    <row r="47" spans="2:65">
      <c r="B47" s="48"/>
      <c r="C47" s="54">
        <f>R6</f>
        <v>19.7</v>
      </c>
      <c r="D47" s="55">
        <f>R18</f>
        <v>75.41165025380711</v>
      </c>
      <c r="E47" s="54">
        <v>0</v>
      </c>
      <c r="F47" s="57">
        <v>0</v>
      </c>
      <c r="G47" s="58">
        <v>39.369999999999997</v>
      </c>
      <c r="H47" s="55">
        <v>73.407459994920004</v>
      </c>
      <c r="I47" s="64">
        <v>0</v>
      </c>
      <c r="J47" s="65">
        <v>0</v>
      </c>
    </row>
    <row r="48" spans="2:65">
      <c r="B48" s="48"/>
      <c r="C48" s="54">
        <f t="shared" ref="C48:C50" si="37">R7</f>
        <v>859.19007000000011</v>
      </c>
      <c r="D48" s="55">
        <f t="shared" ref="D48:D50" si="38">R19</f>
        <v>90.516525266638595</v>
      </c>
      <c r="E48" s="54">
        <v>861.84</v>
      </c>
      <c r="F48" s="57">
        <v>108.24805824747051</v>
      </c>
      <c r="G48" s="58">
        <v>1092.3499999999999</v>
      </c>
      <c r="H48" s="55">
        <v>89.529912061152572</v>
      </c>
      <c r="I48" s="64">
        <v>234.60000000000002</v>
      </c>
      <c r="J48" s="65">
        <v>101.57206364023868</v>
      </c>
    </row>
    <row r="49" spans="2:65">
      <c r="B49" s="48"/>
      <c r="C49" s="54">
        <f t="shared" si="37"/>
        <v>1443.9199999999998</v>
      </c>
      <c r="D49" s="55">
        <f t="shared" si="38"/>
        <v>99.59451597041388</v>
      </c>
      <c r="E49" s="54">
        <v>932.46</v>
      </c>
      <c r="F49" s="57">
        <v>99.451227033867411</v>
      </c>
      <c r="G49" s="58">
        <v>732.89</v>
      </c>
      <c r="H49" s="55">
        <v>87.056514661136049</v>
      </c>
      <c r="I49" s="64">
        <v>59.23</v>
      </c>
      <c r="J49" s="65">
        <v>98.171999999999997</v>
      </c>
    </row>
    <row r="50" spans="2:65" ht="15.75" thickBot="1">
      <c r="B50" s="48"/>
      <c r="C50" s="54">
        <f t="shared" si="37"/>
        <v>0</v>
      </c>
      <c r="D50" s="55">
        <f t="shared" si="38"/>
        <v>0</v>
      </c>
      <c r="E50" s="54">
        <v>0</v>
      </c>
      <c r="F50" s="57">
        <v>0</v>
      </c>
      <c r="G50" s="58"/>
      <c r="H50" s="55"/>
      <c r="I50" s="64">
        <v>0</v>
      </c>
      <c r="J50" s="65">
        <v>0</v>
      </c>
    </row>
    <row r="51" spans="2:65" s="37" customFormat="1">
      <c r="B51" s="60"/>
      <c r="C51" s="61">
        <f>SUM(C47:C50)</f>
        <v>2322.81007</v>
      </c>
      <c r="D51" s="62">
        <f>IF(C51&lt;=0,0,SUMPRODUCT(C47:C50,D47:D50)/C51)</f>
        <v>96.031537649567696</v>
      </c>
      <c r="E51" s="61">
        <f>SUM(E47:E50)</f>
        <v>1794.3000000000002</v>
      </c>
      <c r="F51" s="62">
        <f>IF(E51&lt;=0,0,SUMPRODUCT(E47:E50,F47:F50)/E51)</f>
        <v>103.67652994482526</v>
      </c>
      <c r="G51" s="81">
        <f>SUM(G47:G50)</f>
        <v>1864.6099999999997</v>
      </c>
      <c r="H51" s="62">
        <f>IF(G51&lt;=0,0,SUMPRODUCT(G47:G50,H47:H50)/G51)</f>
        <v>88.217321675846435</v>
      </c>
      <c r="I51" s="82">
        <f>SUM(I47:I50)</f>
        <v>293.83000000000004</v>
      </c>
      <c r="J51" s="62">
        <f>IF(I51&lt;=0,0,SUMPRODUCT(I47:I50,J47:J50)/I51)</f>
        <v>100.88668172072285</v>
      </c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</row>
    <row r="52" spans="2:65">
      <c r="B52" s="52"/>
      <c r="C52" s="53"/>
      <c r="D52" s="87"/>
      <c r="E52" s="80"/>
      <c r="F52" s="84"/>
      <c r="G52" s="63"/>
      <c r="H52" s="87"/>
      <c r="I52" s="53"/>
      <c r="J52" s="87"/>
    </row>
    <row r="53" spans="2:65">
      <c r="B53" s="48"/>
      <c r="C53" s="54">
        <f>T6</f>
        <v>157.19999999999999</v>
      </c>
      <c r="D53" s="55">
        <f>T18</f>
        <v>95.040964567430038</v>
      </c>
      <c r="E53" s="54">
        <v>240</v>
      </c>
      <c r="F53" s="57">
        <v>115.48863941666666</v>
      </c>
      <c r="G53" s="58">
        <v>30</v>
      </c>
      <c r="H53" s="55">
        <v>109.71756266666667</v>
      </c>
      <c r="I53" s="64">
        <v>0</v>
      </c>
      <c r="J53" s="65">
        <v>0</v>
      </c>
    </row>
    <row r="54" spans="2:65">
      <c r="B54" s="48"/>
      <c r="C54" s="54">
        <f t="shared" ref="C54:C56" si="39">T7</f>
        <v>66.8</v>
      </c>
      <c r="D54" s="55">
        <f t="shared" ref="D54:D56" si="40">T19</f>
        <v>100.75207619760478</v>
      </c>
      <c r="E54" s="54">
        <v>66.900000000000006</v>
      </c>
      <c r="F54" s="57">
        <v>111.29106173393122</v>
      </c>
      <c r="G54" s="58">
        <v>63.499999999999993</v>
      </c>
      <c r="H54" s="55">
        <v>98.268668188976392</v>
      </c>
      <c r="I54" s="64">
        <v>11.4</v>
      </c>
      <c r="J54" s="65">
        <v>86.826164912280703</v>
      </c>
    </row>
    <row r="55" spans="2:65">
      <c r="B55" s="48"/>
      <c r="C55" s="54">
        <f t="shared" si="39"/>
        <v>11</v>
      </c>
      <c r="D55" s="55">
        <f t="shared" si="40"/>
        <v>100.78034545454545</v>
      </c>
      <c r="E55" s="54">
        <v>0.08</v>
      </c>
      <c r="F55" s="57">
        <v>297.43487499999998</v>
      </c>
      <c r="G55" s="58">
        <v>0</v>
      </c>
      <c r="H55" s="55">
        <v>0</v>
      </c>
      <c r="I55" s="64">
        <v>0</v>
      </c>
      <c r="J55" s="65">
        <v>0</v>
      </c>
    </row>
    <row r="56" spans="2:65" ht="15.75" thickBot="1">
      <c r="B56" s="48"/>
      <c r="C56" s="54">
        <f t="shared" si="39"/>
        <v>0</v>
      </c>
      <c r="D56" s="55">
        <f t="shared" si="40"/>
        <v>0</v>
      </c>
      <c r="E56" s="54">
        <v>29.214999999999961</v>
      </c>
      <c r="F56" s="57">
        <v>328.3512493582067</v>
      </c>
      <c r="G56" s="58">
        <v>1.4450000000000145</v>
      </c>
      <c r="H56" s="55">
        <v>458.01326643598213</v>
      </c>
      <c r="I56" s="64">
        <v>3.0749999999999993</v>
      </c>
      <c r="J56" s="65">
        <v>757.03021138211409</v>
      </c>
    </row>
    <row r="57" spans="2:65" s="37" customFormat="1">
      <c r="B57" s="60"/>
      <c r="C57" s="61">
        <f>SUM(C53:C56)</f>
        <v>235</v>
      </c>
      <c r="D57" s="62">
        <f>IF(C57&lt;=0,0,SUMPRODUCT(C53:C56,D53:D56)/C57)</f>
        <v>96.933030297872335</v>
      </c>
      <c r="E57" s="61">
        <f>SUM(E53:E56)</f>
        <v>336.19499999999994</v>
      </c>
      <c r="F57" s="62">
        <f>IF(E57&lt;=0,0,SUMPRODUCT(E53:E56,F53:F56)/E57)</f>
        <v>133.19419393506743</v>
      </c>
      <c r="G57" s="81">
        <f>SUM(G53:G56)</f>
        <v>94.945000000000022</v>
      </c>
      <c r="H57" s="62">
        <f>IF(G57&lt;=0,0,SUMPRODUCT(G53:G56,H53:H56)/G57)</f>
        <v>107.36127737110958</v>
      </c>
      <c r="I57" s="82">
        <f>SUM(I53:I56)</f>
        <v>14.475</v>
      </c>
      <c r="J57" s="62">
        <f>IF(I57&lt;=0,0,SUMPRODUCT(I53:I56,J53:J56)/I57)</f>
        <v>229.20111778929189</v>
      </c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</row>
    <row r="58" spans="2:65">
      <c r="B58" s="52"/>
      <c r="C58" s="53"/>
      <c r="D58" s="87"/>
      <c r="E58" s="80"/>
      <c r="F58" s="84"/>
      <c r="G58" s="63"/>
      <c r="H58" s="87"/>
      <c r="I58" s="53"/>
      <c r="J58" s="87"/>
    </row>
    <row r="59" spans="2:65">
      <c r="B59" s="48"/>
      <c r="C59" s="54">
        <f>U6</f>
        <v>0</v>
      </c>
      <c r="D59" s="55">
        <f>U18</f>
        <v>0</v>
      </c>
      <c r="E59" s="54">
        <v>15</v>
      </c>
      <c r="F59" s="57">
        <v>98.575999999999993</v>
      </c>
      <c r="G59" s="58">
        <v>75</v>
      </c>
      <c r="H59" s="55">
        <v>87.531347199999999</v>
      </c>
      <c r="I59" s="64">
        <v>7.2</v>
      </c>
      <c r="J59" s="65">
        <v>76.638294444444441</v>
      </c>
    </row>
    <row r="60" spans="2:65">
      <c r="B60" s="48"/>
      <c r="C60" s="54">
        <f t="shared" ref="C60:C62" si="41">U7</f>
        <v>74.2</v>
      </c>
      <c r="D60" s="55">
        <f t="shared" ref="D60:D62" si="42">U19</f>
        <v>93.528905256064689</v>
      </c>
      <c r="E60" s="54">
        <v>178.31</v>
      </c>
      <c r="F60" s="57">
        <v>96.279553586450561</v>
      </c>
      <c r="G60" s="58">
        <v>96.3</v>
      </c>
      <c r="H60" s="55">
        <v>89.268233748701988</v>
      </c>
      <c r="I60" s="64">
        <v>14.4</v>
      </c>
      <c r="J60" s="65">
        <v>69.486990277777778</v>
      </c>
    </row>
    <row r="61" spans="2:65">
      <c r="B61" s="48"/>
      <c r="C61" s="54">
        <f t="shared" si="41"/>
        <v>43</v>
      </c>
      <c r="D61" s="55">
        <f t="shared" si="42"/>
        <v>93.654030000000006</v>
      </c>
      <c r="E61" s="54">
        <v>123</v>
      </c>
      <c r="F61" s="57">
        <v>93.795288211382115</v>
      </c>
      <c r="G61" s="58">
        <v>0</v>
      </c>
      <c r="H61" s="55">
        <v>0</v>
      </c>
      <c r="I61" s="64">
        <v>0</v>
      </c>
      <c r="J61" s="65">
        <v>0</v>
      </c>
    </row>
    <row r="62" spans="2:65" ht="15.75" thickBot="1">
      <c r="B62" s="48"/>
      <c r="C62" s="54">
        <f t="shared" si="41"/>
        <v>13.739999999999995</v>
      </c>
      <c r="D62" s="55">
        <f t="shared" si="42"/>
        <v>65.009723435225609</v>
      </c>
      <c r="E62" s="54">
        <v>67.369730000000004</v>
      </c>
      <c r="F62" s="57">
        <v>428.32698913889078</v>
      </c>
      <c r="G62" s="58">
        <v>134.04000000000002</v>
      </c>
      <c r="H62" s="55">
        <v>187.88623478066245</v>
      </c>
      <c r="I62" s="64">
        <v>18.12</v>
      </c>
      <c r="J62" s="65">
        <v>134.05013520971301</v>
      </c>
    </row>
    <row r="63" spans="2:65" s="37" customFormat="1">
      <c r="B63" s="60"/>
      <c r="C63" s="61">
        <f>SUM(C59:C62)</f>
        <v>130.94</v>
      </c>
      <c r="D63" s="62">
        <f>IF(C63&lt;=0,0,SUMPRODUCT(C59:C62,D59:D62)/C63)</f>
        <v>90.577376355582714</v>
      </c>
      <c r="E63" s="61">
        <f>SUM(E59:E62)</f>
        <v>383.67973000000001</v>
      </c>
      <c r="F63" s="62">
        <f>IF(E63&lt;=0,0,SUMPRODUCT(E59:E62,F59:F62)/E63)</f>
        <v>153.87662324512166</v>
      </c>
      <c r="G63" s="81">
        <f>SUM(G59:G62)</f>
        <v>305.34000000000003</v>
      </c>
      <c r="H63" s="62">
        <f>IF(G63&lt;=0,0,SUMPRODUCT(G59:G62,H59:H62)/G63)</f>
        <v>132.1335326521255</v>
      </c>
      <c r="I63" s="82">
        <f>SUM(I59:I62)</f>
        <v>39.72</v>
      </c>
      <c r="J63" s="62">
        <f>IF(I63&lt;=0,0,SUMPRODUCT(I59:I62,J59:J62)/I63)</f>
        <v>100.23657678751259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</row>
    <row r="64" spans="2:65">
      <c r="B64" s="52"/>
      <c r="C64" s="53"/>
      <c r="D64" s="87"/>
      <c r="E64" s="80"/>
      <c r="F64" s="84"/>
      <c r="G64" s="63"/>
      <c r="H64" s="87"/>
      <c r="I64" s="53"/>
      <c r="J64" s="87"/>
    </row>
    <row r="65" spans="2:65">
      <c r="B65" s="48"/>
      <c r="C65" s="66">
        <f>V6</f>
        <v>129.6</v>
      </c>
      <c r="D65" s="67">
        <f>V18</f>
        <v>81.895692206790116</v>
      </c>
      <c r="E65" s="66">
        <v>105</v>
      </c>
      <c r="F65" s="68">
        <v>102.22354295238094</v>
      </c>
      <c r="G65" s="69">
        <v>0</v>
      </c>
      <c r="H65" s="67">
        <v>0</v>
      </c>
      <c r="I65" s="70">
        <v>7.8</v>
      </c>
      <c r="J65" s="71">
        <v>82.742230769230787</v>
      </c>
    </row>
    <row r="66" spans="2:65">
      <c r="B66" s="48"/>
      <c r="C66" s="66">
        <f t="shared" ref="C66:C68" si="43">V7</f>
        <v>52</v>
      </c>
      <c r="D66" s="67">
        <f t="shared" ref="D66:D68" si="44">V19</f>
        <v>94.249521346153841</v>
      </c>
      <c r="E66" s="66">
        <v>51.6</v>
      </c>
      <c r="F66" s="68">
        <v>101.79707965116279</v>
      </c>
      <c r="G66" s="69">
        <v>62</v>
      </c>
      <c r="H66" s="67">
        <v>88.366172096774193</v>
      </c>
      <c r="I66" s="70">
        <v>30.6</v>
      </c>
      <c r="J66" s="71">
        <v>91.932254901960775</v>
      </c>
    </row>
    <row r="67" spans="2:65">
      <c r="B67" s="48"/>
      <c r="C67" s="66">
        <f t="shared" si="43"/>
        <v>0</v>
      </c>
      <c r="D67" s="67">
        <f t="shared" si="44"/>
        <v>0</v>
      </c>
      <c r="E67" s="66">
        <v>0</v>
      </c>
      <c r="F67" s="68">
        <v>0</v>
      </c>
      <c r="G67" s="69">
        <v>16</v>
      </c>
      <c r="H67" s="67">
        <v>98.194725000000005</v>
      </c>
      <c r="I67" s="70">
        <v>0</v>
      </c>
      <c r="J67" s="71">
        <v>0</v>
      </c>
    </row>
    <row r="68" spans="2:65" ht="15.75" thickBot="1">
      <c r="B68" s="48"/>
      <c r="C68" s="66">
        <f t="shared" si="43"/>
        <v>2.1639999999999873</v>
      </c>
      <c r="D68" s="67">
        <f t="shared" si="44"/>
        <v>67.509510166359036</v>
      </c>
      <c r="E68" s="66">
        <v>36.592500000000001</v>
      </c>
      <c r="F68" s="68">
        <v>195.35207351233183</v>
      </c>
      <c r="G68" s="69">
        <v>246.24</v>
      </c>
      <c r="H68" s="67">
        <v>85.21349305555556</v>
      </c>
      <c r="I68" s="70">
        <v>113.30999999999999</v>
      </c>
      <c r="J68" s="71">
        <v>84.05372261936283</v>
      </c>
    </row>
    <row r="69" spans="2:65" s="37" customFormat="1">
      <c r="B69" s="60"/>
      <c r="C69" s="61">
        <f>SUM(C65:C68)</f>
        <v>183.76399999999998</v>
      </c>
      <c r="D69" s="62">
        <f>IF(C69&lt;=0,0,SUMPRODUCT(C65:C68,D65:D68)/C69)</f>
        <v>85.222064169260577</v>
      </c>
      <c r="E69" s="61">
        <f>SUM(E65:E68)</f>
        <v>193.1925</v>
      </c>
      <c r="F69" s="62">
        <f>IF(E69&lt;=0,0,SUMPRODUCT(E65:E68,F65:F68)/E69)</f>
        <v>119.74906929616832</v>
      </c>
      <c r="G69" s="81">
        <f>SUM(G65:G68)</f>
        <v>324.24</v>
      </c>
      <c r="H69" s="62">
        <f>IF(G69&lt;=0,0,SUMPRODUCT(G65:G68,H65:H68)/G69)</f>
        <v>86.456910930175184</v>
      </c>
      <c r="I69" s="82">
        <f>SUM(I65:I68)</f>
        <v>151.70999999999998</v>
      </c>
      <c r="J69" s="62">
        <f>IF(I69&lt;=0,0,SUMPRODUCT(I65:I68,J65:J68)/I69)</f>
        <v>85.575398523498805</v>
      </c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</row>
    <row r="70" spans="2:65">
      <c r="B70" s="72"/>
      <c r="C70" s="73">
        <f>C9+C15+C21+C27+C33+C39+C45+C51+C57+C63+C69</f>
        <v>57467.224075000006</v>
      </c>
      <c r="D70" s="85">
        <f>(C9*D9+C15*D15+C21*D21+C27*D27+C33*D33+C39*D39+C45*D45+C51*D51+C57*D57+C63*D63+C69*D69)/C70</f>
        <v>92.544056361225927</v>
      </c>
      <c r="E70" s="73">
        <f>E9+E15+E21+E27+E33+E39+E45+E51+E57+E63+E69</f>
        <v>69134.489855000022</v>
      </c>
      <c r="F70" s="85">
        <f>(E9*F9+E15*F15+E21*F21+E27*F27+E33*F33+E39*F39+E45*F45+E51*F51+E57*F57+E63*F63+E69*F69)/E70</f>
        <v>100.64082470750732</v>
      </c>
      <c r="G70" s="73">
        <f>G9+G15+G21+G27+G33+G39+G45+G51+G57+G63+G69</f>
        <v>46481.995200000005</v>
      </c>
      <c r="H70" s="85">
        <f>(G9*H9+G15*H15+G21*H21+G27*H27+G33*H33+G39*H39+G45*H45+G51*H51+G57*H57+G63*H63+G69*H69)/G70</f>
        <v>84.618195436886083</v>
      </c>
      <c r="I70" s="73">
        <f>I9+I15+I21+I27+I33+I39+I45+I51+I57+I63+I69</f>
        <v>7310.7449999999999</v>
      </c>
      <c r="J70" s="85">
        <f>(I9*J9+I15*J15+I21*J21+I27*J27+I33*J33+I39*J39+I45*J45+I51*J51+I57*J57+I63*J63+I69*J69)/I70</f>
        <v>96.185741029129048</v>
      </c>
    </row>
    <row r="71" spans="2:65">
      <c r="G71" s="74"/>
    </row>
    <row r="72" spans="2:65" s="40" customFormat="1" ht="12.75">
      <c r="C72" s="42">
        <f>C39+C45+C51</f>
        <v>56124.550074999999</v>
      </c>
      <c r="D72" s="34"/>
      <c r="E72" s="42">
        <f>E39+E45+E51</f>
        <v>66704.498000000007</v>
      </c>
      <c r="F72" s="34"/>
      <c r="G72" s="42">
        <f>G39+G45+G51</f>
        <v>44989.724200000011</v>
      </c>
      <c r="H72" s="34"/>
      <c r="I72" s="42">
        <f>I39+I45+I51</f>
        <v>6823.3099999999995</v>
      </c>
      <c r="J72" s="34"/>
    </row>
    <row r="73" spans="2:65" s="40" customFormat="1" ht="12.75">
      <c r="C73" s="42"/>
      <c r="D73" s="34"/>
      <c r="E73" s="41"/>
      <c r="F73" s="34"/>
      <c r="G73" s="42"/>
      <c r="H73" s="34"/>
      <c r="I73" s="42"/>
      <c r="J73" s="34"/>
    </row>
    <row r="74" spans="2:65" s="40" customFormat="1" ht="12.75">
      <c r="C74" s="41">
        <f>SUM('Imports 2013-14'!N4:N6)</f>
        <v>12359.29</v>
      </c>
      <c r="D74" s="34"/>
      <c r="E74" s="41">
        <f>SUM('Imports 2014-15'!N4:N6)</f>
        <v>19956.149000000001</v>
      </c>
      <c r="F74" s="34"/>
      <c r="G74" s="41">
        <f>SUM('Imports 2015-16'!N4:N6)</f>
        <v>16886.740000000002</v>
      </c>
      <c r="H74" s="34"/>
      <c r="I74" s="41">
        <f>SUM('Imports 2016-17'!N4:N6)</f>
        <v>12023.439999999999</v>
      </c>
      <c r="J74" s="34"/>
    </row>
    <row r="75" spans="2:65" s="40" customFormat="1" ht="12.75">
      <c r="C75" s="41">
        <f>SUM('Imports 2013-14'!N7:N9)</f>
        <v>13848.240005</v>
      </c>
      <c r="D75" s="34"/>
      <c r="E75" s="41">
        <f>SUM('Imports 2014-15'!N7:N9)</f>
        <v>18183.605</v>
      </c>
      <c r="F75" s="34"/>
      <c r="G75" s="41">
        <f>SUM('Imports 2015-16'!N7:N9)</f>
        <v>11262.168000000001</v>
      </c>
      <c r="H75" s="34"/>
      <c r="J75" s="34"/>
    </row>
    <row r="76" spans="2:65" s="40" customFormat="1" ht="12.75">
      <c r="C76" s="41">
        <f>SUM('Imports 2013-14'!N10:N12)</f>
        <v>13124.070069999998</v>
      </c>
      <c r="D76" s="34"/>
      <c r="E76" s="41">
        <f>SUM('Imports 2014-15'!N10:N12)</f>
        <v>16633.495999999999</v>
      </c>
      <c r="F76" s="34"/>
      <c r="G76" s="41">
        <f>SUM('Imports 2015-16'!N10:N12)</f>
        <v>9207.2260000000006</v>
      </c>
      <c r="H76" s="34"/>
      <c r="J76" s="34"/>
    </row>
    <row r="77" spans="2:65" s="40" customFormat="1" ht="12.75">
      <c r="C77" s="41">
        <f>SUM('Imports 2013-14'!N13:N15)</f>
        <v>18135.624</v>
      </c>
      <c r="D77" s="34"/>
      <c r="E77" s="41">
        <f>SUM('Imports 2014-15'!N13:N15)</f>
        <v>14227.460000000001</v>
      </c>
      <c r="F77" s="34"/>
      <c r="G77" s="41">
        <f>SUM('Imports 2015-16'!N13:N15)</f>
        <v>9032.9665000000005</v>
      </c>
      <c r="H77" s="34"/>
      <c r="J77" s="34"/>
    </row>
    <row r="78" spans="2:65">
      <c r="C78" s="42">
        <f>SUM(C74:C77)</f>
        <v>57467.224074999991</v>
      </c>
      <c r="D78" s="42"/>
      <c r="E78" s="42">
        <f>SUM(E74:E77)</f>
        <v>69000.710000000006</v>
      </c>
      <c r="G78" s="41">
        <f>SUM(G74:G77)</f>
        <v>46389.100500000008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50"/>
  <sheetViews>
    <sheetView showGridLines="0" topLeftCell="A22" workbookViewId="0">
      <selection activeCell="H43" sqref="H43"/>
    </sheetView>
  </sheetViews>
  <sheetFormatPr defaultRowHeight="12.75"/>
  <cols>
    <col min="1" max="1" width="7" style="40" customWidth="1"/>
    <col min="2" max="11" width="9.140625" style="40"/>
    <col min="12" max="12" width="11" style="40" bestFit="1" customWidth="1"/>
    <col min="13" max="16384" width="9.140625" style="40"/>
  </cols>
  <sheetData>
    <row r="1" spans="1:12">
      <c r="A1" s="77" t="s">
        <v>63</v>
      </c>
    </row>
    <row r="2" spans="1:12">
      <c r="A2" s="3"/>
      <c r="B2" s="3" t="s">
        <v>87</v>
      </c>
      <c r="C2" s="3" t="s">
        <v>88</v>
      </c>
      <c r="D2" s="3" t="s">
        <v>89</v>
      </c>
      <c r="E2" s="3" t="s">
        <v>90</v>
      </c>
      <c r="H2" s="3" t="s">
        <v>87</v>
      </c>
      <c r="I2" s="3" t="s">
        <v>88</v>
      </c>
      <c r="J2" s="3" t="s">
        <v>89</v>
      </c>
    </row>
    <row r="3" spans="1:12">
      <c r="A3" s="31">
        <v>41365</v>
      </c>
      <c r="B3" s="34">
        <v>53.805</v>
      </c>
      <c r="C3" s="34">
        <v>17.684999999999999</v>
      </c>
      <c r="D3" s="34">
        <v>0.55249999999999999</v>
      </c>
      <c r="E3" s="34">
        <f>C3/B3</f>
        <v>0.32868692500696961</v>
      </c>
      <c r="G3" s="32" t="s">
        <v>42</v>
      </c>
      <c r="H3" s="89">
        <f>AVERAGE(B3:B14)</f>
        <v>60.709999999999987</v>
      </c>
      <c r="I3" s="89">
        <f t="shared" ref="I3:J3" si="0">AVERAGE(C3:C14)</f>
        <v>18.846458333333331</v>
      </c>
      <c r="J3" s="89">
        <f t="shared" si="0"/>
        <v>0.55041666666666667</v>
      </c>
      <c r="L3" s="41">
        <f>H3/J3*100</f>
        <v>11029.825889477666</v>
      </c>
    </row>
    <row r="4" spans="1:12">
      <c r="A4" s="31">
        <v>41395</v>
      </c>
      <c r="B4" s="34">
        <v>56.5</v>
      </c>
      <c r="C4" s="34">
        <v>18.232500000000002</v>
      </c>
      <c r="D4" s="34">
        <v>0.57750000000000001</v>
      </c>
      <c r="E4" s="34">
        <f t="shared" ref="E4:E41" si="1">C4/B4</f>
        <v>0.32269911504424781</v>
      </c>
      <c r="G4" s="32" t="s">
        <v>43</v>
      </c>
      <c r="H4" s="89">
        <f>AVERAGE(B15:B26)</f>
        <v>61.252499999999998</v>
      </c>
      <c r="I4" s="89">
        <f t="shared" ref="I4:J4" si="2">AVERAGE(C15:C26)</f>
        <v>18.220000000000002</v>
      </c>
      <c r="J4" s="89">
        <f t="shared" si="2"/>
        <v>0.50437500000000002</v>
      </c>
      <c r="L4" s="41">
        <f>H4/J4*100</f>
        <v>12144.237918215613</v>
      </c>
    </row>
    <row r="5" spans="1:12">
      <c r="A5" s="31">
        <v>41426</v>
      </c>
      <c r="B5" s="34">
        <v>59.39</v>
      </c>
      <c r="C5" s="34">
        <v>18.797499999999999</v>
      </c>
      <c r="D5" s="34">
        <v>0.59750000000000003</v>
      </c>
      <c r="E5" s="34">
        <f t="shared" si="1"/>
        <v>0.3165095133860919</v>
      </c>
      <c r="G5" s="32" t="s">
        <v>44</v>
      </c>
      <c r="H5" s="89">
        <f>AVERAGE(B27:B38)</f>
        <v>65.638749999999987</v>
      </c>
      <c r="I5" s="89">
        <f t="shared" ref="I5:J5" si="3">AVERAGE(C27:C38)</f>
        <v>16.286458333333332</v>
      </c>
      <c r="J5" s="89">
        <f t="shared" si="3"/>
        <v>0.48249999999999998</v>
      </c>
      <c r="L5" s="41">
        <f>H5/J5*100</f>
        <v>13603.886010362692</v>
      </c>
    </row>
    <row r="6" spans="1:12">
      <c r="A6" s="31">
        <v>41456</v>
      </c>
      <c r="B6" s="34">
        <v>60.405000000000001</v>
      </c>
      <c r="C6" s="34">
        <v>18.605</v>
      </c>
      <c r="D6" s="34">
        <v>0.58750000000000002</v>
      </c>
      <c r="E6" s="34">
        <f t="shared" si="1"/>
        <v>0.30800430427944708</v>
      </c>
      <c r="G6" s="32" t="s">
        <v>46</v>
      </c>
      <c r="H6" s="89">
        <f>AVERAGE(B39:B41)</f>
        <v>67.040000000000006</v>
      </c>
      <c r="I6" s="89">
        <f t="shared" ref="I6:J6" si="4">AVERAGE(C39:C50)</f>
        <v>16.436428571428571</v>
      </c>
      <c r="J6" s="89">
        <f t="shared" si="4"/>
        <v>0.50642857142857145</v>
      </c>
      <c r="L6" s="41">
        <f>H6/J6*100</f>
        <v>13237.799717912554</v>
      </c>
    </row>
    <row r="7" spans="1:12">
      <c r="A7" s="31">
        <v>41487</v>
      </c>
      <c r="B7" s="34">
        <v>65.704999999999998</v>
      </c>
      <c r="C7" s="34">
        <v>19.9925</v>
      </c>
      <c r="D7" s="34">
        <v>0.60250000000000004</v>
      </c>
      <c r="E7" s="34">
        <f t="shared" si="1"/>
        <v>0.30427669127159274</v>
      </c>
    </row>
    <row r="8" spans="1:12">
      <c r="A8" s="31">
        <v>41518</v>
      </c>
      <c r="B8" s="34">
        <v>62.604999999999997</v>
      </c>
      <c r="C8" s="34">
        <v>19.215</v>
      </c>
      <c r="D8" s="34">
        <v>0.54</v>
      </c>
      <c r="E8" s="34">
        <f t="shared" si="1"/>
        <v>0.30692436706333359</v>
      </c>
    </row>
    <row r="9" spans="1:12">
      <c r="A9" s="31">
        <v>41548</v>
      </c>
      <c r="B9" s="34">
        <v>61.505000000000003</v>
      </c>
      <c r="C9" s="34">
        <v>19.484999999999999</v>
      </c>
      <c r="D9" s="34">
        <v>0.54500000000000004</v>
      </c>
      <c r="E9" s="34">
        <f t="shared" si="1"/>
        <v>0.31680351190960082</v>
      </c>
    </row>
    <row r="10" spans="1:12">
      <c r="A10" s="31">
        <v>41579</v>
      </c>
      <c r="B10" s="34">
        <v>62.445</v>
      </c>
      <c r="C10" s="34">
        <v>19.365000000000002</v>
      </c>
      <c r="D10" s="34">
        <v>0.52249999999999996</v>
      </c>
      <c r="E10" s="34">
        <f t="shared" si="1"/>
        <v>0.31011289935142927</v>
      </c>
    </row>
    <row r="11" spans="1:12">
      <c r="A11" s="31">
        <v>41609</v>
      </c>
      <c r="B11" s="34">
        <v>61.805</v>
      </c>
      <c r="C11" s="34">
        <v>18.852499999999999</v>
      </c>
      <c r="D11" s="34">
        <v>0.50750000000000006</v>
      </c>
      <c r="E11" s="34">
        <f t="shared" si="1"/>
        <v>0.30503195534341881</v>
      </c>
    </row>
    <row r="12" spans="1:12">
      <c r="A12" s="31">
        <v>41640</v>
      </c>
      <c r="B12" s="34">
        <v>62.685000000000002</v>
      </c>
      <c r="C12" s="34">
        <v>18.732500000000002</v>
      </c>
      <c r="D12" s="34">
        <v>0.51249999999999996</v>
      </c>
      <c r="E12" s="34">
        <f t="shared" si="1"/>
        <v>0.2988354470766531</v>
      </c>
    </row>
    <row r="13" spans="1:12">
      <c r="A13" s="31">
        <v>41671</v>
      </c>
      <c r="B13" s="34">
        <v>61.755000000000003</v>
      </c>
      <c r="C13" s="34">
        <v>18.842500000000001</v>
      </c>
      <c r="D13" s="34">
        <v>0.53249999999999997</v>
      </c>
      <c r="E13" s="34">
        <f t="shared" si="1"/>
        <v>0.30511699457533803</v>
      </c>
    </row>
    <row r="14" spans="1:12">
      <c r="A14" s="31">
        <v>41699</v>
      </c>
      <c r="B14" s="34">
        <v>59.914999999999999</v>
      </c>
      <c r="C14" s="34">
        <v>18.352499999999999</v>
      </c>
      <c r="D14" s="34">
        <v>0.52749999999999997</v>
      </c>
      <c r="E14" s="34">
        <f t="shared" si="1"/>
        <v>0.30630893766168737</v>
      </c>
    </row>
    <row r="15" spans="1:12">
      <c r="A15" s="31">
        <v>41730</v>
      </c>
      <c r="B15" s="34">
        <v>60.314999999999998</v>
      </c>
      <c r="C15" s="34">
        <v>18.487500000000001</v>
      </c>
      <c r="D15" s="34">
        <v>0.52249999999999996</v>
      </c>
      <c r="E15" s="34">
        <f t="shared" si="1"/>
        <v>0.30651579209151952</v>
      </c>
    </row>
    <row r="16" spans="1:12">
      <c r="A16" s="31">
        <v>41760</v>
      </c>
      <c r="B16" s="34">
        <v>59.104999999999997</v>
      </c>
      <c r="C16" s="34">
        <v>18.377500000000001</v>
      </c>
      <c r="D16" s="34">
        <v>0.50750000000000006</v>
      </c>
      <c r="E16" s="34">
        <f t="shared" si="1"/>
        <v>0.31092970137890197</v>
      </c>
    </row>
    <row r="17" spans="1:5">
      <c r="A17" s="31">
        <v>41791</v>
      </c>
      <c r="B17" s="34">
        <v>60.174999999999997</v>
      </c>
      <c r="C17" s="34">
        <v>18.740000000000002</v>
      </c>
      <c r="D17" s="34">
        <v>0.50750000000000006</v>
      </c>
      <c r="E17" s="34">
        <f t="shared" si="1"/>
        <v>0.3114250103863731</v>
      </c>
    </row>
    <row r="18" spans="1:5">
      <c r="A18" s="31">
        <v>41821</v>
      </c>
      <c r="B18" s="34">
        <v>60.555</v>
      </c>
      <c r="C18" s="34">
        <v>18.940000000000001</v>
      </c>
      <c r="D18" s="34">
        <v>0.52249999999999996</v>
      </c>
      <c r="E18" s="34">
        <f t="shared" si="1"/>
        <v>0.31277351168359346</v>
      </c>
    </row>
    <row r="19" spans="1:5">
      <c r="A19" s="31">
        <v>41852</v>
      </c>
      <c r="B19" s="34">
        <v>60.5</v>
      </c>
      <c r="C19" s="34">
        <v>19.215</v>
      </c>
      <c r="D19" s="34">
        <v>0.51749999999999996</v>
      </c>
      <c r="E19" s="34">
        <f t="shared" si="1"/>
        <v>0.31760330578512397</v>
      </c>
    </row>
    <row r="20" spans="1:5">
      <c r="A20" s="31">
        <v>41883</v>
      </c>
      <c r="B20" s="34">
        <v>61.75</v>
      </c>
      <c r="C20" s="34">
        <v>18.824999999999999</v>
      </c>
      <c r="D20" s="34">
        <v>0.50750000000000006</v>
      </c>
      <c r="E20" s="34">
        <f t="shared" si="1"/>
        <v>0.30485829959514171</v>
      </c>
    </row>
    <row r="21" spans="1:5">
      <c r="A21" s="31">
        <v>41913</v>
      </c>
      <c r="B21" s="34">
        <v>61.365000000000002</v>
      </c>
      <c r="C21" s="34">
        <v>18.650000000000002</v>
      </c>
      <c r="D21" s="34">
        <v>0.50750000000000006</v>
      </c>
      <c r="E21" s="34">
        <f t="shared" si="1"/>
        <v>0.30391917216654446</v>
      </c>
    </row>
    <row r="22" spans="1:5">
      <c r="A22" s="31">
        <v>41944</v>
      </c>
      <c r="B22" s="34">
        <v>62.03</v>
      </c>
      <c r="C22" s="34">
        <v>18.337500000000002</v>
      </c>
      <c r="D22" s="34">
        <v>0.50750000000000006</v>
      </c>
      <c r="E22" s="34">
        <f t="shared" si="1"/>
        <v>0.29562308560374018</v>
      </c>
    </row>
    <row r="23" spans="1:5">
      <c r="A23" s="31">
        <v>41974</v>
      </c>
      <c r="B23" s="34">
        <v>63.034999999999997</v>
      </c>
      <c r="C23" s="34">
        <v>18.0275</v>
      </c>
      <c r="D23" s="34">
        <v>0.51</v>
      </c>
      <c r="E23" s="34">
        <f t="shared" si="1"/>
        <v>0.28599190925676216</v>
      </c>
    </row>
    <row r="24" spans="1:5">
      <c r="A24" s="31">
        <v>42005</v>
      </c>
      <c r="B24" s="34">
        <v>61.865000000000002</v>
      </c>
      <c r="C24" s="34">
        <v>17.04</v>
      </c>
      <c r="D24" s="34">
        <v>0.48749999999999999</v>
      </c>
      <c r="E24" s="34">
        <f t="shared" si="1"/>
        <v>0.27543845469974942</v>
      </c>
    </row>
    <row r="25" spans="1:5">
      <c r="A25" s="31">
        <v>42036</v>
      </c>
      <c r="B25" s="34">
        <v>61.835000000000001</v>
      </c>
      <c r="C25" s="34">
        <v>17.125</v>
      </c>
      <c r="D25" s="34">
        <v>0.47750000000000004</v>
      </c>
      <c r="E25" s="34">
        <f t="shared" si="1"/>
        <v>0.27694671302660306</v>
      </c>
    </row>
    <row r="26" spans="1:5">
      <c r="A26" s="31">
        <v>42064</v>
      </c>
      <c r="B26" s="34">
        <v>62.5</v>
      </c>
      <c r="C26" s="34">
        <v>16.875</v>
      </c>
      <c r="D26" s="34">
        <v>0.47750000000000004</v>
      </c>
      <c r="E26" s="34">
        <f t="shared" si="1"/>
        <v>0.27</v>
      </c>
    </row>
    <row r="27" spans="1:5">
      <c r="A27" s="31">
        <v>42095</v>
      </c>
      <c r="B27" s="34">
        <v>63.424999999999997</v>
      </c>
      <c r="C27" s="34">
        <v>17.802500000000002</v>
      </c>
      <c r="D27" s="34">
        <v>0.49</v>
      </c>
      <c r="E27" s="34">
        <f t="shared" si="1"/>
        <v>0.28068584942845887</v>
      </c>
    </row>
    <row r="28" spans="1:5">
      <c r="A28" s="31">
        <v>42125</v>
      </c>
      <c r="B28" s="34">
        <v>63.814999999999998</v>
      </c>
      <c r="C28" s="34">
        <v>17.41</v>
      </c>
      <c r="D28" s="34">
        <v>0.48249999999999998</v>
      </c>
      <c r="E28" s="34">
        <f t="shared" si="1"/>
        <v>0.27281986993653529</v>
      </c>
    </row>
    <row r="29" spans="1:5">
      <c r="A29" s="31">
        <v>42156</v>
      </c>
      <c r="B29" s="34">
        <v>63.645000000000003</v>
      </c>
      <c r="C29" s="34">
        <v>16.857500000000002</v>
      </c>
      <c r="D29" s="34">
        <v>0.47750000000000004</v>
      </c>
      <c r="E29" s="34">
        <f t="shared" si="1"/>
        <v>0.26486762510802109</v>
      </c>
    </row>
    <row r="30" spans="1:5">
      <c r="A30" s="31">
        <v>42186</v>
      </c>
      <c r="B30" s="34">
        <v>64.137500000000003</v>
      </c>
      <c r="C30" s="34">
        <v>16.795000000000002</v>
      </c>
      <c r="D30" s="34">
        <v>0.47500000000000003</v>
      </c>
      <c r="E30" s="34">
        <f t="shared" si="1"/>
        <v>0.26185928668875463</v>
      </c>
    </row>
    <row r="31" spans="1:5">
      <c r="A31" s="31">
        <v>42217</v>
      </c>
      <c r="B31" s="34">
        <v>66.484999999999999</v>
      </c>
      <c r="C31" s="34">
        <v>15.8475</v>
      </c>
      <c r="D31" s="34">
        <v>0.47250000000000003</v>
      </c>
      <c r="E31" s="34">
        <f t="shared" si="1"/>
        <v>0.23836203654959764</v>
      </c>
    </row>
    <row r="32" spans="1:5">
      <c r="A32" s="31">
        <v>42248</v>
      </c>
      <c r="B32" s="34">
        <v>65.587500000000006</v>
      </c>
      <c r="C32" s="34">
        <v>14.915000000000001</v>
      </c>
      <c r="D32" s="34">
        <v>0.44750000000000001</v>
      </c>
      <c r="E32" s="34">
        <f t="shared" si="1"/>
        <v>0.22740613684009911</v>
      </c>
    </row>
    <row r="33" spans="1:5">
      <c r="A33" s="31">
        <v>42278</v>
      </c>
      <c r="B33" s="34">
        <v>65.27</v>
      </c>
      <c r="C33" s="34">
        <v>15.192500000000001</v>
      </c>
      <c r="D33" s="34">
        <v>0.47750000000000004</v>
      </c>
      <c r="E33" s="34">
        <f t="shared" si="1"/>
        <v>0.23276390378428072</v>
      </c>
    </row>
    <row r="34" spans="1:5">
      <c r="A34" s="31">
        <v>42309</v>
      </c>
      <c r="B34" s="34">
        <v>66.674999999999997</v>
      </c>
      <c r="C34" s="34">
        <v>15.6525</v>
      </c>
      <c r="D34" s="34">
        <v>0.48249999999999998</v>
      </c>
      <c r="E34" s="34">
        <f t="shared" si="1"/>
        <v>0.23475815523059618</v>
      </c>
    </row>
    <row r="35" spans="1:5">
      <c r="A35" s="31">
        <v>42339</v>
      </c>
      <c r="B35" s="34">
        <v>66.155000000000001</v>
      </c>
      <c r="C35" s="34">
        <v>15.407500000000001</v>
      </c>
      <c r="D35" s="34">
        <v>0.48</v>
      </c>
      <c r="E35" s="34">
        <f t="shared" si="1"/>
        <v>0.23290000755800772</v>
      </c>
    </row>
    <row r="36" spans="1:5">
      <c r="A36" s="31">
        <v>42370</v>
      </c>
      <c r="B36" s="34">
        <v>67.784999999999997</v>
      </c>
      <c r="C36" s="34">
        <v>16.315000000000001</v>
      </c>
      <c r="D36" s="34">
        <v>0.49249999999999999</v>
      </c>
      <c r="E36" s="34">
        <f t="shared" si="1"/>
        <v>0.24068746772884861</v>
      </c>
    </row>
    <row r="37" spans="1:5">
      <c r="A37" s="31">
        <v>42401</v>
      </c>
      <c r="B37" s="34">
        <v>68.430000000000007</v>
      </c>
      <c r="C37" s="34">
        <v>16.272500000000001</v>
      </c>
      <c r="D37" s="34">
        <v>0.51249999999999996</v>
      </c>
      <c r="E37" s="34">
        <f t="shared" si="1"/>
        <v>0.23779774952506211</v>
      </c>
    </row>
    <row r="38" spans="1:5">
      <c r="A38" s="31">
        <v>42430</v>
      </c>
      <c r="B38" s="34">
        <v>66.254999999999995</v>
      </c>
      <c r="C38" s="34">
        <v>16.97</v>
      </c>
      <c r="D38" s="34">
        <v>0.5</v>
      </c>
      <c r="E38" s="34">
        <f t="shared" si="1"/>
        <v>0.25613161270847484</v>
      </c>
    </row>
    <row r="39" spans="1:5">
      <c r="A39" s="31">
        <v>42461</v>
      </c>
      <c r="B39" s="34">
        <v>66.33</v>
      </c>
      <c r="C39" s="34">
        <v>16.98</v>
      </c>
      <c r="D39" s="34">
        <v>0.50250000000000006</v>
      </c>
      <c r="E39" s="34">
        <f t="shared" si="1"/>
        <v>0.25599276345545002</v>
      </c>
    </row>
    <row r="40" spans="1:5">
      <c r="A40" s="31">
        <v>42491</v>
      </c>
      <c r="B40" s="34">
        <v>67.265000000000001</v>
      </c>
      <c r="C40" s="34">
        <v>16.3</v>
      </c>
      <c r="D40" s="34">
        <v>0.49249999999999999</v>
      </c>
      <c r="E40" s="34">
        <f t="shared" si="1"/>
        <v>0.24232513194083105</v>
      </c>
    </row>
    <row r="41" spans="1:5">
      <c r="A41" s="31">
        <v>42522</v>
      </c>
      <c r="B41" s="34">
        <v>67.525000000000006</v>
      </c>
      <c r="C41" s="34">
        <v>16.765000000000001</v>
      </c>
      <c r="D41" s="34">
        <v>0.51</v>
      </c>
      <c r="E41" s="34">
        <f t="shared" si="1"/>
        <v>0.24827841540170306</v>
      </c>
    </row>
    <row r="42" spans="1:5">
      <c r="A42" s="31">
        <v>42552</v>
      </c>
      <c r="B42" s="34">
        <v>67.02</v>
      </c>
      <c r="C42" s="34">
        <v>16.465</v>
      </c>
      <c r="D42" s="34">
        <v>0.51249999999999996</v>
      </c>
      <c r="E42" s="34">
        <f t="shared" ref="E42:E43" si="5">C42/B42</f>
        <v>0.24567293345270069</v>
      </c>
    </row>
    <row r="43" spans="1:5">
      <c r="A43" s="31">
        <v>42583</v>
      </c>
      <c r="B43" s="34">
        <v>66.959999999999994</v>
      </c>
      <c r="C43" s="34">
        <v>16.532499999999999</v>
      </c>
      <c r="D43" s="34">
        <v>0.505</v>
      </c>
      <c r="E43" s="34">
        <f t="shared" si="5"/>
        <v>0.24690113500597372</v>
      </c>
    </row>
    <row r="44" spans="1:5">
      <c r="A44" s="31">
        <v>42614</v>
      </c>
      <c r="B44" s="34">
        <v>66.614999999999995</v>
      </c>
      <c r="C44" s="34">
        <v>16.107500000000002</v>
      </c>
      <c r="D44" s="34">
        <v>0.51</v>
      </c>
      <c r="E44" s="34">
        <v>0.24179989491856194</v>
      </c>
    </row>
    <row r="45" spans="1:5">
      <c r="A45" s="31">
        <v>42644</v>
      </c>
      <c r="B45" s="34">
        <v>66.795000000000002</v>
      </c>
      <c r="C45" s="34">
        <v>15.904999999999999</v>
      </c>
      <c r="D45" s="34">
        <v>0.51249999999999996</v>
      </c>
      <c r="E45" s="34">
        <v>0.23811662549592033</v>
      </c>
    </row>
    <row r="46" spans="1:5">
      <c r="A46" s="31">
        <v>42675</v>
      </c>
      <c r="E46" s="34"/>
    </row>
    <row r="47" spans="1:5">
      <c r="A47" s="31">
        <v>42705</v>
      </c>
      <c r="E47" s="34"/>
    </row>
    <row r="48" spans="1:5">
      <c r="A48" s="31">
        <v>42736</v>
      </c>
      <c r="E48" s="34"/>
    </row>
    <row r="49" spans="1:5">
      <c r="A49" s="31">
        <v>42767</v>
      </c>
      <c r="E49" s="34"/>
    </row>
    <row r="50" spans="1:5">
      <c r="A50" s="31">
        <v>42795</v>
      </c>
      <c r="E50" s="34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4"/>
  <sheetViews>
    <sheetView showGridLines="0" topLeftCell="O1" workbookViewId="0">
      <selection activeCell="U64" sqref="U64"/>
    </sheetView>
  </sheetViews>
  <sheetFormatPr defaultRowHeight="12.75"/>
  <cols>
    <col min="1" max="1" width="9.28515625" style="94" bestFit="1" customWidth="1"/>
    <col min="2" max="2" width="7.5703125" style="94" customWidth="1"/>
    <col min="3" max="3" width="6.5703125" style="94" customWidth="1"/>
    <col min="4" max="4" width="7.5703125" style="94" customWidth="1"/>
    <col min="5" max="5" width="6.85546875" style="94" customWidth="1"/>
    <col min="6" max="14" width="6.5703125" style="94" customWidth="1"/>
    <col min="15" max="15" width="6.85546875" style="94" customWidth="1"/>
    <col min="16" max="16" width="6.5703125" style="94" bestFit="1" customWidth="1"/>
    <col min="17" max="17" width="6.85546875" style="94" bestFit="1" customWidth="1"/>
    <col min="18" max="18" width="6.5703125" style="94" customWidth="1"/>
    <col min="19" max="19" width="6.85546875" style="94" customWidth="1"/>
    <col min="20" max="20" width="6.5703125" style="94" customWidth="1"/>
    <col min="21" max="21" width="6.85546875" style="94" customWidth="1"/>
    <col min="22" max="23" width="6.5703125" style="94" customWidth="1"/>
    <col min="24" max="24" width="7.5703125" style="97" customWidth="1"/>
    <col min="25" max="25" width="6.5703125" style="97" customWidth="1"/>
    <col min="26" max="26" width="9.140625" style="94" customWidth="1"/>
    <col min="27" max="33" width="9.140625" style="126" customWidth="1"/>
    <col min="34" max="35" width="9.140625" style="94" customWidth="1"/>
    <col min="36" max="36" width="7" style="94" customWidth="1"/>
    <col min="37" max="37" width="9.140625" style="94" customWidth="1"/>
    <col min="38" max="38" width="8.7109375" style="94" bestFit="1" customWidth="1"/>
    <col min="39" max="39" width="9.140625" style="94"/>
    <col min="40" max="40" width="10.5703125" style="94" bestFit="1" customWidth="1"/>
    <col min="41" max="16384" width="9.140625" style="94"/>
  </cols>
  <sheetData>
    <row r="1" spans="1:40" ht="25.5" customHeight="1">
      <c r="A1" s="432" t="s">
        <v>28</v>
      </c>
      <c r="B1" s="430" t="s">
        <v>91</v>
      </c>
      <c r="C1" s="431"/>
      <c r="D1" s="434" t="s">
        <v>92</v>
      </c>
      <c r="E1" s="434"/>
      <c r="F1" s="430" t="s">
        <v>93</v>
      </c>
      <c r="G1" s="431"/>
      <c r="H1" s="434" t="s">
        <v>94</v>
      </c>
      <c r="I1" s="434"/>
      <c r="J1" s="435" t="s">
        <v>95</v>
      </c>
      <c r="K1" s="436"/>
      <c r="L1" s="434" t="s">
        <v>96</v>
      </c>
      <c r="M1" s="434"/>
      <c r="N1" s="430" t="s">
        <v>37</v>
      </c>
      <c r="O1" s="431"/>
      <c r="P1" s="434" t="s">
        <v>97</v>
      </c>
      <c r="Q1" s="434"/>
      <c r="R1" s="430" t="s">
        <v>98</v>
      </c>
      <c r="S1" s="431"/>
      <c r="T1" s="434" t="s">
        <v>99</v>
      </c>
      <c r="U1" s="434"/>
      <c r="V1" s="430" t="s">
        <v>65</v>
      </c>
      <c r="W1" s="431"/>
      <c r="X1" s="437" t="s">
        <v>20</v>
      </c>
      <c r="Y1" s="437"/>
      <c r="AA1" s="95"/>
      <c r="AB1" s="438" t="s">
        <v>100</v>
      </c>
      <c r="AC1" s="439"/>
      <c r="AD1" s="438" t="s">
        <v>95</v>
      </c>
      <c r="AE1" s="440"/>
      <c r="AF1" s="441" t="s">
        <v>101</v>
      </c>
      <c r="AG1" s="441"/>
      <c r="AI1" s="442" t="s">
        <v>102</v>
      </c>
      <c r="AJ1" s="442"/>
      <c r="AL1" s="96" t="s">
        <v>103</v>
      </c>
      <c r="AN1" s="97" t="s">
        <v>106</v>
      </c>
    </row>
    <row r="2" spans="1:40">
      <c r="A2" s="433"/>
      <c r="B2" s="98" t="s">
        <v>38</v>
      </c>
      <c r="C2" s="99" t="s">
        <v>41</v>
      </c>
      <c r="D2" s="100" t="s">
        <v>38</v>
      </c>
      <c r="E2" s="101" t="s">
        <v>41</v>
      </c>
      <c r="F2" s="98" t="s">
        <v>38</v>
      </c>
      <c r="G2" s="99" t="s">
        <v>41</v>
      </c>
      <c r="H2" s="100" t="s">
        <v>38</v>
      </c>
      <c r="I2" s="101" t="s">
        <v>41</v>
      </c>
      <c r="J2" s="102" t="s">
        <v>38</v>
      </c>
      <c r="K2" s="103" t="s">
        <v>41</v>
      </c>
      <c r="L2" s="100" t="s">
        <v>38</v>
      </c>
      <c r="M2" s="101" t="s">
        <v>41</v>
      </c>
      <c r="N2" s="98" t="s">
        <v>38</v>
      </c>
      <c r="O2" s="99" t="s">
        <v>41</v>
      </c>
      <c r="P2" s="100" t="s">
        <v>38</v>
      </c>
      <c r="Q2" s="101" t="s">
        <v>41</v>
      </c>
      <c r="R2" s="98" t="s">
        <v>38</v>
      </c>
      <c r="S2" s="99" t="s">
        <v>41</v>
      </c>
      <c r="T2" s="100" t="s">
        <v>38</v>
      </c>
      <c r="U2" s="101" t="s">
        <v>41</v>
      </c>
      <c r="V2" s="98" t="s">
        <v>38</v>
      </c>
      <c r="W2" s="99" t="s">
        <v>41</v>
      </c>
      <c r="X2" s="104" t="s">
        <v>38</v>
      </c>
      <c r="Y2" s="105" t="s">
        <v>41</v>
      </c>
      <c r="AA2" s="106" t="s">
        <v>28</v>
      </c>
      <c r="AB2" s="100" t="s">
        <v>38</v>
      </c>
      <c r="AC2" s="101" t="s">
        <v>41</v>
      </c>
      <c r="AD2" s="98" t="s">
        <v>38</v>
      </c>
      <c r="AE2" s="99" t="s">
        <v>41</v>
      </c>
      <c r="AF2" s="101" t="s">
        <v>104</v>
      </c>
      <c r="AG2" s="101" t="s">
        <v>105</v>
      </c>
      <c r="AI2" s="107" t="s">
        <v>38</v>
      </c>
      <c r="AJ2" s="108" t="s">
        <v>41</v>
      </c>
      <c r="AL2" s="108" t="s">
        <v>41</v>
      </c>
      <c r="AN2" s="109" t="s">
        <v>40</v>
      </c>
    </row>
    <row r="3" spans="1:40">
      <c r="A3" s="110">
        <v>40179</v>
      </c>
      <c r="B3" s="111">
        <v>254.7</v>
      </c>
      <c r="C3" s="112">
        <v>1158.2253631723595</v>
      </c>
      <c r="D3" s="113">
        <v>185.65</v>
      </c>
      <c r="E3" s="114">
        <v>974.95286830056557</v>
      </c>
      <c r="F3" s="111">
        <v>741.72500000000002</v>
      </c>
      <c r="G3" s="112">
        <v>1088.0043142674172</v>
      </c>
      <c r="H3" s="113">
        <v>358.91</v>
      </c>
      <c r="I3" s="114">
        <v>1050.4026078961299</v>
      </c>
      <c r="J3" s="115">
        <v>239.6</v>
      </c>
      <c r="K3" s="116">
        <v>1106.0100166944908</v>
      </c>
      <c r="L3" s="113">
        <v>344.31</v>
      </c>
      <c r="M3" s="114">
        <v>1112.3696668699718</v>
      </c>
      <c r="N3" s="111">
        <v>22.8</v>
      </c>
      <c r="O3" s="112">
        <v>1491.2280701754385</v>
      </c>
      <c r="P3" s="113">
        <v>901.64</v>
      </c>
      <c r="Q3" s="114">
        <v>1144.5809857592831</v>
      </c>
      <c r="R3" s="111"/>
      <c r="S3" s="112"/>
      <c r="T3" s="113"/>
      <c r="U3" s="114"/>
      <c r="V3" s="111">
        <v>555.20000000000005</v>
      </c>
      <c r="W3" s="112">
        <v>1215.7780979827089</v>
      </c>
      <c r="X3" s="117">
        <v>3604.5349999999999</v>
      </c>
      <c r="Y3" s="118">
        <v>1123.307167221292</v>
      </c>
      <c r="AA3" s="119">
        <v>40179</v>
      </c>
      <c r="AB3" s="120">
        <f t="shared" ref="AB3:AB66" si="0">B3+D3+F3+H3+L3+N3+P3+R3+T3+V3</f>
        <v>3364.9350000000004</v>
      </c>
      <c r="AC3" s="113">
        <f t="shared" ref="AC3:AC66" si="1">(B3*C3+D3*E3+F3*G3+H3*I3+L3*M3+N3*O3+P3*Q3+R3*S3+T3*U3+V3*W3)/AB3</f>
        <v>1124.5388098135625</v>
      </c>
      <c r="AD3" s="121">
        <f t="shared" ref="AD3:AE34" si="2">J3</f>
        <v>239.6</v>
      </c>
      <c r="AE3" s="122">
        <f t="shared" si="2"/>
        <v>1106.0100166944908</v>
      </c>
      <c r="AF3" s="123">
        <f>AD3/X3</f>
        <v>6.6471819527345419E-2</v>
      </c>
      <c r="AG3" s="123">
        <f>(AE3-AC3)/AE3</f>
        <v>-1.6752825778602168E-2</v>
      </c>
      <c r="AI3" s="120">
        <v>1082.6499999999999</v>
      </c>
      <c r="AJ3" s="120">
        <v>1220.2665538575702</v>
      </c>
      <c r="AL3" s="120">
        <v>1402.5</v>
      </c>
      <c r="AN3" s="124">
        <f>(AL3-Y3)/AL3</f>
        <v>0.19906797346075433</v>
      </c>
    </row>
    <row r="4" spans="1:40">
      <c r="A4" s="110">
        <v>40210</v>
      </c>
      <c r="B4" s="111">
        <v>2781.69</v>
      </c>
      <c r="C4" s="112">
        <v>1274.4051278179811</v>
      </c>
      <c r="D4" s="113">
        <v>1077.4000000000001</v>
      </c>
      <c r="E4" s="114">
        <v>922.59142379803222</v>
      </c>
      <c r="F4" s="111">
        <v>465.51</v>
      </c>
      <c r="G4" s="112">
        <v>1003.2007905308155</v>
      </c>
      <c r="H4" s="113">
        <v>637.36</v>
      </c>
      <c r="I4" s="114">
        <v>996.29722605748714</v>
      </c>
      <c r="J4" s="115">
        <v>15</v>
      </c>
      <c r="K4" s="116">
        <v>1066.6666666666667</v>
      </c>
      <c r="L4" s="113">
        <v>276</v>
      </c>
      <c r="M4" s="114">
        <v>992.75362318840575</v>
      </c>
      <c r="N4" s="111">
        <v>167.36</v>
      </c>
      <c r="O4" s="112">
        <v>1141.2523900573615</v>
      </c>
      <c r="P4" s="113">
        <v>1001.08</v>
      </c>
      <c r="Q4" s="114">
        <v>764.17469133335999</v>
      </c>
      <c r="R4" s="111">
        <v>254.9</v>
      </c>
      <c r="S4" s="112">
        <v>1290.7022361710474</v>
      </c>
      <c r="T4" s="113">
        <v>38</v>
      </c>
      <c r="U4" s="114">
        <v>1315.7894736842106</v>
      </c>
      <c r="V4" s="111">
        <v>502</v>
      </c>
      <c r="W4" s="112">
        <v>1322.7091633466134</v>
      </c>
      <c r="X4" s="117">
        <v>7216.3</v>
      </c>
      <c r="Y4" s="118">
        <v>1098.901098901099</v>
      </c>
      <c r="AA4" s="119">
        <v>40210</v>
      </c>
      <c r="AB4" s="120">
        <f t="shared" si="0"/>
        <v>7201.2999999999993</v>
      </c>
      <c r="AC4" s="113">
        <f t="shared" si="1"/>
        <v>1098.9682418452226</v>
      </c>
      <c r="AD4" s="121">
        <f t="shared" si="2"/>
        <v>15</v>
      </c>
      <c r="AE4" s="122">
        <f t="shared" si="2"/>
        <v>1066.6666666666667</v>
      </c>
      <c r="AF4" s="123">
        <f t="shared" ref="AF4:AF67" si="3">AD4/X4</f>
        <v>2.0786275515153195E-3</v>
      </c>
      <c r="AG4" s="123">
        <f t="shared" ref="AG4:AG67" si="4">(AE4-AC4)/AE4</f>
        <v>-3.028272672989608E-2</v>
      </c>
      <c r="AI4" s="120">
        <v>30.199999999999996</v>
      </c>
      <c r="AJ4" s="120">
        <v>1599.6125863305015</v>
      </c>
      <c r="AL4" s="120">
        <v>1468.75</v>
      </c>
      <c r="AN4" s="124">
        <f t="shared" ref="AN4:AN67" si="5">(AL4-Y4)/AL4</f>
        <v>0.25181201776946455</v>
      </c>
    </row>
    <row r="5" spans="1:40">
      <c r="A5" s="110">
        <v>40238</v>
      </c>
      <c r="B5" s="111">
        <v>1491.6289999999999</v>
      </c>
      <c r="C5" s="112">
        <v>1300.5915009697451</v>
      </c>
      <c r="D5" s="113">
        <v>1450.62</v>
      </c>
      <c r="E5" s="114">
        <v>1001.6406777791565</v>
      </c>
      <c r="F5" s="111">
        <v>530.97</v>
      </c>
      <c r="G5" s="112">
        <v>1075.3903233704352</v>
      </c>
      <c r="H5" s="113">
        <v>190.31</v>
      </c>
      <c r="I5" s="114">
        <v>1119.2265251431875</v>
      </c>
      <c r="J5" s="115">
        <v>96.01</v>
      </c>
      <c r="K5" s="116">
        <v>1426.9346943026769</v>
      </c>
      <c r="L5" s="113">
        <v>276.39999999999998</v>
      </c>
      <c r="M5" s="114">
        <v>1031.1143270622288</v>
      </c>
      <c r="N5" s="111">
        <v>64.510000000000005</v>
      </c>
      <c r="O5" s="112">
        <v>1379.6310649511702</v>
      </c>
      <c r="P5" s="113">
        <v>800.63</v>
      </c>
      <c r="Q5" s="114">
        <v>985.47393927282269</v>
      </c>
      <c r="R5" s="111">
        <v>499.24</v>
      </c>
      <c r="S5" s="112">
        <v>1311.9942312314718</v>
      </c>
      <c r="T5" s="113"/>
      <c r="U5" s="114"/>
      <c r="V5" s="111">
        <v>530.53599999999994</v>
      </c>
      <c r="W5" s="112">
        <v>1170.5143477539698</v>
      </c>
      <c r="X5" s="117">
        <v>5930.8549999999996</v>
      </c>
      <c r="Y5" s="118">
        <v>1138.6216658475043</v>
      </c>
      <c r="AA5" s="119">
        <v>40238</v>
      </c>
      <c r="AB5" s="120">
        <f t="shared" si="0"/>
        <v>5834.8450000000003</v>
      </c>
      <c r="AC5" s="113">
        <f t="shared" si="1"/>
        <v>1133.8775922925115</v>
      </c>
      <c r="AD5" s="121">
        <f t="shared" si="2"/>
        <v>96.01</v>
      </c>
      <c r="AE5" s="122">
        <f t="shared" si="2"/>
        <v>1426.9346943026769</v>
      </c>
      <c r="AF5" s="123">
        <f t="shared" si="3"/>
        <v>1.6188222440103494E-2</v>
      </c>
      <c r="AG5" s="123">
        <f t="shared" si="4"/>
        <v>0.20537527272989767</v>
      </c>
      <c r="AI5" s="120">
        <v>678.7299999999999</v>
      </c>
      <c r="AJ5" s="120">
        <v>1336.0596141438045</v>
      </c>
      <c r="AL5" s="120">
        <v>1550</v>
      </c>
      <c r="AN5" s="124">
        <f t="shared" si="5"/>
        <v>0.26540537687257781</v>
      </c>
    </row>
    <row r="6" spans="1:40">
      <c r="A6" s="110">
        <v>40269</v>
      </c>
      <c r="B6" s="111">
        <v>855.49</v>
      </c>
      <c r="C6" s="112">
        <v>1372.3129434593041</v>
      </c>
      <c r="D6" s="113">
        <v>175.24</v>
      </c>
      <c r="E6" s="114">
        <v>1455.1472266605799</v>
      </c>
      <c r="F6" s="111">
        <v>959.20500000000004</v>
      </c>
      <c r="G6" s="112">
        <v>1243.7383041164298</v>
      </c>
      <c r="H6" s="113">
        <v>552.59</v>
      </c>
      <c r="I6" s="114">
        <v>1123.7988381983025</v>
      </c>
      <c r="J6" s="115">
        <v>22</v>
      </c>
      <c r="K6" s="116">
        <v>1136.3636363636365</v>
      </c>
      <c r="L6" s="113">
        <v>606.4</v>
      </c>
      <c r="M6" s="114">
        <v>1014.1820580474933</v>
      </c>
      <c r="N6" s="111">
        <v>105.54</v>
      </c>
      <c r="O6" s="112">
        <v>1383.3617585749478</v>
      </c>
      <c r="P6" s="113"/>
      <c r="Q6" s="114"/>
      <c r="R6" s="111"/>
      <c r="S6" s="112"/>
      <c r="T6" s="113"/>
      <c r="U6" s="114"/>
      <c r="V6" s="111">
        <v>355.02</v>
      </c>
      <c r="W6" s="112">
        <v>1216.8328544870712</v>
      </c>
      <c r="X6" s="117">
        <v>3631.4850000000001</v>
      </c>
      <c r="Y6" s="118">
        <v>1228.4230831188893</v>
      </c>
      <c r="AA6" s="119">
        <v>40269</v>
      </c>
      <c r="AB6" s="120">
        <f t="shared" si="0"/>
        <v>3609.4850000000001</v>
      </c>
      <c r="AC6" s="113">
        <f t="shared" si="1"/>
        <v>1228.9841902653702</v>
      </c>
      <c r="AD6" s="121">
        <f t="shared" si="2"/>
        <v>22</v>
      </c>
      <c r="AE6" s="122">
        <f t="shared" si="2"/>
        <v>1136.3636363636365</v>
      </c>
      <c r="AF6" s="123">
        <f t="shared" si="3"/>
        <v>6.0581277356233053E-3</v>
      </c>
      <c r="AG6" s="123">
        <f t="shared" si="4"/>
        <v>-8.1506087433525679E-2</v>
      </c>
      <c r="AI6" s="120">
        <v>1551.7919999999999</v>
      </c>
      <c r="AJ6" s="120">
        <v>1362.0064908638449</v>
      </c>
      <c r="AL6" s="120">
        <v>1637.5</v>
      </c>
      <c r="AN6" s="124">
        <f t="shared" si="5"/>
        <v>0.24981796450754853</v>
      </c>
    </row>
    <row r="7" spans="1:40">
      <c r="A7" s="110">
        <v>40299</v>
      </c>
      <c r="B7" s="111">
        <v>1924.98</v>
      </c>
      <c r="C7" s="112">
        <v>1363.1310455173559</v>
      </c>
      <c r="D7" s="113">
        <v>1361.23</v>
      </c>
      <c r="E7" s="114">
        <v>1106.3523431014596</v>
      </c>
      <c r="F7" s="111">
        <v>595.55999999999995</v>
      </c>
      <c r="G7" s="112">
        <v>1260.9980522533415</v>
      </c>
      <c r="H7" s="113">
        <v>1001.41</v>
      </c>
      <c r="I7" s="114">
        <v>1100.4483678014001</v>
      </c>
      <c r="J7" s="115">
        <v>46.2</v>
      </c>
      <c r="K7" s="116">
        <v>1450.2164502164503</v>
      </c>
      <c r="L7" s="113">
        <v>362.8</v>
      </c>
      <c r="M7" s="114">
        <v>1006.06394707828</v>
      </c>
      <c r="N7" s="111">
        <v>75.5</v>
      </c>
      <c r="O7" s="112">
        <v>675.49668874172187</v>
      </c>
      <c r="P7" s="113">
        <v>1161.5899999999999</v>
      </c>
      <c r="Q7" s="114">
        <v>1111.4076395285772</v>
      </c>
      <c r="R7" s="111"/>
      <c r="S7" s="112"/>
      <c r="T7" s="113">
        <v>14</v>
      </c>
      <c r="U7" s="114">
        <v>1642.8571428571429</v>
      </c>
      <c r="V7" s="111">
        <v>438.02</v>
      </c>
      <c r="W7" s="112">
        <v>1251.0844253687046</v>
      </c>
      <c r="X7" s="117">
        <v>6981.29</v>
      </c>
      <c r="Y7" s="118">
        <v>1192.9027443352161</v>
      </c>
      <c r="AA7" s="119">
        <v>40299</v>
      </c>
      <c r="AB7" s="120">
        <f t="shared" si="0"/>
        <v>6935.09</v>
      </c>
      <c r="AC7" s="113">
        <f t="shared" si="1"/>
        <v>1191.1885786630021</v>
      </c>
      <c r="AD7" s="121">
        <f t="shared" si="2"/>
        <v>46.2</v>
      </c>
      <c r="AE7" s="122">
        <f t="shared" si="2"/>
        <v>1450.2164502164503</v>
      </c>
      <c r="AF7" s="123">
        <f t="shared" si="3"/>
        <v>6.6176881350008387E-3</v>
      </c>
      <c r="AG7" s="123">
        <f t="shared" si="4"/>
        <v>0.17861324874282547</v>
      </c>
      <c r="AI7" s="120">
        <v>1119.8280000000002</v>
      </c>
      <c r="AJ7" s="120">
        <v>1552.3434670417057</v>
      </c>
      <c r="AL7" s="120">
        <v>1718.75</v>
      </c>
      <c r="AN7" s="124">
        <f t="shared" si="5"/>
        <v>0.3059474942049652</v>
      </c>
    </row>
    <row r="8" spans="1:40">
      <c r="A8" s="110">
        <v>40330</v>
      </c>
      <c r="B8" s="111">
        <v>2647.37</v>
      </c>
      <c r="C8" s="112">
        <v>1317.5340054469154</v>
      </c>
      <c r="D8" s="113">
        <v>918.91</v>
      </c>
      <c r="E8" s="114">
        <v>1201.4234255803071</v>
      </c>
      <c r="F8" s="111">
        <v>1166.3800000000001</v>
      </c>
      <c r="G8" s="112">
        <v>1359.7626845453453</v>
      </c>
      <c r="H8" s="113">
        <v>614.04999999999995</v>
      </c>
      <c r="I8" s="114">
        <v>1053.6601253969545</v>
      </c>
      <c r="J8" s="115">
        <v>361.2</v>
      </c>
      <c r="K8" s="116">
        <v>1160.0221483942414</v>
      </c>
      <c r="L8" s="113">
        <v>320.2</v>
      </c>
      <c r="M8" s="114">
        <v>1049.3441599000623</v>
      </c>
      <c r="N8" s="111">
        <v>141.72</v>
      </c>
      <c r="O8" s="112">
        <v>783.23454699407284</v>
      </c>
      <c r="P8" s="113">
        <v>753.69</v>
      </c>
      <c r="Q8" s="114">
        <v>2632.3820138253127</v>
      </c>
      <c r="R8" s="111">
        <v>500.68</v>
      </c>
      <c r="S8" s="112">
        <v>1495.9654869377646</v>
      </c>
      <c r="T8" s="113"/>
      <c r="U8" s="114"/>
      <c r="V8" s="111">
        <v>444.25</v>
      </c>
      <c r="W8" s="112">
        <v>1350.5908835115363</v>
      </c>
      <c r="X8" s="117">
        <v>7868.45</v>
      </c>
      <c r="Y8" s="118">
        <v>1401.0383239392766</v>
      </c>
      <c r="AA8" s="119">
        <v>40330</v>
      </c>
      <c r="AB8" s="120">
        <f t="shared" si="0"/>
        <v>7507.25</v>
      </c>
      <c r="AC8" s="113">
        <f t="shared" si="1"/>
        <v>1412.6344533617503</v>
      </c>
      <c r="AD8" s="121">
        <f t="shared" si="2"/>
        <v>361.2</v>
      </c>
      <c r="AE8" s="122">
        <f t="shared" si="2"/>
        <v>1160.0221483942414</v>
      </c>
      <c r="AF8" s="123">
        <f t="shared" si="3"/>
        <v>4.5904847841696905E-2</v>
      </c>
      <c r="AG8" s="123">
        <f t="shared" si="4"/>
        <v>-0.21776507053523675</v>
      </c>
      <c r="AI8" s="120">
        <v>879.32</v>
      </c>
      <c r="AJ8" s="120">
        <v>1458.2031420118449</v>
      </c>
      <c r="AL8" s="120">
        <v>1783</v>
      </c>
      <c r="AN8" s="124">
        <f t="shared" si="5"/>
        <v>0.2142241593161657</v>
      </c>
    </row>
    <row r="9" spans="1:40">
      <c r="A9" s="110">
        <v>40360</v>
      </c>
      <c r="B9" s="111">
        <v>2428.48</v>
      </c>
      <c r="C9" s="112">
        <v>1421.877058901041</v>
      </c>
      <c r="D9" s="113">
        <v>559.57899999999995</v>
      </c>
      <c r="E9" s="114">
        <v>1329.570981041104</v>
      </c>
      <c r="F9" s="111">
        <v>1540.55</v>
      </c>
      <c r="G9" s="112">
        <v>1439.0964266008891</v>
      </c>
      <c r="H9" s="113">
        <v>717.68</v>
      </c>
      <c r="I9" s="114">
        <v>1149.5373982833573</v>
      </c>
      <c r="J9" s="115">
        <v>35.200000000000003</v>
      </c>
      <c r="K9" s="116">
        <v>1590.9090909090908</v>
      </c>
      <c r="L9" s="113">
        <v>296.8</v>
      </c>
      <c r="M9" s="114">
        <v>1020.8894878706199</v>
      </c>
      <c r="N9" s="111">
        <v>274.83999999999997</v>
      </c>
      <c r="O9" s="112">
        <v>1459.030708776015</v>
      </c>
      <c r="P9" s="113">
        <v>1051.3399999999999</v>
      </c>
      <c r="Q9" s="114">
        <v>1158.5215058877243</v>
      </c>
      <c r="R9" s="111"/>
      <c r="S9" s="112"/>
      <c r="T9" s="113">
        <v>47.75</v>
      </c>
      <c r="U9" s="114">
        <v>1424.0837696335077</v>
      </c>
      <c r="V9" s="111">
        <v>447.1</v>
      </c>
      <c r="W9" s="112">
        <v>1321.851934690226</v>
      </c>
      <c r="X9" s="117">
        <v>7399.3190000000004</v>
      </c>
      <c r="Y9" s="118">
        <v>1334.7174246711081</v>
      </c>
      <c r="AA9" s="119">
        <v>40360</v>
      </c>
      <c r="AB9" s="120">
        <f t="shared" si="0"/>
        <v>7364.1190000000015</v>
      </c>
      <c r="AC9" s="113">
        <f t="shared" si="1"/>
        <v>1333.4928455121376</v>
      </c>
      <c r="AD9" s="121">
        <f t="shared" si="2"/>
        <v>35.200000000000003</v>
      </c>
      <c r="AE9" s="122">
        <f t="shared" si="2"/>
        <v>1590.9090909090908</v>
      </c>
      <c r="AF9" s="123">
        <f t="shared" si="3"/>
        <v>4.7571945472279272E-3</v>
      </c>
      <c r="AG9" s="123">
        <f t="shared" si="4"/>
        <v>0.16180449710665629</v>
      </c>
      <c r="AI9" s="120">
        <v>862.24034000000006</v>
      </c>
      <c r="AJ9" s="120">
        <v>1742.7544238319883</v>
      </c>
      <c r="AL9" s="120">
        <v>1887.5</v>
      </c>
      <c r="AN9" s="124">
        <f t="shared" si="5"/>
        <v>0.29286494057159834</v>
      </c>
    </row>
    <row r="10" spans="1:40">
      <c r="A10" s="110">
        <v>40391</v>
      </c>
      <c r="B10" s="111">
        <v>4388</v>
      </c>
      <c r="C10" s="112">
        <v>1511.1668185961712</v>
      </c>
      <c r="D10" s="113">
        <v>1024.67</v>
      </c>
      <c r="E10" s="114">
        <v>1455.102618403974</v>
      </c>
      <c r="F10" s="111">
        <v>1021.785</v>
      </c>
      <c r="G10" s="112">
        <v>1238.0295267595434</v>
      </c>
      <c r="H10" s="113">
        <v>564.70000000000005</v>
      </c>
      <c r="I10" s="114">
        <v>1105.011510536568</v>
      </c>
      <c r="J10" s="115">
        <v>225.2</v>
      </c>
      <c r="K10" s="116">
        <v>1225.5772646536411</v>
      </c>
      <c r="L10" s="113">
        <v>238</v>
      </c>
      <c r="M10" s="114">
        <v>987.39495798319331</v>
      </c>
      <c r="N10" s="111">
        <v>262.97000000000003</v>
      </c>
      <c r="O10" s="112">
        <v>1574.3240673841124</v>
      </c>
      <c r="P10" s="113">
        <v>1049.57</v>
      </c>
      <c r="Q10" s="114">
        <v>1495.8506817077471</v>
      </c>
      <c r="R10" s="111"/>
      <c r="S10" s="112"/>
      <c r="T10" s="113"/>
      <c r="U10" s="114"/>
      <c r="V10" s="111">
        <v>422.68</v>
      </c>
      <c r="W10" s="112">
        <v>1395.8550203463612</v>
      </c>
      <c r="X10" s="117">
        <v>9197.5750000000007</v>
      </c>
      <c r="Y10" s="118">
        <v>1423.8535700986401</v>
      </c>
      <c r="AA10" s="119">
        <v>40391</v>
      </c>
      <c r="AB10" s="120">
        <f t="shared" si="0"/>
        <v>8972.375</v>
      </c>
      <c r="AC10" s="113">
        <f t="shared" si="1"/>
        <v>1428.8301592387745</v>
      </c>
      <c r="AD10" s="121">
        <f t="shared" si="2"/>
        <v>225.2</v>
      </c>
      <c r="AE10" s="122">
        <f t="shared" si="2"/>
        <v>1225.5772646536411</v>
      </c>
      <c r="AF10" s="123">
        <f t="shared" si="3"/>
        <v>2.4484714720999827E-2</v>
      </c>
      <c r="AG10" s="123">
        <f t="shared" si="4"/>
        <v>-0.16584257920497117</v>
      </c>
      <c r="AI10" s="120">
        <v>856.20999999999992</v>
      </c>
      <c r="AJ10" s="120">
        <v>1854.0571816166789</v>
      </c>
      <c r="AL10" s="120">
        <v>1971.25</v>
      </c>
      <c r="AN10" s="124">
        <f t="shared" si="5"/>
        <v>0.27769000882757633</v>
      </c>
    </row>
    <row r="11" spans="1:40">
      <c r="A11" s="110">
        <v>40422</v>
      </c>
      <c r="B11" s="111">
        <v>3137.37</v>
      </c>
      <c r="C11" s="112">
        <v>1489.4641052856375</v>
      </c>
      <c r="D11" s="113">
        <v>971.04</v>
      </c>
      <c r="E11" s="114">
        <v>1463.3794694348328</v>
      </c>
      <c r="F11" s="111">
        <v>765.56500000000005</v>
      </c>
      <c r="G11" s="112">
        <v>1218.7077517911609</v>
      </c>
      <c r="H11" s="113">
        <v>336.69</v>
      </c>
      <c r="I11" s="114">
        <v>1217.7373845377053</v>
      </c>
      <c r="J11" s="115">
        <v>149.49</v>
      </c>
      <c r="K11" s="116">
        <v>1418.1550605391665</v>
      </c>
      <c r="L11" s="113">
        <v>376.2</v>
      </c>
      <c r="M11" s="114">
        <v>970.22860180754924</v>
      </c>
      <c r="N11" s="111">
        <v>235.7</v>
      </c>
      <c r="O11" s="112">
        <v>1692.8298684768774</v>
      </c>
      <c r="P11" s="113">
        <v>712.05</v>
      </c>
      <c r="Q11" s="114">
        <v>1484.4463169721228</v>
      </c>
      <c r="R11" s="111"/>
      <c r="S11" s="112"/>
      <c r="T11" s="113">
        <v>42</v>
      </c>
      <c r="U11" s="114">
        <v>1761.9047619047619</v>
      </c>
      <c r="V11" s="111">
        <v>297.04000000000002</v>
      </c>
      <c r="W11" s="112">
        <v>1413.9509830325883</v>
      </c>
      <c r="X11" s="117">
        <v>7023.1450000000004</v>
      </c>
      <c r="Y11" s="118">
        <v>1418.7376168369015</v>
      </c>
      <c r="AA11" s="119">
        <v>40422</v>
      </c>
      <c r="AB11" s="120">
        <f t="shared" si="0"/>
        <v>6873.6549999999997</v>
      </c>
      <c r="AC11" s="113">
        <f t="shared" si="1"/>
        <v>1418.7502864196706</v>
      </c>
      <c r="AD11" s="121">
        <f t="shared" si="2"/>
        <v>149.49</v>
      </c>
      <c r="AE11" s="122">
        <f t="shared" si="2"/>
        <v>1418.1550605391665</v>
      </c>
      <c r="AF11" s="123">
        <f t="shared" si="3"/>
        <v>2.1285335843130106E-2</v>
      </c>
      <c r="AG11" s="123">
        <f t="shared" si="4"/>
        <v>-4.1971847583284223E-4</v>
      </c>
      <c r="AI11" s="120">
        <v>973.71000000000026</v>
      </c>
      <c r="AJ11" s="120">
        <v>1737.7166624853101</v>
      </c>
      <c r="AL11" s="120">
        <v>2067</v>
      </c>
      <c r="AN11" s="124">
        <f t="shared" si="5"/>
        <v>0.31362476205278111</v>
      </c>
    </row>
    <row r="12" spans="1:40">
      <c r="A12" s="110">
        <v>40452</v>
      </c>
      <c r="B12" s="111">
        <v>2190.56</v>
      </c>
      <c r="C12" s="112">
        <v>1694.5438609305384</v>
      </c>
      <c r="D12" s="113">
        <v>591.46</v>
      </c>
      <c r="E12" s="114">
        <v>1634.9372738646739</v>
      </c>
      <c r="F12" s="111">
        <v>620.42999999999995</v>
      </c>
      <c r="G12" s="112">
        <v>1092.7904840191479</v>
      </c>
      <c r="H12" s="113">
        <v>633.6</v>
      </c>
      <c r="I12" s="114">
        <v>1305.2398989898991</v>
      </c>
      <c r="J12" s="115">
        <v>53.52</v>
      </c>
      <c r="K12" s="116">
        <v>1812.4065769805679</v>
      </c>
      <c r="L12" s="113">
        <v>392</v>
      </c>
      <c r="M12" s="114">
        <v>1007.6530612244899</v>
      </c>
      <c r="N12" s="111">
        <v>299.45999999999998</v>
      </c>
      <c r="O12" s="112">
        <v>1629.5999465704936</v>
      </c>
      <c r="P12" s="113">
        <v>104.13</v>
      </c>
      <c r="Q12" s="114">
        <v>1536.540862383559</v>
      </c>
      <c r="R12" s="111">
        <v>14</v>
      </c>
      <c r="S12" s="112">
        <v>1500</v>
      </c>
      <c r="T12" s="113">
        <v>16</v>
      </c>
      <c r="U12" s="114">
        <v>6250</v>
      </c>
      <c r="V12" s="111">
        <v>340.67</v>
      </c>
      <c r="W12" s="112">
        <v>1309.1848416356004</v>
      </c>
      <c r="X12" s="117">
        <v>5255.83</v>
      </c>
      <c r="Y12" s="118">
        <v>1501.3803718917848</v>
      </c>
      <c r="AA12" s="119">
        <v>40452</v>
      </c>
      <c r="AB12" s="120">
        <f t="shared" si="0"/>
        <v>5202.3099999999995</v>
      </c>
      <c r="AC12" s="113">
        <f t="shared" si="1"/>
        <v>1498.1806159186979</v>
      </c>
      <c r="AD12" s="121">
        <f t="shared" si="2"/>
        <v>53.52</v>
      </c>
      <c r="AE12" s="122">
        <f t="shared" si="2"/>
        <v>1812.4065769805679</v>
      </c>
      <c r="AF12" s="123">
        <f t="shared" si="3"/>
        <v>1.0182977759935159E-2</v>
      </c>
      <c r="AG12" s="123">
        <f t="shared" si="4"/>
        <v>0.17337498387661121</v>
      </c>
      <c r="AI12" s="120">
        <v>660.94999999999993</v>
      </c>
      <c r="AJ12" s="120">
        <v>2053.8247432257931</v>
      </c>
      <c r="AL12" s="120">
        <v>2262.5</v>
      </c>
      <c r="AN12" s="124">
        <f t="shared" si="5"/>
        <v>0.3364064654621946</v>
      </c>
    </row>
    <row r="13" spans="1:40">
      <c r="A13" s="110">
        <v>40483</v>
      </c>
      <c r="B13" s="111">
        <v>3226.31</v>
      </c>
      <c r="C13" s="112">
        <v>1768.8938756660086</v>
      </c>
      <c r="D13" s="113">
        <v>2199.7399999999998</v>
      </c>
      <c r="E13" s="114">
        <v>1610.1902952167075</v>
      </c>
      <c r="F13" s="111">
        <v>690.5</v>
      </c>
      <c r="G13" s="112">
        <v>1112.237509051412</v>
      </c>
      <c r="H13" s="113">
        <v>759</v>
      </c>
      <c r="I13" s="114">
        <v>1397.8919631093545</v>
      </c>
      <c r="J13" s="115">
        <v>65.599999999999994</v>
      </c>
      <c r="K13" s="116">
        <v>2088.4146341463415</v>
      </c>
      <c r="L13" s="113">
        <v>391.2</v>
      </c>
      <c r="M13" s="114">
        <v>971.37014314928422</v>
      </c>
      <c r="N13" s="111">
        <v>166.12</v>
      </c>
      <c r="O13" s="112">
        <v>1643.3903202504214</v>
      </c>
      <c r="P13" s="113">
        <v>561.64</v>
      </c>
      <c r="Q13" s="114">
        <v>1465.3514706929707</v>
      </c>
      <c r="R13" s="111">
        <v>14</v>
      </c>
      <c r="S13" s="112">
        <v>1642.8571428571429</v>
      </c>
      <c r="T13" s="113">
        <v>96</v>
      </c>
      <c r="U13" s="114">
        <v>1885.4166666666667</v>
      </c>
      <c r="V13" s="111">
        <v>405.2</v>
      </c>
      <c r="W13" s="112">
        <v>1305.5281342546889</v>
      </c>
      <c r="X13" s="117">
        <v>8575.31</v>
      </c>
      <c r="Y13" s="118">
        <v>1565.4244569584073</v>
      </c>
      <c r="AA13" s="119">
        <v>40483</v>
      </c>
      <c r="AB13" s="120">
        <f t="shared" si="0"/>
        <v>8509.7099999999991</v>
      </c>
      <c r="AC13" s="113">
        <f t="shared" si="1"/>
        <v>1561.3928089206331</v>
      </c>
      <c r="AD13" s="121">
        <f t="shared" si="2"/>
        <v>65.599999999999994</v>
      </c>
      <c r="AE13" s="122">
        <f t="shared" si="2"/>
        <v>2088.4146341463415</v>
      </c>
      <c r="AF13" s="123">
        <f t="shared" si="3"/>
        <v>7.6498692175559829E-3</v>
      </c>
      <c r="AG13" s="123">
        <f t="shared" si="4"/>
        <v>0.25235497616647057</v>
      </c>
      <c r="AI13" s="120">
        <v>957.48</v>
      </c>
      <c r="AJ13" s="120">
        <v>2231.306956419473</v>
      </c>
      <c r="AL13" s="120">
        <v>2562.5</v>
      </c>
      <c r="AN13" s="124">
        <f t="shared" si="5"/>
        <v>0.38910265094306057</v>
      </c>
    </row>
    <row r="14" spans="1:40">
      <c r="A14" s="110">
        <v>40513</v>
      </c>
      <c r="B14" s="111">
        <v>1857.15</v>
      </c>
      <c r="C14" s="112">
        <v>1749.9932692566567</v>
      </c>
      <c r="D14" s="113">
        <v>666.21</v>
      </c>
      <c r="E14" s="114">
        <v>1735.1886041938728</v>
      </c>
      <c r="F14" s="111">
        <v>737.005</v>
      </c>
      <c r="G14" s="112">
        <v>1314.7807681087645</v>
      </c>
      <c r="H14" s="113">
        <v>168.65</v>
      </c>
      <c r="I14" s="114">
        <v>1458.6421583160391</v>
      </c>
      <c r="J14" s="115">
        <v>68.099999999999994</v>
      </c>
      <c r="K14" s="116">
        <v>1967.6945668135095</v>
      </c>
      <c r="L14" s="113">
        <v>288.8</v>
      </c>
      <c r="M14" s="114">
        <v>969.52908587257616</v>
      </c>
      <c r="N14" s="111">
        <v>378.42</v>
      </c>
      <c r="O14" s="112">
        <v>1717.6681993552138</v>
      </c>
      <c r="P14" s="113">
        <v>950.3</v>
      </c>
      <c r="Q14" s="114">
        <v>1944.6490581921498</v>
      </c>
      <c r="R14" s="111"/>
      <c r="S14" s="112"/>
      <c r="T14" s="113"/>
      <c r="U14" s="114"/>
      <c r="V14" s="111">
        <v>539.20000000000005</v>
      </c>
      <c r="W14" s="112">
        <v>1498.5163204747773</v>
      </c>
      <c r="X14" s="117">
        <v>5653.835</v>
      </c>
      <c r="Y14" s="118">
        <v>1652.1529192132421</v>
      </c>
      <c r="AA14" s="119">
        <v>40513</v>
      </c>
      <c r="AB14" s="120">
        <f t="shared" si="0"/>
        <v>5585.7350000000006</v>
      </c>
      <c r="AC14" s="113">
        <f t="shared" si="1"/>
        <v>1648.3059078169658</v>
      </c>
      <c r="AD14" s="121">
        <f t="shared" si="2"/>
        <v>68.099999999999994</v>
      </c>
      <c r="AE14" s="122">
        <f t="shared" si="2"/>
        <v>1967.6945668135095</v>
      </c>
      <c r="AF14" s="123">
        <f t="shared" si="3"/>
        <v>1.2044921721274143E-2</v>
      </c>
      <c r="AG14" s="123">
        <f t="shared" si="4"/>
        <v>0.16231617669898973</v>
      </c>
      <c r="AI14" s="120">
        <v>837.43000000000006</v>
      </c>
      <c r="AJ14" s="120">
        <v>2428.9880542917326</v>
      </c>
      <c r="AL14" s="120">
        <v>2906.25</v>
      </c>
      <c r="AN14" s="124">
        <f t="shared" si="5"/>
        <v>0.43151727510942206</v>
      </c>
    </row>
    <row r="15" spans="1:40">
      <c r="A15" s="110">
        <v>40544</v>
      </c>
      <c r="B15" s="111">
        <v>3272.28</v>
      </c>
      <c r="C15" s="112">
        <v>2128.1797401200383</v>
      </c>
      <c r="D15" s="113">
        <v>658.36</v>
      </c>
      <c r="E15" s="114">
        <v>2140.166474269397</v>
      </c>
      <c r="F15" s="111">
        <v>729.91</v>
      </c>
      <c r="G15" s="112">
        <v>2066.0081379896155</v>
      </c>
      <c r="H15" s="113">
        <v>619.91</v>
      </c>
      <c r="I15" s="114">
        <v>1900.2758464938458</v>
      </c>
      <c r="J15" s="115"/>
      <c r="K15" s="116"/>
      <c r="L15" s="113">
        <v>411.2</v>
      </c>
      <c r="M15" s="114">
        <v>980.0583657587548</v>
      </c>
      <c r="N15" s="111">
        <v>325.44</v>
      </c>
      <c r="O15" s="112">
        <v>1828.2940019665684</v>
      </c>
      <c r="P15" s="113">
        <v>596.62</v>
      </c>
      <c r="Q15" s="114">
        <v>2232.5768495860011</v>
      </c>
      <c r="R15" s="111">
        <v>14</v>
      </c>
      <c r="S15" s="112">
        <v>1928.5714285714287</v>
      </c>
      <c r="T15" s="113"/>
      <c r="U15" s="114"/>
      <c r="V15" s="111">
        <v>325.35000000000002</v>
      </c>
      <c r="W15" s="112">
        <v>1512.2176118026739</v>
      </c>
      <c r="X15" s="117">
        <v>6953.07</v>
      </c>
      <c r="Y15" s="118">
        <v>2000.2675077339941</v>
      </c>
      <c r="AA15" s="119">
        <v>40544</v>
      </c>
      <c r="AB15" s="120">
        <f t="shared" si="0"/>
        <v>6953.07</v>
      </c>
      <c r="AC15" s="113">
        <f t="shared" si="1"/>
        <v>2000.2675077339939</v>
      </c>
      <c r="AD15" s="121">
        <f t="shared" si="2"/>
        <v>0</v>
      </c>
      <c r="AE15" s="122">
        <f t="shared" si="2"/>
        <v>0</v>
      </c>
      <c r="AF15" s="123"/>
      <c r="AG15" s="123"/>
      <c r="AI15" s="120">
        <v>490.95200000000006</v>
      </c>
      <c r="AJ15" s="120">
        <v>2550.3740419079809</v>
      </c>
      <c r="AL15" s="120">
        <v>3112.5</v>
      </c>
      <c r="AN15" s="124">
        <f t="shared" si="5"/>
        <v>0.35734377261558425</v>
      </c>
    </row>
    <row r="16" spans="1:40">
      <c r="A16" s="110">
        <v>40575</v>
      </c>
      <c r="B16" s="111">
        <v>3267.62</v>
      </c>
      <c r="C16" s="112">
        <v>2525.6914818736573</v>
      </c>
      <c r="D16" s="113">
        <v>738.38</v>
      </c>
      <c r="E16" s="114">
        <v>2459.4382296378558</v>
      </c>
      <c r="F16" s="111">
        <v>908.63499999999999</v>
      </c>
      <c r="G16" s="112">
        <v>1571.5881514579562</v>
      </c>
      <c r="H16" s="113">
        <v>541.29999999999995</v>
      </c>
      <c r="I16" s="114">
        <v>2386.846480694624</v>
      </c>
      <c r="J16" s="115">
        <v>6</v>
      </c>
      <c r="K16" s="116">
        <v>1000</v>
      </c>
      <c r="L16" s="113">
        <v>188</v>
      </c>
      <c r="M16" s="114">
        <v>936.17021276595744</v>
      </c>
      <c r="N16" s="111">
        <v>170.34</v>
      </c>
      <c r="O16" s="112">
        <v>1784.6659621932606</v>
      </c>
      <c r="P16" s="113"/>
      <c r="Q16" s="114"/>
      <c r="R16" s="111">
        <v>14</v>
      </c>
      <c r="S16" s="112">
        <v>1928.5714285714287</v>
      </c>
      <c r="T16" s="113"/>
      <c r="U16" s="114"/>
      <c r="V16" s="111">
        <v>258.39999999999998</v>
      </c>
      <c r="W16" s="112">
        <v>1969.8142414860681</v>
      </c>
      <c r="X16" s="117">
        <v>6092.6750000000002</v>
      </c>
      <c r="Y16" s="118">
        <v>2266.8204031890755</v>
      </c>
      <c r="AA16" s="119">
        <v>40575</v>
      </c>
      <c r="AB16" s="120">
        <f t="shared" si="0"/>
        <v>6086.6750000000002</v>
      </c>
      <c r="AC16" s="113">
        <f t="shared" si="1"/>
        <v>2268.0691839140418</v>
      </c>
      <c r="AD16" s="121">
        <f t="shared" si="2"/>
        <v>6</v>
      </c>
      <c r="AE16" s="122">
        <f t="shared" si="2"/>
        <v>1000</v>
      </c>
      <c r="AF16" s="123">
        <f t="shared" si="3"/>
        <v>9.8478911151505697E-4</v>
      </c>
      <c r="AG16" s="123">
        <f t="shared" si="4"/>
        <v>-1.2680691839140419</v>
      </c>
      <c r="AI16" s="120">
        <v>1004.84</v>
      </c>
      <c r="AJ16" s="120">
        <v>2850.6871912955439</v>
      </c>
      <c r="AL16" s="120">
        <v>3281.25</v>
      </c>
      <c r="AN16" s="124">
        <f t="shared" si="5"/>
        <v>0.3091594961709484</v>
      </c>
    </row>
    <row r="17" spans="1:40">
      <c r="A17" s="110">
        <v>40603</v>
      </c>
      <c r="B17" s="111">
        <v>2292.7600000000002</v>
      </c>
      <c r="C17" s="112">
        <v>2548.0207261117607</v>
      </c>
      <c r="D17" s="113">
        <v>174.34</v>
      </c>
      <c r="E17" s="114">
        <v>2328.7828381323852</v>
      </c>
      <c r="F17" s="111">
        <v>794.65</v>
      </c>
      <c r="G17" s="112">
        <v>1852.3878437047756</v>
      </c>
      <c r="H17" s="113">
        <v>424.65</v>
      </c>
      <c r="I17" s="114">
        <v>2142.941245731779</v>
      </c>
      <c r="J17" s="115">
        <v>6</v>
      </c>
      <c r="K17" s="116">
        <v>1000</v>
      </c>
      <c r="L17" s="113">
        <v>102.4</v>
      </c>
      <c r="M17" s="114">
        <v>937.5</v>
      </c>
      <c r="N17" s="111">
        <v>179.93</v>
      </c>
      <c r="O17" s="112">
        <v>1739.5653865392098</v>
      </c>
      <c r="P17" s="113">
        <v>500.38</v>
      </c>
      <c r="Q17" s="114">
        <v>2260.2821855389907</v>
      </c>
      <c r="R17" s="111">
        <v>14</v>
      </c>
      <c r="S17" s="112">
        <v>2428.5714285714284</v>
      </c>
      <c r="T17" s="113"/>
      <c r="U17" s="114"/>
      <c r="V17" s="111">
        <v>272.86500000000001</v>
      </c>
      <c r="W17" s="112">
        <v>1964.3413409561506</v>
      </c>
      <c r="X17" s="117">
        <v>4761.9750000000004</v>
      </c>
      <c r="Y17" s="118">
        <v>2256.6267147559574</v>
      </c>
      <c r="AA17" s="119">
        <v>40603</v>
      </c>
      <c r="AB17" s="120">
        <f t="shared" si="0"/>
        <v>4755.9750000000004</v>
      </c>
      <c r="AC17" s="113">
        <f t="shared" si="1"/>
        <v>2258.212038540993</v>
      </c>
      <c r="AD17" s="121">
        <f t="shared" si="2"/>
        <v>6</v>
      </c>
      <c r="AE17" s="122">
        <f t="shared" si="2"/>
        <v>1000</v>
      </c>
      <c r="AF17" s="123">
        <f t="shared" si="3"/>
        <v>1.2599814152741246E-3</v>
      </c>
      <c r="AG17" s="123">
        <f t="shared" si="4"/>
        <v>-1.2582120385409929</v>
      </c>
      <c r="AI17" s="120">
        <v>221.65</v>
      </c>
      <c r="AJ17" s="120">
        <v>2649.783064256982</v>
      </c>
      <c r="AL17" s="120">
        <v>3500</v>
      </c>
      <c r="AN17" s="124">
        <f t="shared" si="5"/>
        <v>0.35524951006972644</v>
      </c>
    </row>
    <row r="18" spans="1:40">
      <c r="A18" s="110">
        <v>40634</v>
      </c>
      <c r="B18" s="111">
        <v>3012.94</v>
      </c>
      <c r="C18" s="112">
        <v>2642.2696767940947</v>
      </c>
      <c r="D18" s="113">
        <v>739.65</v>
      </c>
      <c r="E18" s="114">
        <v>2706.6855945379575</v>
      </c>
      <c r="F18" s="111">
        <v>641.01499999999999</v>
      </c>
      <c r="G18" s="112">
        <v>1611.5067510120668</v>
      </c>
      <c r="H18" s="113">
        <v>330.27</v>
      </c>
      <c r="I18" s="114">
        <v>2198.201471523299</v>
      </c>
      <c r="J18" s="115">
        <v>65.22</v>
      </c>
      <c r="K18" s="116">
        <v>2575.8969641214353</v>
      </c>
      <c r="L18" s="113">
        <v>428.6</v>
      </c>
      <c r="M18" s="114">
        <v>937.93747083527762</v>
      </c>
      <c r="N18" s="111">
        <v>128.30000000000001</v>
      </c>
      <c r="O18" s="112">
        <v>2034.294621979735</v>
      </c>
      <c r="P18" s="113">
        <v>119.056</v>
      </c>
      <c r="Q18" s="114">
        <v>1990.6598575460289</v>
      </c>
      <c r="R18" s="111">
        <v>12</v>
      </c>
      <c r="S18" s="112">
        <v>2333.3333333333335</v>
      </c>
      <c r="T18" s="113"/>
      <c r="U18" s="114"/>
      <c r="V18" s="111">
        <v>310.89999999999998</v>
      </c>
      <c r="W18" s="112">
        <v>1730.4599549694435</v>
      </c>
      <c r="X18" s="117">
        <v>5787.951</v>
      </c>
      <c r="Y18" s="118">
        <v>2307.552361794355</v>
      </c>
      <c r="AA18" s="119">
        <v>40634</v>
      </c>
      <c r="AB18" s="120">
        <f t="shared" si="0"/>
        <v>5722.7309999999998</v>
      </c>
      <c r="AC18" s="113">
        <f t="shared" si="1"/>
        <v>2304.4941305121629</v>
      </c>
      <c r="AD18" s="121">
        <f t="shared" si="2"/>
        <v>65.22</v>
      </c>
      <c r="AE18" s="122">
        <f t="shared" si="2"/>
        <v>2575.8969641214353</v>
      </c>
      <c r="AF18" s="123">
        <f t="shared" si="3"/>
        <v>1.1268236375878095E-2</v>
      </c>
      <c r="AG18" s="123">
        <f t="shared" si="4"/>
        <v>0.10536245719045682</v>
      </c>
      <c r="AI18" s="120">
        <v>430.56600000000003</v>
      </c>
      <c r="AJ18" s="120">
        <v>2984.3209210235268</v>
      </c>
      <c r="AL18" s="120">
        <v>3337.5</v>
      </c>
      <c r="AN18" s="124">
        <f t="shared" si="5"/>
        <v>0.30859854328259029</v>
      </c>
    </row>
    <row r="19" spans="1:40">
      <c r="A19" s="110">
        <v>40664</v>
      </c>
      <c r="B19" s="111">
        <v>4297.2299999999996</v>
      </c>
      <c r="C19" s="112">
        <v>2701.973131528915</v>
      </c>
      <c r="D19" s="113">
        <v>1069.5899999999999</v>
      </c>
      <c r="E19" s="114">
        <v>2601.9315812601089</v>
      </c>
      <c r="F19" s="111">
        <v>620.4</v>
      </c>
      <c r="G19" s="112">
        <v>1682.7852998065764</v>
      </c>
      <c r="H19" s="113">
        <v>706.63</v>
      </c>
      <c r="I19" s="114">
        <v>2366.1605083282625</v>
      </c>
      <c r="J19" s="115">
        <v>512.36</v>
      </c>
      <c r="K19" s="116">
        <v>2964.7123116558669</v>
      </c>
      <c r="L19" s="113">
        <v>301.77499999999998</v>
      </c>
      <c r="M19" s="114">
        <v>937.78477342390852</v>
      </c>
      <c r="N19" s="111">
        <v>133.18</v>
      </c>
      <c r="O19" s="112">
        <v>1606.8478750563147</v>
      </c>
      <c r="P19" s="113">
        <v>50</v>
      </c>
      <c r="Q19" s="114">
        <v>2260</v>
      </c>
      <c r="R19" s="111">
        <v>14</v>
      </c>
      <c r="S19" s="112">
        <v>2428.5714285714284</v>
      </c>
      <c r="T19" s="113">
        <v>58</v>
      </c>
      <c r="U19" s="114">
        <v>1913.7931034482758</v>
      </c>
      <c r="V19" s="111">
        <v>394.42</v>
      </c>
      <c r="W19" s="112">
        <v>1997.8702905532173</v>
      </c>
      <c r="X19" s="117">
        <v>8157.585</v>
      </c>
      <c r="Y19" s="118">
        <v>2472.7906604712057</v>
      </c>
      <c r="AA19" s="119">
        <v>40664</v>
      </c>
      <c r="AB19" s="120">
        <f t="shared" si="0"/>
        <v>7645.2249999999995</v>
      </c>
      <c r="AC19" s="113">
        <f t="shared" si="1"/>
        <v>2439.8235499936236</v>
      </c>
      <c r="AD19" s="121">
        <f t="shared" si="2"/>
        <v>512.36</v>
      </c>
      <c r="AE19" s="122">
        <f t="shared" si="2"/>
        <v>2964.7123116558669</v>
      </c>
      <c r="AF19" s="123">
        <f t="shared" si="3"/>
        <v>6.280780402533348E-2</v>
      </c>
      <c r="AG19" s="123">
        <f t="shared" si="4"/>
        <v>0.17704542852222974</v>
      </c>
      <c r="AI19" s="120">
        <v>888.52399999999989</v>
      </c>
      <c r="AJ19" s="120">
        <v>3469.1163209997708</v>
      </c>
      <c r="AL19" s="120">
        <v>3250</v>
      </c>
      <c r="AN19" s="124">
        <f t="shared" si="5"/>
        <v>0.23914133523962902</v>
      </c>
    </row>
    <row r="20" spans="1:40">
      <c r="A20" s="110">
        <v>40695</v>
      </c>
      <c r="B20" s="111">
        <v>5261.61</v>
      </c>
      <c r="C20" s="112">
        <v>2780.3276943749156</v>
      </c>
      <c r="D20" s="113">
        <v>1055.43</v>
      </c>
      <c r="E20" s="114">
        <v>2704.1111205859224</v>
      </c>
      <c r="F20" s="111">
        <v>392.98</v>
      </c>
      <c r="G20" s="112">
        <v>1249.4274517787164</v>
      </c>
      <c r="H20" s="113">
        <v>716.59</v>
      </c>
      <c r="I20" s="114">
        <v>2451.8902022076777</v>
      </c>
      <c r="J20" s="115">
        <v>202.65</v>
      </c>
      <c r="K20" s="116">
        <v>2491.9812484579325</v>
      </c>
      <c r="L20" s="113">
        <v>271.5</v>
      </c>
      <c r="M20" s="114">
        <v>939.22651933701661</v>
      </c>
      <c r="N20" s="111">
        <v>33.200000000000003</v>
      </c>
      <c r="O20" s="112">
        <v>2168.6746987951806</v>
      </c>
      <c r="P20" s="113"/>
      <c r="Q20" s="114"/>
      <c r="R20" s="111"/>
      <c r="S20" s="112"/>
      <c r="T20" s="113">
        <v>31.75</v>
      </c>
      <c r="U20" s="114">
        <v>2204.7244094488192</v>
      </c>
      <c r="V20" s="111">
        <v>252.15</v>
      </c>
      <c r="W20" s="112">
        <v>1352.3696212571883</v>
      </c>
      <c r="X20" s="117">
        <v>8217.86</v>
      </c>
      <c r="Y20" s="118">
        <v>2552.2459618440807</v>
      </c>
      <c r="AA20" s="119">
        <v>40695</v>
      </c>
      <c r="AB20" s="120">
        <f t="shared" si="0"/>
        <v>8015.21</v>
      </c>
      <c r="AC20" s="113">
        <f t="shared" si="1"/>
        <v>2553.7696454615661</v>
      </c>
      <c r="AD20" s="121">
        <f t="shared" si="2"/>
        <v>202.65</v>
      </c>
      <c r="AE20" s="122">
        <f t="shared" si="2"/>
        <v>2491.9812484579325</v>
      </c>
      <c r="AF20" s="123">
        <f t="shared" si="3"/>
        <v>2.4659704594626825E-2</v>
      </c>
      <c r="AG20" s="123">
        <f t="shared" si="4"/>
        <v>-2.4794888421359143E-2</v>
      </c>
      <c r="AI20" s="120">
        <v>1326.5200000000002</v>
      </c>
      <c r="AJ20" s="120">
        <v>3468.5049086593713</v>
      </c>
      <c r="AL20" s="120">
        <v>3225</v>
      </c>
      <c r="AN20" s="124">
        <f t="shared" si="5"/>
        <v>0.20860590330416101</v>
      </c>
    </row>
    <row r="21" spans="1:40">
      <c r="A21" s="110">
        <v>40725</v>
      </c>
      <c r="B21" s="111">
        <v>4617.62</v>
      </c>
      <c r="C21" s="112">
        <v>2668.2576738666239</v>
      </c>
      <c r="D21" s="113">
        <v>707.47</v>
      </c>
      <c r="E21" s="114">
        <v>2458.0547585056611</v>
      </c>
      <c r="F21" s="111">
        <v>585.57500000000005</v>
      </c>
      <c r="G21" s="112">
        <v>1755.5394270588738</v>
      </c>
      <c r="H21" s="113">
        <v>216.15</v>
      </c>
      <c r="I21" s="114">
        <v>2350.2197547999076</v>
      </c>
      <c r="J21" s="115">
        <v>375.2</v>
      </c>
      <c r="K21" s="116">
        <v>2729.2110874200425</v>
      </c>
      <c r="L21" s="113">
        <v>305.39999999999998</v>
      </c>
      <c r="M21" s="114">
        <v>1188.6051080550099</v>
      </c>
      <c r="N21" s="111">
        <v>447.17</v>
      </c>
      <c r="O21" s="112">
        <v>2209.4505445356353</v>
      </c>
      <c r="P21" s="113"/>
      <c r="Q21" s="114"/>
      <c r="R21" s="111"/>
      <c r="S21" s="112"/>
      <c r="T21" s="113"/>
      <c r="U21" s="114"/>
      <c r="V21" s="111">
        <v>308.25</v>
      </c>
      <c r="W21" s="112">
        <v>2095.7015409570154</v>
      </c>
      <c r="X21" s="117">
        <v>7562.835</v>
      </c>
      <c r="Y21" s="118">
        <v>2461.6430214331003</v>
      </c>
      <c r="AA21" s="119">
        <v>40725</v>
      </c>
      <c r="AB21" s="120">
        <f t="shared" si="0"/>
        <v>7187.6349999999993</v>
      </c>
      <c r="AC21" s="113">
        <f t="shared" si="1"/>
        <v>2447.6757653943196</v>
      </c>
      <c r="AD21" s="121">
        <f t="shared" si="2"/>
        <v>375.2</v>
      </c>
      <c r="AE21" s="122">
        <f t="shared" si="2"/>
        <v>2729.2110874200425</v>
      </c>
      <c r="AF21" s="123">
        <f t="shared" si="3"/>
        <v>4.9611025495068975E-2</v>
      </c>
      <c r="AG21" s="123">
        <f t="shared" si="4"/>
        <v>0.10315630158598756</v>
      </c>
      <c r="AI21" s="120">
        <v>801.74</v>
      </c>
      <c r="AJ21" s="120">
        <v>3488.9970947803918</v>
      </c>
      <c r="AL21" s="120">
        <v>2650</v>
      </c>
      <c r="AN21" s="124">
        <f t="shared" si="5"/>
        <v>7.1078105119584775E-2</v>
      </c>
    </row>
    <row r="22" spans="1:40">
      <c r="A22" s="110">
        <v>40756</v>
      </c>
      <c r="B22" s="111">
        <v>4266.12</v>
      </c>
      <c r="C22" s="112">
        <v>2474.3795298772657</v>
      </c>
      <c r="D22" s="113">
        <v>20</v>
      </c>
      <c r="E22" s="114">
        <v>2400</v>
      </c>
      <c r="F22" s="111">
        <v>534.31500000000005</v>
      </c>
      <c r="G22" s="112">
        <v>2049.3529098003987</v>
      </c>
      <c r="H22" s="113">
        <v>837.69</v>
      </c>
      <c r="I22" s="114">
        <v>2265.7546347694251</v>
      </c>
      <c r="J22" s="115">
        <v>847.3</v>
      </c>
      <c r="K22" s="116">
        <v>2499.7049451197922</v>
      </c>
      <c r="L22" s="113">
        <v>467</v>
      </c>
      <c r="M22" s="114">
        <v>2000</v>
      </c>
      <c r="N22" s="111">
        <v>539.73</v>
      </c>
      <c r="O22" s="112">
        <v>2139.9588683230504</v>
      </c>
      <c r="P22" s="113"/>
      <c r="Q22" s="114"/>
      <c r="R22" s="111">
        <v>108</v>
      </c>
      <c r="S22" s="112">
        <v>2842.5925925925926</v>
      </c>
      <c r="T22" s="113">
        <v>29.75</v>
      </c>
      <c r="U22" s="114">
        <v>1815.126050420168</v>
      </c>
      <c r="V22" s="111">
        <v>497.80399999999997</v>
      </c>
      <c r="W22" s="112">
        <v>2063.0609637528023</v>
      </c>
      <c r="X22" s="117">
        <v>8147.7089999999998</v>
      </c>
      <c r="Y22" s="118">
        <v>2355.5087693976307</v>
      </c>
      <c r="AA22" s="119">
        <v>40756</v>
      </c>
      <c r="AB22" s="120">
        <f t="shared" si="0"/>
        <v>7300.4089999999997</v>
      </c>
      <c r="AC22" s="113">
        <f t="shared" si="1"/>
        <v>2338.7730742209101</v>
      </c>
      <c r="AD22" s="121">
        <f t="shared" si="2"/>
        <v>847.3</v>
      </c>
      <c r="AE22" s="122">
        <f t="shared" si="2"/>
        <v>2499.7049451197922</v>
      </c>
      <c r="AF22" s="123">
        <f t="shared" si="3"/>
        <v>0.10399242290071969</v>
      </c>
      <c r="AG22" s="123">
        <f t="shared" si="4"/>
        <v>6.4380346653740719E-2</v>
      </c>
      <c r="AI22" s="120">
        <v>1244.8699999999999</v>
      </c>
      <c r="AJ22" s="120">
        <v>3168.2623426587452</v>
      </c>
      <c r="AL22" s="120">
        <v>2260</v>
      </c>
      <c r="AN22" s="124">
        <f t="shared" si="5"/>
        <v>-4.2260517432579935E-2</v>
      </c>
    </row>
    <row r="23" spans="1:40">
      <c r="A23" s="110">
        <v>40787</v>
      </c>
      <c r="B23" s="111">
        <v>5173.91</v>
      </c>
      <c r="C23" s="112">
        <v>2088.1692955617705</v>
      </c>
      <c r="D23" s="113">
        <v>1349.76</v>
      </c>
      <c r="E23" s="114">
        <v>2132.2309151256518</v>
      </c>
      <c r="F23" s="111">
        <v>873.19500000000005</v>
      </c>
      <c r="G23" s="112">
        <v>2178.2076168553413</v>
      </c>
      <c r="H23" s="113">
        <v>726.06</v>
      </c>
      <c r="I23" s="114">
        <v>2199.5427375148056</v>
      </c>
      <c r="J23" s="115">
        <v>67.260000000000005</v>
      </c>
      <c r="K23" s="116">
        <v>2319.3577163247101</v>
      </c>
      <c r="L23" s="113">
        <v>330.2</v>
      </c>
      <c r="M23" s="114">
        <v>1983.6462749848577</v>
      </c>
      <c r="N23" s="111">
        <v>202.79</v>
      </c>
      <c r="O23" s="112">
        <v>2125.3513486858324</v>
      </c>
      <c r="P23" s="113">
        <v>19</v>
      </c>
      <c r="Q23" s="114">
        <v>2473.6842105263158</v>
      </c>
      <c r="R23" s="111">
        <v>39.880000000000003</v>
      </c>
      <c r="S23" s="112">
        <v>2908.7261785356068</v>
      </c>
      <c r="T23" s="113">
        <v>43.75</v>
      </c>
      <c r="U23" s="114">
        <v>2080</v>
      </c>
      <c r="V23" s="111">
        <v>447.99799999999999</v>
      </c>
      <c r="W23" s="112">
        <v>2031.2590681208401</v>
      </c>
      <c r="X23" s="117">
        <v>9273.8029999999999</v>
      </c>
      <c r="Y23" s="118">
        <v>2112.0785075982312</v>
      </c>
      <c r="AA23" s="119">
        <v>40787</v>
      </c>
      <c r="AB23" s="120">
        <f t="shared" si="0"/>
        <v>9206.5429999999997</v>
      </c>
      <c r="AC23" s="113">
        <f t="shared" si="1"/>
        <v>2110.5641933133861</v>
      </c>
      <c r="AD23" s="121">
        <f t="shared" si="2"/>
        <v>67.260000000000005</v>
      </c>
      <c r="AE23" s="122">
        <f t="shared" si="2"/>
        <v>2319.3577163247101</v>
      </c>
      <c r="AF23" s="123">
        <f t="shared" si="3"/>
        <v>7.2526880288485756E-3</v>
      </c>
      <c r="AG23" s="123">
        <f t="shared" si="4"/>
        <v>9.00221304983439E-2</v>
      </c>
      <c r="AI23" s="120">
        <v>1639.6799999999998</v>
      </c>
      <c r="AJ23" s="120">
        <v>2961.5010032347104</v>
      </c>
      <c r="AL23" s="120">
        <v>2175</v>
      </c>
      <c r="AN23" s="124">
        <f t="shared" si="5"/>
        <v>2.8929421793916679E-2</v>
      </c>
    </row>
    <row r="24" spans="1:40">
      <c r="A24" s="110">
        <v>40817</v>
      </c>
      <c r="B24" s="111">
        <v>6694.57</v>
      </c>
      <c r="C24" s="112">
        <v>2233.1531375428144</v>
      </c>
      <c r="D24" s="113">
        <v>967.46</v>
      </c>
      <c r="E24" s="114">
        <v>1978.3763669815805</v>
      </c>
      <c r="F24" s="111">
        <v>1321.26</v>
      </c>
      <c r="G24" s="112">
        <v>2101.024779377261</v>
      </c>
      <c r="H24" s="113">
        <v>237.9</v>
      </c>
      <c r="I24" s="114">
        <v>2261.4543926019337</v>
      </c>
      <c r="J24" s="115">
        <v>81.66</v>
      </c>
      <c r="K24" s="116">
        <v>2204.2615723732547</v>
      </c>
      <c r="L24" s="113">
        <v>359.2</v>
      </c>
      <c r="M24" s="114">
        <v>2015.5902004454344</v>
      </c>
      <c r="N24" s="111">
        <v>231.28</v>
      </c>
      <c r="O24" s="112">
        <v>2140.2628848149429</v>
      </c>
      <c r="P24" s="113"/>
      <c r="Q24" s="114"/>
      <c r="R24" s="111">
        <v>20</v>
      </c>
      <c r="S24" s="112">
        <v>2050</v>
      </c>
      <c r="T24" s="113">
        <v>94.5</v>
      </c>
      <c r="U24" s="114">
        <v>2275.1322751322755</v>
      </c>
      <c r="V24" s="111">
        <v>799.77</v>
      </c>
      <c r="W24" s="112">
        <v>1885.5420933518387</v>
      </c>
      <c r="X24" s="117">
        <v>10807.6</v>
      </c>
      <c r="Y24" s="118">
        <v>2159.6839261260598</v>
      </c>
      <c r="AA24" s="119">
        <v>40817</v>
      </c>
      <c r="AB24" s="120">
        <f t="shared" si="0"/>
        <v>10725.94</v>
      </c>
      <c r="AC24" s="113">
        <f t="shared" si="1"/>
        <v>2159.344542296526</v>
      </c>
      <c r="AD24" s="121">
        <f t="shared" si="2"/>
        <v>81.66</v>
      </c>
      <c r="AE24" s="122">
        <f t="shared" si="2"/>
        <v>2204.2615723732547</v>
      </c>
      <c r="AF24" s="123">
        <f t="shared" si="3"/>
        <v>7.5557940708390389E-3</v>
      </c>
      <c r="AG24" s="123">
        <f t="shared" si="4"/>
        <v>2.0377359311475912E-2</v>
      </c>
      <c r="AI24" s="120">
        <v>1034.704</v>
      </c>
      <c r="AJ24" s="120">
        <v>2415.9924950408135</v>
      </c>
      <c r="AL24" s="120">
        <v>2022.5</v>
      </c>
      <c r="AN24" s="124">
        <f t="shared" si="5"/>
        <v>-6.782888807221743E-2</v>
      </c>
    </row>
    <row r="25" spans="1:40">
      <c r="A25" s="110">
        <v>40848</v>
      </c>
      <c r="B25" s="111">
        <v>2511.08</v>
      </c>
      <c r="C25" s="112">
        <v>2015.8656832916515</v>
      </c>
      <c r="D25" s="113">
        <v>1041.79</v>
      </c>
      <c r="E25" s="114">
        <v>1908.2540627189742</v>
      </c>
      <c r="F25" s="111">
        <v>882.43</v>
      </c>
      <c r="G25" s="112">
        <v>2174.6767448976125</v>
      </c>
      <c r="H25" s="113">
        <v>858.92</v>
      </c>
      <c r="I25" s="114">
        <v>2059.5631723559818</v>
      </c>
      <c r="J25" s="115">
        <v>30.25</v>
      </c>
      <c r="K25" s="116">
        <v>2115.7024793388432</v>
      </c>
      <c r="L25" s="113">
        <v>234</v>
      </c>
      <c r="M25" s="114">
        <v>1982.9059829059829</v>
      </c>
      <c r="N25" s="111">
        <v>291.39999999999998</v>
      </c>
      <c r="O25" s="112">
        <v>2069.3205216197666</v>
      </c>
      <c r="P25" s="113">
        <v>12</v>
      </c>
      <c r="Q25" s="114">
        <v>4000</v>
      </c>
      <c r="R25" s="111">
        <v>500.11599999999999</v>
      </c>
      <c r="S25" s="112">
        <v>1917.5551272104872</v>
      </c>
      <c r="T25" s="113">
        <v>116</v>
      </c>
      <c r="U25" s="114">
        <v>2094.8275862068963</v>
      </c>
      <c r="V25" s="111">
        <v>369.59199999999998</v>
      </c>
      <c r="W25" s="112">
        <v>1902.0974479967099</v>
      </c>
      <c r="X25" s="117">
        <v>6847.5780000000004</v>
      </c>
      <c r="Y25" s="118">
        <v>2018.5239218888782</v>
      </c>
      <c r="AA25" s="119">
        <v>40848</v>
      </c>
      <c r="AB25" s="120">
        <f t="shared" si="0"/>
        <v>6817.3279999999995</v>
      </c>
      <c r="AC25" s="113">
        <f t="shared" si="1"/>
        <v>2018.0927190242278</v>
      </c>
      <c r="AD25" s="121">
        <f t="shared" si="2"/>
        <v>30.25</v>
      </c>
      <c r="AE25" s="122">
        <f t="shared" si="2"/>
        <v>2115.7024793388432</v>
      </c>
      <c r="AF25" s="123">
        <f t="shared" si="3"/>
        <v>4.4176203615351297E-3</v>
      </c>
      <c r="AG25" s="123">
        <f t="shared" si="4"/>
        <v>4.613586327370494E-2</v>
      </c>
      <c r="AI25" s="120">
        <v>819.73400000000004</v>
      </c>
      <c r="AJ25" s="120">
        <v>2221.2282417082997</v>
      </c>
      <c r="AL25" s="120">
        <v>2011</v>
      </c>
      <c r="AN25" s="124">
        <f t="shared" si="5"/>
        <v>-3.7413833360906259E-3</v>
      </c>
    </row>
    <row r="26" spans="1:40">
      <c r="A26" s="110">
        <v>40878</v>
      </c>
      <c r="B26" s="111">
        <v>5825.37</v>
      </c>
      <c r="C26" s="112">
        <v>1914.3848373579704</v>
      </c>
      <c r="D26" s="113">
        <v>649.55999999999995</v>
      </c>
      <c r="E26" s="114">
        <v>1902.8265287271383</v>
      </c>
      <c r="F26" s="111">
        <v>994.57</v>
      </c>
      <c r="G26" s="112">
        <v>2032.0339443176447</v>
      </c>
      <c r="H26" s="113">
        <v>803.08</v>
      </c>
      <c r="I26" s="114">
        <v>1997.310355132739</v>
      </c>
      <c r="J26" s="115">
        <v>66</v>
      </c>
      <c r="K26" s="116">
        <v>1924.2424242424242</v>
      </c>
      <c r="L26" s="113">
        <v>276</v>
      </c>
      <c r="M26" s="114">
        <v>2014.4927536231885</v>
      </c>
      <c r="N26" s="111">
        <v>152.86000000000001</v>
      </c>
      <c r="O26" s="112">
        <v>1844.8253303676568</v>
      </c>
      <c r="P26" s="113"/>
      <c r="Q26" s="114"/>
      <c r="R26" s="111"/>
      <c r="S26" s="112"/>
      <c r="T26" s="113">
        <v>32</v>
      </c>
      <c r="U26" s="114">
        <v>2000</v>
      </c>
      <c r="V26" s="111">
        <v>453.1</v>
      </c>
      <c r="W26" s="112">
        <v>2063.5621275656586</v>
      </c>
      <c r="X26" s="117">
        <v>9252.5400000000009</v>
      </c>
      <c r="Y26" s="118">
        <v>1942.9259424979518</v>
      </c>
      <c r="AA26" s="119">
        <v>40878</v>
      </c>
      <c r="AB26" s="120">
        <f t="shared" si="0"/>
        <v>9186.5400000000009</v>
      </c>
      <c r="AC26" s="113">
        <f t="shared" si="1"/>
        <v>1943.0601728180575</v>
      </c>
      <c r="AD26" s="121">
        <f t="shared" si="2"/>
        <v>66</v>
      </c>
      <c r="AE26" s="122">
        <f t="shared" si="2"/>
        <v>1924.2424242424242</v>
      </c>
      <c r="AF26" s="123">
        <f t="shared" si="3"/>
        <v>7.133176403452457E-3</v>
      </c>
      <c r="AG26" s="123">
        <f t="shared" si="4"/>
        <v>-9.7793024093841985E-3</v>
      </c>
      <c r="AI26" s="120">
        <v>1109.7440000000001</v>
      </c>
      <c r="AJ26" s="120">
        <v>2160.9022132847463</v>
      </c>
      <c r="AL26" s="120">
        <v>2087.5</v>
      </c>
      <c r="AN26" s="124">
        <f t="shared" si="5"/>
        <v>6.9257033533915283E-2</v>
      </c>
    </row>
    <row r="27" spans="1:40">
      <c r="A27" s="110">
        <v>40909</v>
      </c>
      <c r="B27" s="111">
        <v>2200.1</v>
      </c>
      <c r="C27" s="112">
        <v>1921.7308304167993</v>
      </c>
      <c r="D27" s="113">
        <v>818.25</v>
      </c>
      <c r="E27" s="114">
        <v>1966.3916895814236</v>
      </c>
      <c r="F27" s="111">
        <v>365.45</v>
      </c>
      <c r="G27" s="112">
        <v>2071.4187987412779</v>
      </c>
      <c r="H27" s="113">
        <v>585.45000000000005</v>
      </c>
      <c r="I27" s="114">
        <v>1933.5553847467759</v>
      </c>
      <c r="J27" s="115">
        <v>526</v>
      </c>
      <c r="K27" s="116">
        <v>1882.1292775665399</v>
      </c>
      <c r="L27" s="113">
        <v>301</v>
      </c>
      <c r="M27" s="114">
        <v>2016.6112956810634</v>
      </c>
      <c r="N27" s="111">
        <v>111.36</v>
      </c>
      <c r="O27" s="112">
        <v>1921.6954022988507</v>
      </c>
      <c r="P27" s="113"/>
      <c r="Q27" s="114"/>
      <c r="R27" s="111">
        <v>14</v>
      </c>
      <c r="S27" s="112">
        <v>2500</v>
      </c>
      <c r="T27" s="113">
        <v>285.44</v>
      </c>
      <c r="U27" s="114">
        <v>1086.0426008968609</v>
      </c>
      <c r="V27" s="111">
        <v>405.44</v>
      </c>
      <c r="W27" s="112">
        <v>1983.0307813733227</v>
      </c>
      <c r="X27" s="117">
        <v>5612.49</v>
      </c>
      <c r="Y27" s="118">
        <v>1903.9677576262941</v>
      </c>
      <c r="AA27" s="119">
        <v>40909</v>
      </c>
      <c r="AB27" s="120">
        <f t="shared" si="0"/>
        <v>5086.4899999999989</v>
      </c>
      <c r="AC27" s="113">
        <f t="shared" si="1"/>
        <v>1906.2261009065194</v>
      </c>
      <c r="AD27" s="121">
        <f t="shared" si="2"/>
        <v>526</v>
      </c>
      <c r="AE27" s="122">
        <f t="shared" si="2"/>
        <v>1882.1292775665399</v>
      </c>
      <c r="AF27" s="123">
        <f t="shared" si="3"/>
        <v>9.3719543375578404E-2</v>
      </c>
      <c r="AG27" s="123">
        <f t="shared" si="4"/>
        <v>-1.2802958663463822E-2</v>
      </c>
      <c r="AI27" s="120">
        <v>1347.1800000000003</v>
      </c>
      <c r="AJ27" s="120">
        <v>2028.1337052735505</v>
      </c>
      <c r="AL27" s="120">
        <v>2153.75</v>
      </c>
      <c r="AN27" s="124">
        <f t="shared" si="5"/>
        <v>0.11597550429423374</v>
      </c>
    </row>
    <row r="28" spans="1:40">
      <c r="A28" s="110">
        <v>40940</v>
      </c>
      <c r="B28" s="111">
        <v>4090.33</v>
      </c>
      <c r="C28" s="112">
        <v>1914.0264966396355</v>
      </c>
      <c r="D28" s="113">
        <v>916.78</v>
      </c>
      <c r="E28" s="114">
        <v>2005.9338118196295</v>
      </c>
      <c r="F28" s="111">
        <v>655.28</v>
      </c>
      <c r="G28" s="112">
        <v>2118.1784885850325</v>
      </c>
      <c r="H28" s="113">
        <v>615.77</v>
      </c>
      <c r="I28" s="114">
        <v>1981.2592364032025</v>
      </c>
      <c r="J28" s="115">
        <v>466.19</v>
      </c>
      <c r="K28" s="116">
        <v>1969.1542075119585</v>
      </c>
      <c r="L28" s="113">
        <v>384</v>
      </c>
      <c r="M28" s="114">
        <v>2018.2291666666665</v>
      </c>
      <c r="N28" s="111">
        <v>426.57</v>
      </c>
      <c r="O28" s="112">
        <v>1985.6061138851771</v>
      </c>
      <c r="P28" s="113"/>
      <c r="Q28" s="114"/>
      <c r="R28" s="111">
        <v>14</v>
      </c>
      <c r="S28" s="112">
        <v>2500</v>
      </c>
      <c r="T28" s="113"/>
      <c r="U28" s="114"/>
      <c r="V28" s="111">
        <v>332.44</v>
      </c>
      <c r="W28" s="112">
        <v>2009.3851522079174</v>
      </c>
      <c r="X28" s="117">
        <v>7901.36</v>
      </c>
      <c r="Y28" s="118">
        <v>1964.0922575354116</v>
      </c>
      <c r="AA28" s="119">
        <v>40940</v>
      </c>
      <c r="AB28" s="120">
        <f t="shared" si="0"/>
        <v>7435.1699999999992</v>
      </c>
      <c r="AC28" s="113">
        <f t="shared" si="1"/>
        <v>1963.7748699760734</v>
      </c>
      <c r="AD28" s="121">
        <f t="shared" si="2"/>
        <v>466.19</v>
      </c>
      <c r="AE28" s="122">
        <f t="shared" si="2"/>
        <v>1969.1542075119585</v>
      </c>
      <c r="AF28" s="123">
        <f t="shared" si="3"/>
        <v>5.9001235230390719E-2</v>
      </c>
      <c r="AG28" s="123">
        <f t="shared" si="4"/>
        <v>2.7318010521288107E-3</v>
      </c>
      <c r="AI28" s="120">
        <v>1677.7640000000004</v>
      </c>
      <c r="AJ28" s="120">
        <v>2112.5797550545617</v>
      </c>
      <c r="AL28" s="120">
        <v>2105</v>
      </c>
      <c r="AN28" s="124">
        <f t="shared" si="5"/>
        <v>6.6939545113818721E-2</v>
      </c>
    </row>
    <row r="29" spans="1:40">
      <c r="A29" s="110">
        <v>40969</v>
      </c>
      <c r="B29" s="111">
        <v>4491.2299999999996</v>
      </c>
      <c r="C29" s="112">
        <v>1861.6281063316731</v>
      </c>
      <c r="D29" s="113">
        <v>1012.98</v>
      </c>
      <c r="E29" s="114">
        <v>1999.0523011313155</v>
      </c>
      <c r="F29" s="111">
        <v>1448.89</v>
      </c>
      <c r="G29" s="112">
        <v>2051.9156043591993</v>
      </c>
      <c r="H29" s="113">
        <v>681.42</v>
      </c>
      <c r="I29" s="114">
        <v>1950.3389979748174</v>
      </c>
      <c r="J29" s="115">
        <v>129.83000000000001</v>
      </c>
      <c r="K29" s="116">
        <v>2025.7259493183394</v>
      </c>
      <c r="L29" s="113">
        <v>252.62</v>
      </c>
      <c r="M29" s="114">
        <v>2034.6765893436784</v>
      </c>
      <c r="N29" s="111">
        <v>289.37</v>
      </c>
      <c r="O29" s="112">
        <v>2094.2046514842591</v>
      </c>
      <c r="P29" s="113"/>
      <c r="Q29" s="114"/>
      <c r="R29" s="111">
        <v>5.4</v>
      </c>
      <c r="S29" s="112">
        <v>2037.0370370370372</v>
      </c>
      <c r="T29" s="113"/>
      <c r="U29" s="114"/>
      <c r="V29" s="111">
        <v>1111.99</v>
      </c>
      <c r="W29" s="112">
        <v>1907.391253518467</v>
      </c>
      <c r="X29" s="117">
        <v>9423.73</v>
      </c>
      <c r="Y29" s="118">
        <v>1931.6130661638226</v>
      </c>
      <c r="AA29" s="119">
        <v>40969</v>
      </c>
      <c r="AB29" s="120">
        <f t="shared" si="0"/>
        <v>9293.9</v>
      </c>
      <c r="AC29" s="113">
        <f t="shared" si="1"/>
        <v>1930.2983677465866</v>
      </c>
      <c r="AD29" s="121">
        <f t="shared" si="2"/>
        <v>129.83000000000001</v>
      </c>
      <c r="AE29" s="122">
        <f t="shared" si="2"/>
        <v>2025.7259493183394</v>
      </c>
      <c r="AF29" s="123">
        <f t="shared" si="3"/>
        <v>1.3776922725926996E-2</v>
      </c>
      <c r="AG29" s="123">
        <f t="shared" si="4"/>
        <v>4.7107843785021572E-2</v>
      </c>
      <c r="AI29" s="120">
        <v>1389.0129999999997</v>
      </c>
      <c r="AJ29" s="120">
        <v>2120.769980318446</v>
      </c>
      <c r="AL29" s="120">
        <v>2175</v>
      </c>
      <c r="AN29" s="124">
        <f t="shared" si="5"/>
        <v>0.11190203854536891</v>
      </c>
    </row>
    <row r="30" spans="1:40">
      <c r="A30" s="110">
        <v>41000</v>
      </c>
      <c r="B30" s="111">
        <v>3662.85</v>
      </c>
      <c r="C30" s="112">
        <v>1935.9242120206943</v>
      </c>
      <c r="D30" s="113">
        <v>1022.72</v>
      </c>
      <c r="E30" s="114">
        <v>2005.4364831038799</v>
      </c>
      <c r="F30" s="111">
        <v>1524.24</v>
      </c>
      <c r="G30" s="112">
        <v>1956.3848212879861</v>
      </c>
      <c r="H30" s="113">
        <v>755.48</v>
      </c>
      <c r="I30" s="114">
        <v>1916.6622544607401</v>
      </c>
      <c r="J30" s="115">
        <v>407.06</v>
      </c>
      <c r="K30" s="116">
        <v>2100.4274554119788</v>
      </c>
      <c r="L30" s="113">
        <v>295</v>
      </c>
      <c r="M30" s="114">
        <v>1972.8813559322034</v>
      </c>
      <c r="N30" s="111">
        <v>162</v>
      </c>
      <c r="O30" s="112">
        <v>1746.9135802469136</v>
      </c>
      <c r="P30" s="113">
        <v>24</v>
      </c>
      <c r="Q30" s="114">
        <v>3583.3333333333335</v>
      </c>
      <c r="R30" s="111">
        <v>28</v>
      </c>
      <c r="S30" s="112">
        <v>2500</v>
      </c>
      <c r="T30" s="113">
        <v>160</v>
      </c>
      <c r="U30" s="114">
        <v>1962.5</v>
      </c>
      <c r="V30" s="111">
        <v>481.43</v>
      </c>
      <c r="W30" s="112">
        <v>1946.2850258604574</v>
      </c>
      <c r="X30" s="117">
        <v>8522.7800000000007</v>
      </c>
      <c r="Y30" s="118">
        <v>1959.3372115671177</v>
      </c>
      <c r="AA30" s="119">
        <v>41000</v>
      </c>
      <c r="AB30" s="120">
        <f t="shared" si="0"/>
        <v>8115.7199999999993</v>
      </c>
      <c r="AC30" s="113">
        <f t="shared" si="1"/>
        <v>1952.2605511279346</v>
      </c>
      <c r="AD30" s="121">
        <f t="shared" si="2"/>
        <v>407.06</v>
      </c>
      <c r="AE30" s="122">
        <f t="shared" si="2"/>
        <v>2100.4274554119788</v>
      </c>
      <c r="AF30" s="123">
        <f t="shared" si="3"/>
        <v>4.7761411182736149E-2</v>
      </c>
      <c r="AG30" s="123">
        <f t="shared" si="4"/>
        <v>7.0541310009196528E-2</v>
      </c>
      <c r="AI30" s="120">
        <v>1416.7600000000002</v>
      </c>
      <c r="AJ30" s="120">
        <v>2160.990393094376</v>
      </c>
      <c r="AL30" s="120">
        <v>2348.75</v>
      </c>
      <c r="AN30" s="124">
        <f t="shared" si="5"/>
        <v>0.16579575877930061</v>
      </c>
    </row>
    <row r="31" spans="1:40">
      <c r="A31" s="110">
        <v>41030</v>
      </c>
      <c r="B31" s="111">
        <v>2261.0700000000002</v>
      </c>
      <c r="C31" s="112">
        <v>1957.9225764792775</v>
      </c>
      <c r="D31" s="113">
        <v>451.4</v>
      </c>
      <c r="E31" s="114">
        <v>2122.2862206468762</v>
      </c>
      <c r="F31" s="111">
        <v>792.24</v>
      </c>
      <c r="G31" s="112">
        <v>1982.9849540543269</v>
      </c>
      <c r="H31" s="113">
        <v>441.26</v>
      </c>
      <c r="I31" s="114">
        <v>1948.9643294202965</v>
      </c>
      <c r="J31" s="115">
        <v>25.97</v>
      </c>
      <c r="K31" s="116">
        <v>2040.8163265306123</v>
      </c>
      <c r="L31" s="113">
        <v>375</v>
      </c>
      <c r="M31" s="114">
        <v>1872</v>
      </c>
      <c r="N31" s="111">
        <v>102.96</v>
      </c>
      <c r="O31" s="112">
        <v>1952.2144522144522</v>
      </c>
      <c r="P31" s="113">
        <v>110.57</v>
      </c>
      <c r="Q31" s="114">
        <v>1872.1172108166772</v>
      </c>
      <c r="R31" s="111">
        <v>48</v>
      </c>
      <c r="S31" s="112">
        <v>1979.1666666666667</v>
      </c>
      <c r="T31" s="113"/>
      <c r="U31" s="114"/>
      <c r="V31" s="111">
        <v>387.54</v>
      </c>
      <c r="W31" s="112">
        <v>2069.4637972854416</v>
      </c>
      <c r="X31" s="117">
        <v>4996.01</v>
      </c>
      <c r="Y31" s="118">
        <v>1976.7774684197989</v>
      </c>
      <c r="AA31" s="119">
        <v>41030</v>
      </c>
      <c r="AB31" s="120">
        <f t="shared" si="0"/>
        <v>4970.04</v>
      </c>
      <c r="AC31" s="113">
        <f t="shared" si="1"/>
        <v>1976.4428455304183</v>
      </c>
      <c r="AD31" s="121">
        <f t="shared" si="2"/>
        <v>25.97</v>
      </c>
      <c r="AE31" s="122">
        <f t="shared" si="2"/>
        <v>2040.8163265306123</v>
      </c>
      <c r="AF31" s="123">
        <f t="shared" si="3"/>
        <v>5.1981481222015159E-3</v>
      </c>
      <c r="AG31" s="123">
        <f t="shared" si="4"/>
        <v>3.1543005690095077E-2</v>
      </c>
      <c r="AI31" s="120">
        <v>2181.5080000000003</v>
      </c>
      <c r="AJ31" s="120">
        <v>2302.8354797899319</v>
      </c>
      <c r="AL31" s="120">
        <v>2217</v>
      </c>
      <c r="AN31" s="124">
        <f t="shared" si="5"/>
        <v>0.10835477292747006</v>
      </c>
    </row>
    <row r="32" spans="1:40">
      <c r="A32" s="110">
        <v>41061</v>
      </c>
      <c r="B32" s="111">
        <v>6216.4</v>
      </c>
      <c r="C32" s="112">
        <v>1981.2109902837656</v>
      </c>
      <c r="D32" s="113">
        <v>616.02</v>
      </c>
      <c r="E32" s="114">
        <v>2120.0610369793189</v>
      </c>
      <c r="F32" s="111">
        <v>784.99</v>
      </c>
      <c r="G32" s="112">
        <v>2043.3381316959451</v>
      </c>
      <c r="H32" s="113">
        <v>785.95</v>
      </c>
      <c r="I32" s="114">
        <v>1954.3227940708696</v>
      </c>
      <c r="J32" s="115">
        <v>539.52</v>
      </c>
      <c r="K32" s="116">
        <v>2259.4157769869512</v>
      </c>
      <c r="L32" s="113">
        <v>341.5</v>
      </c>
      <c r="M32" s="114">
        <v>1950.2196193265006</v>
      </c>
      <c r="N32" s="111">
        <v>325.26</v>
      </c>
      <c r="O32" s="112">
        <v>1961.5077169034003</v>
      </c>
      <c r="P32" s="113">
        <v>110.66</v>
      </c>
      <c r="Q32" s="114">
        <v>1816.3744803903849</v>
      </c>
      <c r="R32" s="111"/>
      <c r="S32" s="112"/>
      <c r="T32" s="113"/>
      <c r="U32" s="114"/>
      <c r="V32" s="111">
        <v>499.8</v>
      </c>
      <c r="W32" s="112">
        <v>1966.7867146858744</v>
      </c>
      <c r="X32" s="117">
        <v>10220.1</v>
      </c>
      <c r="Y32" s="118">
        <v>2002.8179763407402</v>
      </c>
      <c r="AA32" s="119">
        <v>41061</v>
      </c>
      <c r="AB32" s="120">
        <f t="shared" si="0"/>
        <v>9680.58</v>
      </c>
      <c r="AC32" s="113">
        <f t="shared" si="1"/>
        <v>1988.517216943613</v>
      </c>
      <c r="AD32" s="121">
        <f t="shared" si="2"/>
        <v>539.52</v>
      </c>
      <c r="AE32" s="122">
        <f t="shared" si="2"/>
        <v>2259.4157769869512</v>
      </c>
      <c r="AF32" s="123">
        <f t="shared" si="3"/>
        <v>5.2790090116535057E-2</v>
      </c>
      <c r="AG32" s="123">
        <f t="shared" si="4"/>
        <v>0.11989761371171602</v>
      </c>
      <c r="AI32" s="120">
        <v>2276.3560000000007</v>
      </c>
      <c r="AJ32" s="120">
        <v>2341.4707763565007</v>
      </c>
      <c r="AL32" s="120">
        <v>1997.5</v>
      </c>
      <c r="AN32" s="124">
        <f t="shared" si="5"/>
        <v>-2.6623160654519087E-3</v>
      </c>
    </row>
    <row r="33" spans="1:40">
      <c r="A33" s="110">
        <v>41091</v>
      </c>
      <c r="B33" s="111">
        <v>5798.33</v>
      </c>
      <c r="C33" s="112">
        <v>1943.8355526505045</v>
      </c>
      <c r="D33" s="113">
        <v>563.59</v>
      </c>
      <c r="E33" s="114">
        <v>2118.5613655316806</v>
      </c>
      <c r="F33" s="111">
        <v>1073.835</v>
      </c>
      <c r="G33" s="112">
        <v>1797.2966051581479</v>
      </c>
      <c r="H33" s="113">
        <v>557.29</v>
      </c>
      <c r="I33" s="114">
        <v>1781.8371045595652</v>
      </c>
      <c r="J33" s="115">
        <v>286.97000000000003</v>
      </c>
      <c r="K33" s="116">
        <v>1808.5514165243756</v>
      </c>
      <c r="L33" s="113">
        <v>459.9</v>
      </c>
      <c r="M33" s="114">
        <v>1887.3668188736681</v>
      </c>
      <c r="N33" s="111">
        <v>72.069999999999993</v>
      </c>
      <c r="O33" s="112">
        <v>1859.3034549743306</v>
      </c>
      <c r="P33" s="113">
        <v>203.57</v>
      </c>
      <c r="Q33" s="114">
        <v>1964.9260696566291</v>
      </c>
      <c r="R33" s="111">
        <v>40.799999999999997</v>
      </c>
      <c r="S33" s="112">
        <v>2794.1176470588234</v>
      </c>
      <c r="T33" s="113">
        <v>80</v>
      </c>
      <c r="U33" s="114">
        <v>2050</v>
      </c>
      <c r="V33" s="111">
        <v>915.55</v>
      </c>
      <c r="W33" s="112">
        <v>1961.6623887280869</v>
      </c>
      <c r="X33" s="117">
        <v>10051.905000000001</v>
      </c>
      <c r="Y33" s="118">
        <v>1928.2912045030268</v>
      </c>
      <c r="AA33" s="119">
        <v>41091</v>
      </c>
      <c r="AB33" s="120">
        <f t="shared" si="0"/>
        <v>9764.9349999999977</v>
      </c>
      <c r="AC33" s="113">
        <f t="shared" si="1"/>
        <v>1931.8100939740002</v>
      </c>
      <c r="AD33" s="121">
        <f t="shared" si="2"/>
        <v>286.97000000000003</v>
      </c>
      <c r="AE33" s="122">
        <f t="shared" si="2"/>
        <v>1808.5514165243756</v>
      </c>
      <c r="AF33" s="123">
        <f t="shared" si="3"/>
        <v>2.8548817363474883E-2</v>
      </c>
      <c r="AG33" s="123">
        <f t="shared" si="4"/>
        <v>-6.8153261402155649E-2</v>
      </c>
      <c r="AI33" s="120">
        <v>3175.1801000000005</v>
      </c>
      <c r="AJ33" s="120">
        <v>2322.467874720292</v>
      </c>
      <c r="AL33" s="120">
        <v>1845</v>
      </c>
      <c r="AN33" s="124">
        <f t="shared" si="5"/>
        <v>-4.5144284283483389E-2</v>
      </c>
    </row>
    <row r="34" spans="1:40">
      <c r="A34" s="110">
        <v>41122</v>
      </c>
      <c r="B34" s="111">
        <v>2630.99</v>
      </c>
      <c r="C34" s="112">
        <v>1794.3815825981856</v>
      </c>
      <c r="D34" s="113">
        <v>666.18</v>
      </c>
      <c r="E34" s="114">
        <v>1979.9453601128826</v>
      </c>
      <c r="F34" s="111">
        <v>932.62</v>
      </c>
      <c r="G34" s="112">
        <v>1755.2700992901719</v>
      </c>
      <c r="H34" s="113">
        <v>1058.8</v>
      </c>
      <c r="I34" s="114">
        <v>1608.4246316584813</v>
      </c>
      <c r="J34" s="115">
        <v>341.61700000000002</v>
      </c>
      <c r="K34" s="116">
        <v>1762.2073842929362</v>
      </c>
      <c r="L34" s="113">
        <v>367.47500000000002</v>
      </c>
      <c r="M34" s="114">
        <v>1877.6787536567115</v>
      </c>
      <c r="N34" s="111">
        <v>154.19999999999999</v>
      </c>
      <c r="O34" s="112">
        <v>1796.3683527885862</v>
      </c>
      <c r="P34" s="113"/>
      <c r="Q34" s="114"/>
      <c r="R34" s="111">
        <v>27.2</v>
      </c>
      <c r="S34" s="112">
        <v>2794.1176470588234</v>
      </c>
      <c r="T34" s="113">
        <v>82</v>
      </c>
      <c r="U34" s="114">
        <v>1817.0731707317075</v>
      </c>
      <c r="V34" s="111">
        <v>246.25</v>
      </c>
      <c r="W34" s="112">
        <v>1884.263959390863</v>
      </c>
      <c r="X34" s="117">
        <v>6507.3320000000003</v>
      </c>
      <c r="Y34" s="118">
        <v>1788.444173433905</v>
      </c>
      <c r="AA34" s="119">
        <v>41122</v>
      </c>
      <c r="AB34" s="120">
        <f t="shared" si="0"/>
        <v>6165.7150000000001</v>
      </c>
      <c r="AC34" s="113">
        <f t="shared" si="1"/>
        <v>1789.8978463973765</v>
      </c>
      <c r="AD34" s="121">
        <f t="shared" si="2"/>
        <v>341.61700000000002</v>
      </c>
      <c r="AE34" s="122">
        <f t="shared" si="2"/>
        <v>1762.2073842929362</v>
      </c>
      <c r="AF34" s="123">
        <f t="shared" si="3"/>
        <v>5.2497244646500289E-2</v>
      </c>
      <c r="AG34" s="123">
        <f t="shared" si="4"/>
        <v>-1.5713509290253433E-2</v>
      </c>
      <c r="AI34" s="120">
        <v>3404.4300000000003</v>
      </c>
      <c r="AJ34" s="120">
        <v>2174.9905282571485</v>
      </c>
      <c r="AL34" s="120">
        <v>1697</v>
      </c>
      <c r="AN34" s="124">
        <f t="shared" si="5"/>
        <v>-5.3885782813143789E-2</v>
      </c>
    </row>
    <row r="35" spans="1:40">
      <c r="A35" s="110">
        <v>41153</v>
      </c>
      <c r="B35" s="111">
        <v>5597.42</v>
      </c>
      <c r="C35" s="112">
        <v>1766.3494967324232</v>
      </c>
      <c r="D35" s="113">
        <v>636.88</v>
      </c>
      <c r="E35" s="114">
        <v>1838.6509232508479</v>
      </c>
      <c r="F35" s="111">
        <v>441.755</v>
      </c>
      <c r="G35" s="112">
        <v>1684.1914635940736</v>
      </c>
      <c r="H35" s="113">
        <v>881.37</v>
      </c>
      <c r="I35" s="114">
        <v>1633.8200755641785</v>
      </c>
      <c r="J35" s="115">
        <v>1972.77</v>
      </c>
      <c r="K35" s="116">
        <v>1998.2055688194771</v>
      </c>
      <c r="L35" s="113">
        <v>372.4</v>
      </c>
      <c r="M35" s="114">
        <v>1809.8818474758325</v>
      </c>
      <c r="N35" s="111">
        <v>259.67</v>
      </c>
      <c r="O35" s="112">
        <v>1351.7156390803714</v>
      </c>
      <c r="P35" s="113">
        <v>83.13</v>
      </c>
      <c r="Q35" s="114">
        <v>2069.0484782870203</v>
      </c>
      <c r="R35" s="111"/>
      <c r="S35" s="112"/>
      <c r="T35" s="113">
        <v>358</v>
      </c>
      <c r="U35" s="114">
        <v>1815.6424581005585</v>
      </c>
      <c r="V35" s="111">
        <v>424.73</v>
      </c>
      <c r="W35" s="112">
        <v>1732.8655851953006</v>
      </c>
      <c r="X35" s="117">
        <v>11028.125</v>
      </c>
      <c r="Y35" s="118">
        <v>1792.4171153301218</v>
      </c>
      <c r="AA35" s="119">
        <v>41153</v>
      </c>
      <c r="AB35" s="120">
        <f t="shared" si="0"/>
        <v>9055.3549999999996</v>
      </c>
      <c r="AC35" s="113">
        <f t="shared" si="1"/>
        <v>1747.5847164467878</v>
      </c>
      <c r="AD35" s="121">
        <f t="shared" ref="AD35:AE66" si="6">J35</f>
        <v>1972.77</v>
      </c>
      <c r="AE35" s="122">
        <f t="shared" si="6"/>
        <v>1998.2055688194771</v>
      </c>
      <c r="AF35" s="123">
        <f t="shared" si="3"/>
        <v>0.17888534995749503</v>
      </c>
      <c r="AG35" s="123">
        <f t="shared" si="4"/>
        <v>0.12542295761929739</v>
      </c>
      <c r="AI35" s="120">
        <v>1433.8000000000002</v>
      </c>
      <c r="AJ35" s="120">
        <v>1946.0140819470441</v>
      </c>
      <c r="AL35" s="120">
        <v>1622.5</v>
      </c>
      <c r="AN35" s="124">
        <f t="shared" si="5"/>
        <v>-0.1047254948105527</v>
      </c>
    </row>
    <row r="36" spans="1:40">
      <c r="A36" s="110">
        <v>41183</v>
      </c>
      <c r="B36" s="111">
        <v>5631.23</v>
      </c>
      <c r="C36" s="112">
        <v>1638.7183617078329</v>
      </c>
      <c r="D36" s="113">
        <v>2775.19</v>
      </c>
      <c r="E36" s="114">
        <v>1632.6810056248403</v>
      </c>
      <c r="F36" s="111">
        <v>656.88</v>
      </c>
      <c r="G36" s="112">
        <v>1621.3006941907197</v>
      </c>
      <c r="H36" s="113">
        <v>665.74</v>
      </c>
      <c r="I36" s="114">
        <v>1559.1672424670292</v>
      </c>
      <c r="J36" s="115">
        <v>1339.8</v>
      </c>
      <c r="K36" s="116">
        <v>1550.2313778175846</v>
      </c>
      <c r="L36" s="113">
        <v>408.8</v>
      </c>
      <c r="M36" s="114">
        <v>1773.4833659491194</v>
      </c>
      <c r="N36" s="111">
        <v>552.45000000000005</v>
      </c>
      <c r="O36" s="112">
        <v>1636.3471807403384</v>
      </c>
      <c r="P36" s="113">
        <v>314.48</v>
      </c>
      <c r="Q36" s="114">
        <v>1663.0628338845077</v>
      </c>
      <c r="R36" s="111">
        <v>12</v>
      </c>
      <c r="S36" s="112">
        <v>1666.6666666666667</v>
      </c>
      <c r="T36" s="113"/>
      <c r="U36" s="114"/>
      <c r="V36" s="111">
        <v>471.44600000000003</v>
      </c>
      <c r="W36" s="112">
        <v>1822.0538513424656</v>
      </c>
      <c r="X36" s="117">
        <v>12828.016</v>
      </c>
      <c r="Y36" s="118">
        <v>1634.7032931670806</v>
      </c>
      <c r="AA36" s="119">
        <v>41183</v>
      </c>
      <c r="AB36" s="120">
        <f t="shared" si="0"/>
        <v>11488.215999999999</v>
      </c>
      <c r="AC36" s="113">
        <f t="shared" si="1"/>
        <v>1644.5547333023685</v>
      </c>
      <c r="AD36" s="121">
        <f t="shared" si="6"/>
        <v>1339.8</v>
      </c>
      <c r="AE36" s="122">
        <f t="shared" si="6"/>
        <v>1550.2313778175846</v>
      </c>
      <c r="AF36" s="123">
        <f t="shared" si="3"/>
        <v>0.1044432747823202</v>
      </c>
      <c r="AG36" s="123">
        <f t="shared" si="4"/>
        <v>-6.0844695078725766E-2</v>
      </c>
      <c r="AI36" s="120">
        <v>2661.5340000000001</v>
      </c>
      <c r="AJ36" s="120">
        <v>2120.9448297407585</v>
      </c>
      <c r="AL36" s="120">
        <v>1495</v>
      </c>
      <c r="AN36" s="124">
        <f t="shared" si="5"/>
        <v>-9.3447018840856572E-2</v>
      </c>
    </row>
    <row r="37" spans="1:40">
      <c r="A37" s="110">
        <v>41214</v>
      </c>
      <c r="B37" s="111">
        <v>6607.01</v>
      </c>
      <c r="C37" s="112">
        <v>1624.1840106190243</v>
      </c>
      <c r="D37" s="113">
        <v>801.61</v>
      </c>
      <c r="E37" s="114">
        <v>1726.5253676975087</v>
      </c>
      <c r="F37" s="111">
        <v>1146.45</v>
      </c>
      <c r="G37" s="112">
        <v>1509.8783200314012</v>
      </c>
      <c r="H37" s="113">
        <v>857.54</v>
      </c>
      <c r="I37" s="114">
        <v>1470.4853417916365</v>
      </c>
      <c r="J37" s="115">
        <v>366</v>
      </c>
      <c r="K37" s="116">
        <v>1442.6229508196723</v>
      </c>
      <c r="L37" s="113">
        <v>524.20000000000005</v>
      </c>
      <c r="M37" s="114">
        <v>1785.5780236550936</v>
      </c>
      <c r="N37" s="111">
        <v>290.11</v>
      </c>
      <c r="O37" s="112">
        <v>1606.287270345731</v>
      </c>
      <c r="P37" s="113">
        <v>553.46</v>
      </c>
      <c r="Q37" s="114">
        <v>1595.4179163805875</v>
      </c>
      <c r="R37" s="111">
        <v>24</v>
      </c>
      <c r="S37" s="112">
        <v>1875</v>
      </c>
      <c r="T37" s="113">
        <v>74</v>
      </c>
      <c r="U37" s="114">
        <v>1702.7027027027027</v>
      </c>
      <c r="V37" s="111">
        <v>325.88</v>
      </c>
      <c r="W37" s="112">
        <v>1795.1393150853075</v>
      </c>
      <c r="X37" s="117">
        <v>11570.26</v>
      </c>
      <c r="Y37" s="118">
        <v>1614.1383166843268</v>
      </c>
      <c r="AA37" s="119">
        <v>41214</v>
      </c>
      <c r="AB37" s="120">
        <f t="shared" si="0"/>
        <v>11204.26</v>
      </c>
      <c r="AC37" s="113">
        <f t="shared" si="1"/>
        <v>1619.7410627743375</v>
      </c>
      <c r="AD37" s="121">
        <f t="shared" si="6"/>
        <v>366</v>
      </c>
      <c r="AE37" s="122">
        <f t="shared" si="6"/>
        <v>1442.6229508196723</v>
      </c>
      <c r="AF37" s="123">
        <f t="shared" si="3"/>
        <v>3.1632824154340523E-2</v>
      </c>
      <c r="AG37" s="123">
        <f t="shared" si="4"/>
        <v>-0.12277505487766564</v>
      </c>
      <c r="AI37" s="120">
        <v>1209.8599999999999</v>
      </c>
      <c r="AJ37" s="120">
        <v>1705.3498578853043</v>
      </c>
      <c r="AL37" s="120">
        <v>1447.5</v>
      </c>
      <c r="AN37" s="124">
        <f t="shared" si="5"/>
        <v>-0.1151214623035073</v>
      </c>
    </row>
    <row r="38" spans="1:40">
      <c r="A38" s="110">
        <v>41244</v>
      </c>
      <c r="B38" s="111">
        <v>4222.33</v>
      </c>
      <c r="C38" s="112">
        <v>1603.1432881844858</v>
      </c>
      <c r="D38" s="113">
        <v>667.54</v>
      </c>
      <c r="E38" s="114">
        <v>1719.7471312580519</v>
      </c>
      <c r="F38" s="111">
        <v>533.79999999999995</v>
      </c>
      <c r="G38" s="112">
        <v>1500.5620082427874</v>
      </c>
      <c r="H38" s="113">
        <v>352.93</v>
      </c>
      <c r="I38" s="114">
        <v>1470.5465673079648</v>
      </c>
      <c r="J38" s="115">
        <v>1551.06</v>
      </c>
      <c r="K38" s="116">
        <v>1324.9003907005533</v>
      </c>
      <c r="L38" s="113">
        <v>437.6</v>
      </c>
      <c r="M38" s="114">
        <v>1560.7861060329067</v>
      </c>
      <c r="N38" s="111">
        <v>253.47</v>
      </c>
      <c r="O38" s="112">
        <v>1597.8222274825423</v>
      </c>
      <c r="P38" s="113"/>
      <c r="Q38" s="114"/>
      <c r="R38" s="111">
        <v>24</v>
      </c>
      <c r="S38" s="112">
        <v>1875</v>
      </c>
      <c r="T38" s="113">
        <v>76</v>
      </c>
      <c r="U38" s="114">
        <v>1815.7894736842106</v>
      </c>
      <c r="V38" s="111">
        <v>496.2</v>
      </c>
      <c r="W38" s="112">
        <v>1656.5900846432889</v>
      </c>
      <c r="X38" s="117">
        <v>8614.93</v>
      </c>
      <c r="Y38" s="118">
        <v>1553.6980567456728</v>
      </c>
      <c r="AA38" s="119">
        <v>41244</v>
      </c>
      <c r="AB38" s="120">
        <f t="shared" si="0"/>
        <v>7063.8700000000008</v>
      </c>
      <c r="AC38" s="113">
        <f t="shared" si="1"/>
        <v>1603.9366522883347</v>
      </c>
      <c r="AD38" s="121">
        <f t="shared" si="6"/>
        <v>1551.06</v>
      </c>
      <c r="AE38" s="122">
        <f t="shared" si="6"/>
        <v>1324.9003907005533</v>
      </c>
      <c r="AF38" s="123">
        <f t="shared" si="3"/>
        <v>0.18004325049652173</v>
      </c>
      <c r="AG38" s="123">
        <f t="shared" si="4"/>
        <v>-0.2106092379067368</v>
      </c>
      <c r="AI38" s="120">
        <v>2649.8700000000003</v>
      </c>
      <c r="AJ38" s="120">
        <v>1715.83853725873</v>
      </c>
      <c r="AL38" s="120">
        <v>1340</v>
      </c>
      <c r="AN38" s="124">
        <f t="shared" si="5"/>
        <v>-0.15947616175050211</v>
      </c>
    </row>
    <row r="39" spans="1:40">
      <c r="A39" s="110">
        <v>41275</v>
      </c>
      <c r="B39" s="111">
        <v>3660.38</v>
      </c>
      <c r="C39" s="112">
        <v>1440.8340117692699</v>
      </c>
      <c r="D39" s="113">
        <v>785.16</v>
      </c>
      <c r="E39" s="114">
        <v>1600.9475775638086</v>
      </c>
      <c r="F39" s="111">
        <v>518.6</v>
      </c>
      <c r="G39" s="112">
        <v>1473.1970690320093</v>
      </c>
      <c r="H39" s="113">
        <v>778.005</v>
      </c>
      <c r="I39" s="114">
        <v>1275.0560729044157</v>
      </c>
      <c r="J39" s="115">
        <v>2466.1280000000002</v>
      </c>
      <c r="K39" s="116">
        <v>1517.7638792471437</v>
      </c>
      <c r="L39" s="113">
        <v>796.4</v>
      </c>
      <c r="M39" s="114">
        <v>1621.0447011551985</v>
      </c>
      <c r="N39" s="111">
        <v>361.03</v>
      </c>
      <c r="O39" s="112">
        <v>1429.244107137911</v>
      </c>
      <c r="P39" s="113">
        <v>49.6</v>
      </c>
      <c r="Q39" s="114">
        <v>2016.1290322580644</v>
      </c>
      <c r="R39" s="111">
        <v>12</v>
      </c>
      <c r="S39" s="112">
        <v>1833.3333333333333</v>
      </c>
      <c r="T39" s="113">
        <v>90</v>
      </c>
      <c r="U39" s="114">
        <v>1722.2222222222224</v>
      </c>
      <c r="V39" s="111">
        <v>807</v>
      </c>
      <c r="W39" s="112">
        <v>1662.9491945477075</v>
      </c>
      <c r="X39" s="117">
        <v>10324.303</v>
      </c>
      <c r="Y39" s="118">
        <v>1497.0502124937634</v>
      </c>
      <c r="AA39" s="119">
        <v>41275</v>
      </c>
      <c r="AB39" s="120">
        <f t="shared" si="0"/>
        <v>7858.1750000000002</v>
      </c>
      <c r="AC39" s="113">
        <f t="shared" si="1"/>
        <v>1490.5496505231813</v>
      </c>
      <c r="AD39" s="121">
        <f t="shared" si="6"/>
        <v>2466.1280000000002</v>
      </c>
      <c r="AE39" s="122">
        <f t="shared" si="6"/>
        <v>1517.7638792471437</v>
      </c>
      <c r="AF39" s="123">
        <f t="shared" si="3"/>
        <v>0.23886629441232016</v>
      </c>
      <c r="AG39" s="123">
        <f t="shared" si="4"/>
        <v>1.7930475942978332E-2</v>
      </c>
      <c r="AI39" s="120">
        <v>2199.9201000000003</v>
      </c>
      <c r="AJ39" s="120">
        <v>1593.1859271292301</v>
      </c>
      <c r="AL39" s="120">
        <v>1328</v>
      </c>
      <c r="AN39" s="124">
        <f t="shared" si="5"/>
        <v>-0.12729684675735198</v>
      </c>
    </row>
    <row r="40" spans="1:40">
      <c r="A40" s="110">
        <v>41306</v>
      </c>
      <c r="B40" s="111">
        <v>923.25</v>
      </c>
      <c r="C40" s="112">
        <v>1414.5681018142432</v>
      </c>
      <c r="D40" s="113">
        <v>450.53</v>
      </c>
      <c r="E40" s="114">
        <v>1533.7491399018934</v>
      </c>
      <c r="F40" s="111">
        <v>633.11</v>
      </c>
      <c r="G40" s="112">
        <v>1434.1899511933157</v>
      </c>
      <c r="H40" s="113">
        <v>775.93</v>
      </c>
      <c r="I40" s="114">
        <v>1305.530138027915</v>
      </c>
      <c r="J40" s="115">
        <v>470</v>
      </c>
      <c r="K40" s="116">
        <v>1197.8723404255318</v>
      </c>
      <c r="L40" s="113">
        <v>263</v>
      </c>
      <c r="M40" s="114">
        <v>1596.958174904943</v>
      </c>
      <c r="N40" s="111">
        <v>337.02</v>
      </c>
      <c r="O40" s="112">
        <v>1344.1338792949973</v>
      </c>
      <c r="P40" s="113">
        <v>16</v>
      </c>
      <c r="Q40" s="114">
        <v>1625</v>
      </c>
      <c r="R40" s="111">
        <v>14</v>
      </c>
      <c r="S40" s="112">
        <v>1571.4285714285713</v>
      </c>
      <c r="T40" s="113">
        <v>12</v>
      </c>
      <c r="U40" s="114">
        <v>1583.3333333333333</v>
      </c>
      <c r="V40" s="111">
        <v>430.54</v>
      </c>
      <c r="W40" s="112">
        <v>1488.8279834626283</v>
      </c>
      <c r="X40" s="117">
        <v>4325.38</v>
      </c>
      <c r="Y40" s="118">
        <v>1401.4953599452533</v>
      </c>
      <c r="AA40" s="119">
        <v>41306</v>
      </c>
      <c r="AB40" s="120">
        <f t="shared" si="0"/>
        <v>3855.3799999999997</v>
      </c>
      <c r="AC40" s="113">
        <f t="shared" si="1"/>
        <v>1426.3185470692904</v>
      </c>
      <c r="AD40" s="121">
        <f t="shared" si="6"/>
        <v>470</v>
      </c>
      <c r="AE40" s="122">
        <f t="shared" si="6"/>
        <v>1197.8723404255318</v>
      </c>
      <c r="AF40" s="123">
        <f t="shared" si="3"/>
        <v>0.10866097313993221</v>
      </c>
      <c r="AG40" s="123">
        <f t="shared" si="4"/>
        <v>-0.19070997712711646</v>
      </c>
      <c r="AI40" s="120">
        <v>3508.5699999999974</v>
      </c>
      <c r="AJ40" s="120">
        <v>1510.3998449751145</v>
      </c>
      <c r="AL40" s="120">
        <v>1340</v>
      </c>
      <c r="AN40" s="124">
        <f t="shared" si="5"/>
        <v>-4.5892059660636801E-2</v>
      </c>
    </row>
    <row r="41" spans="1:40">
      <c r="A41" s="110">
        <v>41334</v>
      </c>
      <c r="B41" s="111">
        <v>3662.2</v>
      </c>
      <c r="C41" s="112">
        <v>1288.2966522855115</v>
      </c>
      <c r="D41" s="113">
        <v>1342.94</v>
      </c>
      <c r="E41" s="114">
        <v>1492.2483506336844</v>
      </c>
      <c r="F41" s="111">
        <v>1090.53</v>
      </c>
      <c r="G41" s="112">
        <v>1413.9913619982945</v>
      </c>
      <c r="H41" s="113">
        <v>735.85</v>
      </c>
      <c r="I41" s="114">
        <v>1244.8189168988245</v>
      </c>
      <c r="J41" s="115">
        <v>1414.7270000000001</v>
      </c>
      <c r="K41" s="116">
        <v>1285.7604329315832</v>
      </c>
      <c r="L41" s="113">
        <v>614.4</v>
      </c>
      <c r="M41" s="114">
        <v>1450.1953125</v>
      </c>
      <c r="N41" s="111">
        <v>284.77999999999997</v>
      </c>
      <c r="O41" s="112">
        <v>1376.5011587892409</v>
      </c>
      <c r="P41" s="113">
        <v>40.5</v>
      </c>
      <c r="Q41" s="114">
        <v>1901.2345679012346</v>
      </c>
      <c r="R41" s="111">
        <v>24</v>
      </c>
      <c r="S41" s="112">
        <v>1875</v>
      </c>
      <c r="T41" s="113">
        <v>56</v>
      </c>
      <c r="U41" s="114">
        <v>1767.8571428571429</v>
      </c>
      <c r="V41" s="111">
        <v>1231.904</v>
      </c>
      <c r="W41" s="112">
        <v>1501.7403953554822</v>
      </c>
      <c r="X41" s="117">
        <v>10497.831</v>
      </c>
      <c r="Y41" s="118">
        <v>1367.2348126008126</v>
      </c>
      <c r="AA41" s="119">
        <v>41334</v>
      </c>
      <c r="AB41" s="120">
        <f t="shared" si="0"/>
        <v>9083.1039999999994</v>
      </c>
      <c r="AC41" s="113">
        <f t="shared" si="1"/>
        <v>1379.9247481918076</v>
      </c>
      <c r="AD41" s="121">
        <f t="shared" si="6"/>
        <v>1414.7270000000001</v>
      </c>
      <c r="AE41" s="122">
        <f t="shared" si="6"/>
        <v>1285.7604329315832</v>
      </c>
      <c r="AF41" s="123">
        <f t="shared" si="3"/>
        <v>0.13476374310083675</v>
      </c>
      <c r="AG41" s="123">
        <f t="shared" si="4"/>
        <v>-7.3236283251869969E-2</v>
      </c>
      <c r="AI41" s="120">
        <v>1822.1500000000003</v>
      </c>
      <c r="AJ41" s="120">
        <v>1411.4553007892489</v>
      </c>
      <c r="AL41" s="120">
        <v>1342.5</v>
      </c>
      <c r="AN41" s="124">
        <f t="shared" si="5"/>
        <v>-1.8424441415875289E-2</v>
      </c>
    </row>
    <row r="42" spans="1:40">
      <c r="A42" s="110">
        <v>41365</v>
      </c>
      <c r="B42" s="111">
        <v>1961.38</v>
      </c>
      <c r="C42" s="112">
        <v>1323.5579031090354</v>
      </c>
      <c r="D42" s="113">
        <v>663.83600000000001</v>
      </c>
      <c r="E42" s="114">
        <v>1637.4526238408282</v>
      </c>
      <c r="F42" s="111">
        <v>887.53</v>
      </c>
      <c r="G42" s="112">
        <v>1477.1331673295551</v>
      </c>
      <c r="H42" s="113">
        <v>68.72</v>
      </c>
      <c r="I42" s="114">
        <v>1455.1804423748545</v>
      </c>
      <c r="J42" s="115">
        <v>816.22400000000005</v>
      </c>
      <c r="K42" s="116">
        <v>1250.8821107931155</v>
      </c>
      <c r="L42" s="113">
        <v>345.6</v>
      </c>
      <c r="M42" s="114">
        <v>1626.1574074074074</v>
      </c>
      <c r="N42" s="111">
        <v>347.36</v>
      </c>
      <c r="O42" s="112">
        <v>1390.4882542607093</v>
      </c>
      <c r="P42" s="113">
        <v>8</v>
      </c>
      <c r="Q42" s="114">
        <v>1625</v>
      </c>
      <c r="R42" s="111"/>
      <c r="S42" s="112"/>
      <c r="T42" s="113">
        <v>28.128</v>
      </c>
      <c r="U42" s="114">
        <v>1706.4846416382254</v>
      </c>
      <c r="V42" s="111">
        <v>469.76799999999997</v>
      </c>
      <c r="W42" s="112">
        <v>1592.275335910492</v>
      </c>
      <c r="X42" s="117">
        <v>5596.5460000000003</v>
      </c>
      <c r="Y42" s="118">
        <v>1423.9139640771291</v>
      </c>
      <c r="AA42" s="119">
        <v>41365</v>
      </c>
      <c r="AB42" s="120">
        <f t="shared" si="0"/>
        <v>4780.3219999999992</v>
      </c>
      <c r="AC42" s="113">
        <f t="shared" si="1"/>
        <v>1453.4585745479073</v>
      </c>
      <c r="AD42" s="121">
        <f t="shared" si="6"/>
        <v>816.22400000000005</v>
      </c>
      <c r="AE42" s="122">
        <f t="shared" si="6"/>
        <v>1250.8821107931155</v>
      </c>
      <c r="AF42" s="123">
        <f t="shared" si="3"/>
        <v>0.14584424035824953</v>
      </c>
      <c r="AG42" s="123">
        <f t="shared" si="4"/>
        <v>-0.1619468869263381</v>
      </c>
      <c r="AI42" s="120">
        <v>2828.85</v>
      </c>
      <c r="AJ42" s="120">
        <v>1400.5854961910313</v>
      </c>
      <c r="AL42" s="120">
        <v>1376.25</v>
      </c>
      <c r="AN42" s="124">
        <f t="shared" si="5"/>
        <v>-3.4633216404816779E-2</v>
      </c>
    </row>
    <row r="43" spans="1:40">
      <c r="A43" s="110">
        <v>41395</v>
      </c>
      <c r="B43" s="111">
        <v>5065.3999999999996</v>
      </c>
      <c r="C43" s="112">
        <v>1247.0880878114265</v>
      </c>
      <c r="D43" s="113">
        <v>1280.42</v>
      </c>
      <c r="E43" s="114">
        <v>1295.6686087377579</v>
      </c>
      <c r="F43" s="111">
        <v>1587.74</v>
      </c>
      <c r="G43" s="112">
        <v>1364.2032070742061</v>
      </c>
      <c r="H43" s="113">
        <v>430.88900000000001</v>
      </c>
      <c r="I43" s="114">
        <v>1243.9398545797178</v>
      </c>
      <c r="J43" s="115">
        <v>702.7</v>
      </c>
      <c r="K43" s="116">
        <v>1232.3893553436744</v>
      </c>
      <c r="L43" s="113">
        <v>105.65</v>
      </c>
      <c r="M43" s="114">
        <v>1637.4822527212493</v>
      </c>
      <c r="N43" s="111">
        <v>537.45000000000005</v>
      </c>
      <c r="O43" s="112">
        <v>1356.4052469997209</v>
      </c>
      <c r="P43" s="113">
        <v>846.82</v>
      </c>
      <c r="Q43" s="114">
        <v>1310.7862355636382</v>
      </c>
      <c r="R43" s="111">
        <v>25.512</v>
      </c>
      <c r="S43" s="112">
        <v>1450.2978990279084</v>
      </c>
      <c r="T43" s="113">
        <v>48</v>
      </c>
      <c r="U43" s="114">
        <v>1687.5</v>
      </c>
      <c r="V43" s="111">
        <v>295.34699999999998</v>
      </c>
      <c r="W43" s="112">
        <v>1581.1909381168591</v>
      </c>
      <c r="X43" s="117">
        <v>10925.928</v>
      </c>
      <c r="Y43" s="118">
        <v>1294.2607712589722</v>
      </c>
      <c r="AA43" s="119">
        <v>41395</v>
      </c>
      <c r="AB43" s="120">
        <f t="shared" si="0"/>
        <v>10223.227999999999</v>
      </c>
      <c r="AC43" s="113">
        <f t="shared" si="1"/>
        <v>1298.5135419067246</v>
      </c>
      <c r="AD43" s="121">
        <f t="shared" si="6"/>
        <v>702.7</v>
      </c>
      <c r="AE43" s="122">
        <f t="shared" si="6"/>
        <v>1232.3893553436744</v>
      </c>
      <c r="AF43" s="123">
        <f t="shared" si="3"/>
        <v>6.4314903045306543E-2</v>
      </c>
      <c r="AG43" s="123">
        <f t="shared" si="4"/>
        <v>-5.3655272399371116E-2</v>
      </c>
      <c r="AI43" s="120">
        <v>1864.7980000000005</v>
      </c>
      <c r="AJ43" s="120">
        <v>1357.7199183182306</v>
      </c>
      <c r="AL43" s="120">
        <v>1406</v>
      </c>
      <c r="AN43" s="124">
        <f t="shared" si="5"/>
        <v>7.9473135662181921E-2</v>
      </c>
    </row>
    <row r="44" spans="1:40">
      <c r="A44" s="110">
        <v>41426</v>
      </c>
      <c r="B44" s="111">
        <v>5196.5200000000004</v>
      </c>
      <c r="C44" s="112">
        <v>1229.2842132811959</v>
      </c>
      <c r="D44" s="113">
        <v>917.04</v>
      </c>
      <c r="E44" s="114">
        <v>1319.4626188606821</v>
      </c>
      <c r="F44" s="111">
        <v>1292.8499999999999</v>
      </c>
      <c r="G44" s="112">
        <v>1450.28425571412</v>
      </c>
      <c r="H44" s="113">
        <v>665.24</v>
      </c>
      <c r="I44" s="114">
        <v>1199.5670735373701</v>
      </c>
      <c r="J44" s="115">
        <v>547.79999999999995</v>
      </c>
      <c r="K44" s="116">
        <v>1283.3150784958013</v>
      </c>
      <c r="L44" s="113">
        <v>390.9</v>
      </c>
      <c r="M44" s="114">
        <v>1481.1972371450499</v>
      </c>
      <c r="N44" s="111">
        <v>431.97</v>
      </c>
      <c r="O44" s="112">
        <v>1208.4172511979998</v>
      </c>
      <c r="P44" s="113">
        <v>300.42</v>
      </c>
      <c r="Q44" s="114">
        <v>1271.5531589108582</v>
      </c>
      <c r="R44" s="111">
        <v>24</v>
      </c>
      <c r="S44" s="112">
        <v>1625</v>
      </c>
      <c r="T44" s="113"/>
      <c r="U44" s="114"/>
      <c r="V44" s="111">
        <v>490.64100000000002</v>
      </c>
      <c r="W44" s="112">
        <v>1642.7489753200407</v>
      </c>
      <c r="X44" s="117">
        <v>10257.380999999999</v>
      </c>
      <c r="Y44" s="118">
        <v>1296.8222590152398</v>
      </c>
      <c r="AA44" s="119">
        <v>41426</v>
      </c>
      <c r="AB44" s="120">
        <f t="shared" si="0"/>
        <v>9709.5809999999983</v>
      </c>
      <c r="AC44" s="113">
        <f t="shared" si="1"/>
        <v>1297.5843138854295</v>
      </c>
      <c r="AD44" s="121">
        <f t="shared" si="6"/>
        <v>547.79999999999995</v>
      </c>
      <c r="AE44" s="122">
        <f t="shared" si="6"/>
        <v>1283.3150784958013</v>
      </c>
      <c r="AF44" s="123">
        <f t="shared" si="3"/>
        <v>5.3405445308115196E-2</v>
      </c>
      <c r="AG44" s="123">
        <f t="shared" si="4"/>
        <v>-1.1119042882558071E-2</v>
      </c>
      <c r="AI44" s="120">
        <v>1681.87</v>
      </c>
      <c r="AJ44" s="120">
        <v>1347.3543837514194</v>
      </c>
      <c r="AL44" s="120">
        <v>1541.25</v>
      </c>
      <c r="AN44" s="124">
        <f t="shared" si="5"/>
        <v>0.15859058620260194</v>
      </c>
    </row>
    <row r="45" spans="1:40">
      <c r="A45" s="110">
        <v>41456</v>
      </c>
      <c r="B45" s="111">
        <v>4827.1400000000003</v>
      </c>
      <c r="C45" s="112">
        <v>1275.2893017397464</v>
      </c>
      <c r="D45" s="113">
        <v>909.79</v>
      </c>
      <c r="E45" s="114">
        <v>1298.1017597467549</v>
      </c>
      <c r="F45" s="111">
        <v>959.22</v>
      </c>
      <c r="G45" s="112">
        <v>1386.5432330435146</v>
      </c>
      <c r="H45" s="113">
        <v>425.72</v>
      </c>
      <c r="I45" s="114">
        <v>1259.0435027717747</v>
      </c>
      <c r="J45" s="115">
        <v>55.95</v>
      </c>
      <c r="K45" s="116">
        <v>1411.9749776586236</v>
      </c>
      <c r="L45" s="113">
        <v>282.10000000000002</v>
      </c>
      <c r="M45" s="114">
        <v>1549.0960652250976</v>
      </c>
      <c r="N45" s="111">
        <v>400.67</v>
      </c>
      <c r="O45" s="112">
        <v>1352.7341702648064</v>
      </c>
      <c r="P45" s="113">
        <v>1530.6379999999999</v>
      </c>
      <c r="Q45" s="114">
        <v>1341.9240865573702</v>
      </c>
      <c r="R45" s="111">
        <v>27.2</v>
      </c>
      <c r="S45" s="112">
        <v>2977.9411764705883</v>
      </c>
      <c r="T45" s="113">
        <v>48</v>
      </c>
      <c r="U45" s="114">
        <v>1375</v>
      </c>
      <c r="V45" s="111">
        <v>315.61599999999999</v>
      </c>
      <c r="W45" s="112">
        <v>1612.7192537767414</v>
      </c>
      <c r="X45" s="117">
        <v>9782.0439999999999</v>
      </c>
      <c r="Y45" s="118">
        <v>1326.0009871147583</v>
      </c>
      <c r="AA45" s="119">
        <v>41456</v>
      </c>
      <c r="AB45" s="120">
        <f t="shared" si="0"/>
        <v>9726.0940000000028</v>
      </c>
      <c r="AC45" s="113">
        <f t="shared" si="1"/>
        <v>1325.5064160391619</v>
      </c>
      <c r="AD45" s="121">
        <f t="shared" si="6"/>
        <v>55.95</v>
      </c>
      <c r="AE45" s="122">
        <f t="shared" si="6"/>
        <v>1411.9749776586236</v>
      </c>
      <c r="AF45" s="123">
        <f t="shared" si="3"/>
        <v>5.7196634977311495E-3</v>
      </c>
      <c r="AG45" s="123">
        <f t="shared" si="4"/>
        <v>6.1239443324163111E-2</v>
      </c>
      <c r="AI45" s="120">
        <v>3203.4939999999997</v>
      </c>
      <c r="AJ45" s="120">
        <v>1377.1588893064884</v>
      </c>
      <c r="AL45" s="120">
        <v>1644</v>
      </c>
      <c r="AN45" s="124">
        <f t="shared" si="5"/>
        <v>0.19343005649953873</v>
      </c>
    </row>
    <row r="46" spans="1:40">
      <c r="A46" s="110">
        <v>41487</v>
      </c>
      <c r="B46" s="111">
        <v>2781.64</v>
      </c>
      <c r="C46" s="112">
        <v>1295.9980443191785</v>
      </c>
      <c r="D46" s="113">
        <v>697.93</v>
      </c>
      <c r="E46" s="114">
        <v>1323.915005802874</v>
      </c>
      <c r="F46" s="111">
        <v>1196.47</v>
      </c>
      <c r="G46" s="112">
        <v>1419.1747390239623</v>
      </c>
      <c r="H46" s="113">
        <v>631.08000000000004</v>
      </c>
      <c r="I46" s="114">
        <v>1210.6230588831843</v>
      </c>
      <c r="J46" s="115">
        <v>19.57</v>
      </c>
      <c r="K46" s="116">
        <v>1379.6627491057743</v>
      </c>
      <c r="L46" s="113">
        <v>388.96</v>
      </c>
      <c r="M46" s="114">
        <v>1462.8753599341835</v>
      </c>
      <c r="N46" s="111">
        <v>363.09199999999998</v>
      </c>
      <c r="O46" s="112">
        <v>1283.421281658643</v>
      </c>
      <c r="P46" s="113">
        <v>651.30999999999995</v>
      </c>
      <c r="Q46" s="114">
        <v>1374.1536288403372</v>
      </c>
      <c r="R46" s="111">
        <v>61.6</v>
      </c>
      <c r="S46" s="112">
        <v>1931.818181818182</v>
      </c>
      <c r="T46" s="113">
        <v>76</v>
      </c>
      <c r="U46" s="114">
        <v>1578.9473684210527</v>
      </c>
      <c r="V46" s="111">
        <v>589.63199999999995</v>
      </c>
      <c r="W46" s="112">
        <v>1538.2475849343321</v>
      </c>
      <c r="X46" s="117">
        <v>7457.2839999999997</v>
      </c>
      <c r="Y46" s="118">
        <v>1353.5759131608772</v>
      </c>
      <c r="AA46" s="119">
        <v>41487</v>
      </c>
      <c r="AB46" s="120">
        <f t="shared" si="0"/>
        <v>7437.7139999999999</v>
      </c>
      <c r="AC46" s="113">
        <f t="shared" si="1"/>
        <v>1353.5072738747417</v>
      </c>
      <c r="AD46" s="121">
        <f t="shared" si="6"/>
        <v>19.57</v>
      </c>
      <c r="AE46" s="122">
        <f t="shared" si="6"/>
        <v>1379.6627491057743</v>
      </c>
      <c r="AF46" s="123">
        <f t="shared" si="3"/>
        <v>2.6242798316384358E-3</v>
      </c>
      <c r="AG46" s="123">
        <f t="shared" si="4"/>
        <v>1.8957875935974366E-2</v>
      </c>
      <c r="AI46" s="120">
        <v>1987.0150000000001</v>
      </c>
      <c r="AJ46" s="120">
        <v>1381.4296366157273</v>
      </c>
      <c r="AL46" s="120">
        <v>1635</v>
      </c>
      <c r="AN46" s="124">
        <f t="shared" si="5"/>
        <v>0.17212482375481514</v>
      </c>
    </row>
    <row r="47" spans="1:40">
      <c r="A47" s="110">
        <v>41518</v>
      </c>
      <c r="B47" s="111">
        <v>3006.95</v>
      </c>
      <c r="C47" s="112">
        <v>1333.577212790369</v>
      </c>
      <c r="D47" s="113">
        <v>149.35</v>
      </c>
      <c r="E47" s="114">
        <v>1486.4412453967191</v>
      </c>
      <c r="F47" s="111">
        <v>895.33</v>
      </c>
      <c r="G47" s="112">
        <v>1444.160253761183</v>
      </c>
      <c r="H47" s="113">
        <v>555.08000000000004</v>
      </c>
      <c r="I47" s="114">
        <v>1235.8578943575699</v>
      </c>
      <c r="J47" s="115">
        <v>16</v>
      </c>
      <c r="K47" s="116">
        <v>1375</v>
      </c>
      <c r="L47" s="113">
        <v>240</v>
      </c>
      <c r="M47" s="114">
        <v>1562.5</v>
      </c>
      <c r="N47" s="111">
        <v>425.77499999999998</v>
      </c>
      <c r="O47" s="112">
        <v>1338.7352474898714</v>
      </c>
      <c r="P47" s="113">
        <v>463.15</v>
      </c>
      <c r="Q47" s="114">
        <v>1425.0242901867646</v>
      </c>
      <c r="R47" s="111">
        <v>37.792000000000002</v>
      </c>
      <c r="S47" s="112">
        <v>2037.4682472480949</v>
      </c>
      <c r="T47" s="113">
        <v>66</v>
      </c>
      <c r="U47" s="114">
        <v>1924.2424242424242</v>
      </c>
      <c r="V47" s="111">
        <v>382.52800000000002</v>
      </c>
      <c r="W47" s="112">
        <v>1620.7963861468963</v>
      </c>
      <c r="X47" s="117">
        <v>6237.9549999999999</v>
      </c>
      <c r="Y47" s="118">
        <v>1388.5961024085618</v>
      </c>
      <c r="AA47" s="119">
        <v>41518</v>
      </c>
      <c r="AB47" s="120">
        <f t="shared" si="0"/>
        <v>6221.9549999999999</v>
      </c>
      <c r="AC47" s="113">
        <f t="shared" si="1"/>
        <v>1388.6310653162873</v>
      </c>
      <c r="AD47" s="121">
        <f t="shared" si="6"/>
        <v>16</v>
      </c>
      <c r="AE47" s="122">
        <f t="shared" si="6"/>
        <v>1375</v>
      </c>
      <c r="AF47" s="123">
        <f t="shared" si="3"/>
        <v>2.5649431584549745E-3</v>
      </c>
      <c r="AG47" s="123">
        <f t="shared" si="4"/>
        <v>-9.9135020482089293E-3</v>
      </c>
      <c r="AI47" s="120">
        <v>1910.328</v>
      </c>
      <c r="AJ47" s="120">
        <v>1318.9084312850989</v>
      </c>
      <c r="AL47" s="120">
        <v>1571.25</v>
      </c>
      <c r="AN47" s="124">
        <f t="shared" si="5"/>
        <v>0.1162475084114165</v>
      </c>
    </row>
    <row r="48" spans="1:40">
      <c r="A48" s="110">
        <v>41548</v>
      </c>
      <c r="B48" s="111">
        <v>3750.24</v>
      </c>
      <c r="C48" s="112">
        <v>1331.9147574555227</v>
      </c>
      <c r="D48" s="113">
        <v>1195.55</v>
      </c>
      <c r="E48" s="114">
        <v>1359.2070595123585</v>
      </c>
      <c r="F48" s="111">
        <v>998.22</v>
      </c>
      <c r="G48" s="112">
        <v>1457.5945182424716</v>
      </c>
      <c r="H48" s="113">
        <v>669.45</v>
      </c>
      <c r="I48" s="114">
        <v>1253.2676077376952</v>
      </c>
      <c r="J48" s="115">
        <v>26</v>
      </c>
      <c r="K48" s="116">
        <v>1500</v>
      </c>
      <c r="L48" s="113">
        <v>434.4</v>
      </c>
      <c r="M48" s="114">
        <v>1489.4106813996318</v>
      </c>
      <c r="N48" s="111">
        <v>235.58500000000001</v>
      </c>
      <c r="O48" s="112">
        <v>1328.6075089670394</v>
      </c>
      <c r="P48" s="113"/>
      <c r="Q48" s="114"/>
      <c r="R48" s="111"/>
      <c r="S48" s="112"/>
      <c r="T48" s="113">
        <v>28</v>
      </c>
      <c r="U48" s="114">
        <v>1821.4285714285713</v>
      </c>
      <c r="V48" s="111">
        <v>258.05</v>
      </c>
      <c r="W48" s="112">
        <v>1685.719821739973</v>
      </c>
      <c r="X48" s="117">
        <v>7595.4949999999999</v>
      </c>
      <c r="Y48" s="118">
        <v>1369.1010263320559</v>
      </c>
      <c r="AA48" s="119">
        <v>41548</v>
      </c>
      <c r="AB48" s="120">
        <f t="shared" si="0"/>
        <v>7569.4949999999999</v>
      </c>
      <c r="AC48" s="113">
        <f t="shared" si="1"/>
        <v>1368.6514093740732</v>
      </c>
      <c r="AD48" s="121">
        <f t="shared" si="6"/>
        <v>26</v>
      </c>
      <c r="AE48" s="122">
        <f t="shared" si="6"/>
        <v>1500</v>
      </c>
      <c r="AF48" s="123">
        <f t="shared" si="3"/>
        <v>3.4230817083020925E-3</v>
      </c>
      <c r="AG48" s="123">
        <f t="shared" si="4"/>
        <v>8.7565727083951217E-2</v>
      </c>
      <c r="AI48" s="120">
        <v>2055.7500700000001</v>
      </c>
      <c r="AJ48" s="120">
        <v>1454.8500308844448</v>
      </c>
      <c r="AL48" s="120">
        <v>1499</v>
      </c>
      <c r="AN48" s="124">
        <f t="shared" si="5"/>
        <v>8.6657087170076127E-2</v>
      </c>
    </row>
    <row r="49" spans="1:40">
      <c r="A49" s="110">
        <v>41579</v>
      </c>
      <c r="B49" s="111">
        <v>2002.15</v>
      </c>
      <c r="C49" s="112">
        <v>1334.0658791798817</v>
      </c>
      <c r="D49" s="113">
        <v>714.59</v>
      </c>
      <c r="E49" s="114">
        <v>1340.628892091969</v>
      </c>
      <c r="F49" s="111">
        <v>764.96</v>
      </c>
      <c r="G49" s="112">
        <v>1469.3578749215646</v>
      </c>
      <c r="H49" s="113">
        <v>336.19</v>
      </c>
      <c r="I49" s="114">
        <v>1270.115113477498</v>
      </c>
      <c r="J49" s="115">
        <v>533</v>
      </c>
      <c r="K49" s="116">
        <v>1484.0525328330207</v>
      </c>
      <c r="L49" s="113">
        <v>223.8</v>
      </c>
      <c r="M49" s="114">
        <v>1546.0232350312779</v>
      </c>
      <c r="N49" s="111">
        <v>271.69</v>
      </c>
      <c r="O49" s="112">
        <v>1328.7202326180575</v>
      </c>
      <c r="P49" s="113"/>
      <c r="Q49" s="114"/>
      <c r="R49" s="111">
        <v>9</v>
      </c>
      <c r="S49" s="112">
        <v>1888.8888888888889</v>
      </c>
      <c r="T49" s="113"/>
      <c r="U49" s="114"/>
      <c r="V49" s="111">
        <v>356.71199999999999</v>
      </c>
      <c r="W49" s="112">
        <v>1600.7311220256117</v>
      </c>
      <c r="X49" s="117">
        <v>5212.0919999999996</v>
      </c>
      <c r="Y49" s="118">
        <v>1394.0659527882472</v>
      </c>
      <c r="AA49" s="119">
        <v>41579</v>
      </c>
      <c r="AB49" s="120">
        <f t="shared" si="0"/>
        <v>4679.0920000000006</v>
      </c>
      <c r="AC49" s="113">
        <f t="shared" si="1"/>
        <v>1383.8154924075011</v>
      </c>
      <c r="AD49" s="121">
        <f t="shared" si="6"/>
        <v>533</v>
      </c>
      <c r="AE49" s="122">
        <f t="shared" si="6"/>
        <v>1484.0525328330207</v>
      </c>
      <c r="AF49" s="123">
        <f t="shared" si="3"/>
        <v>0.10226220105094078</v>
      </c>
      <c r="AG49" s="123">
        <f t="shared" si="4"/>
        <v>6.7542784509231277E-2</v>
      </c>
      <c r="AI49" s="120">
        <v>1306.93</v>
      </c>
      <c r="AJ49" s="120">
        <v>1437.5303589327664</v>
      </c>
      <c r="AL49" s="120">
        <v>1628.75</v>
      </c>
      <c r="AN49" s="124">
        <f t="shared" si="5"/>
        <v>0.14408844034489815</v>
      </c>
    </row>
    <row r="50" spans="1:40">
      <c r="A50" s="110">
        <v>41609</v>
      </c>
      <c r="B50" s="111">
        <v>3508.16</v>
      </c>
      <c r="C50" s="112">
        <v>1307.2379823041138</v>
      </c>
      <c r="D50" s="113">
        <v>1440.77</v>
      </c>
      <c r="E50" s="114">
        <v>1312.4926254711022</v>
      </c>
      <c r="F50" s="111">
        <v>1231.9100000000001</v>
      </c>
      <c r="G50" s="112">
        <v>1422.1818152300089</v>
      </c>
      <c r="H50" s="113">
        <v>437.1</v>
      </c>
      <c r="I50" s="114">
        <v>1253.7176847403339</v>
      </c>
      <c r="J50" s="115">
        <v>360</v>
      </c>
      <c r="K50" s="116">
        <v>1608.3333333333335</v>
      </c>
      <c r="L50" s="113">
        <v>210.02500000000001</v>
      </c>
      <c r="M50" s="114">
        <v>1485.5374360195215</v>
      </c>
      <c r="N50" s="111">
        <v>308.69</v>
      </c>
      <c r="O50" s="112">
        <v>1357.3487965272604</v>
      </c>
      <c r="P50" s="113">
        <v>126</v>
      </c>
      <c r="Q50" s="114">
        <v>373.01587301587301</v>
      </c>
      <c r="R50" s="111"/>
      <c r="S50" s="112"/>
      <c r="T50" s="113"/>
      <c r="U50" s="114"/>
      <c r="V50" s="111">
        <v>592.35</v>
      </c>
      <c r="W50" s="112">
        <v>1743.9014096395713</v>
      </c>
      <c r="X50" s="117">
        <v>8215.0049999999992</v>
      </c>
      <c r="Y50" s="118">
        <v>1359.3418385016198</v>
      </c>
      <c r="AA50" s="119">
        <v>41609</v>
      </c>
      <c r="AB50" s="120">
        <f t="shared" si="0"/>
        <v>7855.0050000000001</v>
      </c>
      <c r="AC50" s="113">
        <f t="shared" si="1"/>
        <v>1347.9303959704673</v>
      </c>
      <c r="AD50" s="121">
        <f t="shared" si="6"/>
        <v>360</v>
      </c>
      <c r="AE50" s="122">
        <f t="shared" si="6"/>
        <v>1608.3333333333335</v>
      </c>
      <c r="AF50" s="123">
        <f t="shared" si="3"/>
        <v>4.3822249651704413E-2</v>
      </c>
      <c r="AG50" s="123">
        <f t="shared" si="4"/>
        <v>0.16190856209090124</v>
      </c>
      <c r="AI50" s="120">
        <v>2002.6899999999996</v>
      </c>
      <c r="AJ50" s="120">
        <v>1536.94960568036</v>
      </c>
      <c r="AL50" s="120">
        <v>1773.3333333333333</v>
      </c>
      <c r="AN50" s="124">
        <f t="shared" si="5"/>
        <v>0.23345385046901135</v>
      </c>
    </row>
    <row r="51" spans="1:40">
      <c r="A51" s="110">
        <v>41640</v>
      </c>
      <c r="B51" s="111">
        <v>4502.82</v>
      </c>
      <c r="C51" s="112">
        <v>1457.5310583145674</v>
      </c>
      <c r="D51" s="113">
        <v>500.51</v>
      </c>
      <c r="E51" s="114">
        <v>1570.3981938422808</v>
      </c>
      <c r="F51" s="111">
        <v>817.702</v>
      </c>
      <c r="G51" s="112">
        <v>1526.2283814886109</v>
      </c>
      <c r="H51" s="113">
        <v>944.44</v>
      </c>
      <c r="I51" s="114">
        <v>1377.5358942865614</v>
      </c>
      <c r="J51" s="115">
        <v>593.4</v>
      </c>
      <c r="K51" s="116">
        <v>1567.2396359959555</v>
      </c>
      <c r="L51" s="113">
        <v>211.6</v>
      </c>
      <c r="M51" s="114">
        <v>1498.109640831758</v>
      </c>
      <c r="N51" s="111">
        <v>782.51</v>
      </c>
      <c r="O51" s="112">
        <v>1455.5724527482078</v>
      </c>
      <c r="P51" s="113"/>
      <c r="Q51" s="114"/>
      <c r="R51" s="111">
        <v>24</v>
      </c>
      <c r="S51" s="112">
        <v>1958.3333333333333</v>
      </c>
      <c r="T51" s="113"/>
      <c r="U51" s="114"/>
      <c r="V51" s="111">
        <v>475.32799999999997</v>
      </c>
      <c r="W51" s="112">
        <v>1714.6054934697725</v>
      </c>
      <c r="X51" s="117">
        <v>8852.31</v>
      </c>
      <c r="Y51" s="118">
        <v>1485.0361092189496</v>
      </c>
      <c r="AA51" s="119">
        <v>41640</v>
      </c>
      <c r="AB51" s="120">
        <f t="shared" si="0"/>
        <v>8258.91</v>
      </c>
      <c r="AC51" s="113">
        <f t="shared" si="1"/>
        <v>1479.1298125297405</v>
      </c>
      <c r="AD51" s="121">
        <f t="shared" si="6"/>
        <v>593.4</v>
      </c>
      <c r="AE51" s="122">
        <f t="shared" si="6"/>
        <v>1567.2396359959555</v>
      </c>
      <c r="AF51" s="123">
        <f t="shared" si="3"/>
        <v>6.7033350616957615E-2</v>
      </c>
      <c r="AG51" s="123">
        <f t="shared" si="4"/>
        <v>5.6219751876184894E-2</v>
      </c>
      <c r="AI51" s="120">
        <v>2416.1479999999997</v>
      </c>
      <c r="AJ51" s="120">
        <v>1611.5827088324058</v>
      </c>
      <c r="AL51" s="120">
        <v>1712.5</v>
      </c>
      <c r="AN51" s="124">
        <f t="shared" si="5"/>
        <v>0.1328256296531681</v>
      </c>
    </row>
    <row r="52" spans="1:40">
      <c r="A52" s="110">
        <v>41671</v>
      </c>
      <c r="B52" s="111">
        <v>3748.36</v>
      </c>
      <c r="C52" s="112">
        <v>1579.0905889509013</v>
      </c>
      <c r="D52" s="113">
        <v>936.32</v>
      </c>
      <c r="E52" s="114">
        <v>1596.6763499658236</v>
      </c>
      <c r="F52" s="111">
        <v>2271.3200000000002</v>
      </c>
      <c r="G52" s="112">
        <v>1619.7629572231124</v>
      </c>
      <c r="H52" s="113">
        <v>1299.81</v>
      </c>
      <c r="I52" s="114">
        <v>1571.7681815034505</v>
      </c>
      <c r="J52" s="115">
        <v>340</v>
      </c>
      <c r="K52" s="116">
        <v>1600</v>
      </c>
      <c r="L52" s="113">
        <v>278.39999999999998</v>
      </c>
      <c r="M52" s="114">
        <v>1505.028735632184</v>
      </c>
      <c r="N52" s="111">
        <v>548.67999999999995</v>
      </c>
      <c r="O52" s="112">
        <v>1428.8838667347088</v>
      </c>
      <c r="P52" s="113">
        <v>12.6</v>
      </c>
      <c r="Q52" s="114">
        <v>3650.7936507936506</v>
      </c>
      <c r="R52" s="111"/>
      <c r="S52" s="112"/>
      <c r="T52" s="113"/>
      <c r="U52" s="114"/>
      <c r="V52" s="111">
        <v>380.61</v>
      </c>
      <c r="W52" s="112">
        <v>1631.5913927642468</v>
      </c>
      <c r="X52" s="117">
        <v>9816.1</v>
      </c>
      <c r="Y52" s="118">
        <v>1584.1321909923495</v>
      </c>
      <c r="AA52" s="119">
        <v>41671</v>
      </c>
      <c r="AB52" s="120">
        <f t="shared" si="0"/>
        <v>9476.1</v>
      </c>
      <c r="AC52" s="113">
        <f t="shared" si="1"/>
        <v>1583.5628581378414</v>
      </c>
      <c r="AD52" s="121">
        <f t="shared" si="6"/>
        <v>340</v>
      </c>
      <c r="AE52" s="122">
        <f t="shared" si="6"/>
        <v>1600</v>
      </c>
      <c r="AF52" s="123">
        <f t="shared" si="3"/>
        <v>3.4636973950958119E-2</v>
      </c>
      <c r="AG52" s="123">
        <f t="shared" si="4"/>
        <v>1.0273213663849106E-2</v>
      </c>
      <c r="AI52" s="120">
        <v>3573.55</v>
      </c>
      <c r="AJ52" s="120">
        <v>1634.7546622546208</v>
      </c>
      <c r="AL52" s="120">
        <v>1741.6666666666667</v>
      </c>
      <c r="AN52" s="124">
        <f t="shared" si="5"/>
        <v>9.0450416655110388E-2</v>
      </c>
    </row>
    <row r="53" spans="1:40">
      <c r="A53" s="110">
        <v>41699</v>
      </c>
      <c r="B53" s="111">
        <v>2525.83</v>
      </c>
      <c r="C53" s="112">
        <v>1538.1082654018678</v>
      </c>
      <c r="D53" s="113">
        <v>210.15</v>
      </c>
      <c r="E53" s="114">
        <v>1717.8206043302403</v>
      </c>
      <c r="F53" s="111">
        <v>976.84</v>
      </c>
      <c r="G53" s="112">
        <v>1514.0657630727651</v>
      </c>
      <c r="H53" s="113">
        <v>568.27</v>
      </c>
      <c r="I53" s="114">
        <v>1406.0217854189029</v>
      </c>
      <c r="J53" s="115">
        <v>478</v>
      </c>
      <c r="K53" s="116">
        <v>1907.9497907949792</v>
      </c>
      <c r="L53" s="113">
        <v>354.2</v>
      </c>
      <c r="M53" s="114">
        <v>1485.0367024280067</v>
      </c>
      <c r="N53" s="111">
        <v>181.24</v>
      </c>
      <c r="O53" s="112">
        <v>1544.912822776429</v>
      </c>
      <c r="P53" s="113">
        <v>120</v>
      </c>
      <c r="Q53" s="114">
        <v>383.33333333333337</v>
      </c>
      <c r="R53" s="111">
        <v>24</v>
      </c>
      <c r="S53" s="112">
        <v>2000</v>
      </c>
      <c r="T53" s="113">
        <v>72</v>
      </c>
      <c r="U53" s="114">
        <v>1791.6666666666667</v>
      </c>
      <c r="V53" s="111">
        <v>601.40599999999995</v>
      </c>
      <c r="W53" s="112">
        <v>1666.0957822170049</v>
      </c>
      <c r="X53" s="117">
        <v>6111.9359999999997</v>
      </c>
      <c r="Y53" s="118">
        <v>1548.9363762971341</v>
      </c>
      <c r="AA53" s="119">
        <v>41699</v>
      </c>
      <c r="AB53" s="120">
        <f t="shared" si="0"/>
        <v>5633.9359999999997</v>
      </c>
      <c r="AC53" s="113">
        <f t="shared" si="1"/>
        <v>1518.4766032131001</v>
      </c>
      <c r="AD53" s="121">
        <f t="shared" si="6"/>
        <v>478</v>
      </c>
      <c r="AE53" s="122">
        <f t="shared" si="6"/>
        <v>1907.9497907949792</v>
      </c>
      <c r="AF53" s="123">
        <f t="shared" si="3"/>
        <v>7.8207625210735196E-2</v>
      </c>
      <c r="AG53" s="123">
        <f t="shared" si="4"/>
        <v>0.20413178033348486</v>
      </c>
      <c r="AI53" s="120">
        <v>4362.4299999999994</v>
      </c>
      <c r="AJ53" s="120">
        <v>1685.7655588055291</v>
      </c>
      <c r="AL53" s="120">
        <v>2037.5</v>
      </c>
      <c r="AN53" s="124">
        <f t="shared" si="5"/>
        <v>0.23978582758422867</v>
      </c>
    </row>
    <row r="54" spans="1:40">
      <c r="A54" s="110">
        <v>41730</v>
      </c>
      <c r="B54" s="111">
        <v>2938</v>
      </c>
      <c r="C54" s="112">
        <v>1635.1259360108918</v>
      </c>
      <c r="D54" s="113">
        <v>667.49</v>
      </c>
      <c r="E54" s="114">
        <v>1736.3556008329713</v>
      </c>
      <c r="F54" s="111">
        <v>934.08</v>
      </c>
      <c r="G54" s="112">
        <v>1656.1750599520385</v>
      </c>
      <c r="H54" s="113">
        <v>699.73</v>
      </c>
      <c r="I54" s="114">
        <v>1546.3107198490845</v>
      </c>
      <c r="J54" s="115">
        <v>72</v>
      </c>
      <c r="K54" s="116">
        <v>1666.6666666666667</v>
      </c>
      <c r="L54" s="113">
        <v>209.31200000000001</v>
      </c>
      <c r="M54" s="114">
        <v>1595.7040207919276</v>
      </c>
      <c r="N54" s="111">
        <v>74.849999999999994</v>
      </c>
      <c r="O54" s="112">
        <v>1763.5270541082164</v>
      </c>
      <c r="P54" s="113"/>
      <c r="Q54" s="114"/>
      <c r="R54" s="111"/>
      <c r="S54" s="112"/>
      <c r="T54" s="113"/>
      <c r="U54" s="114"/>
      <c r="V54" s="111">
        <v>354.08</v>
      </c>
      <c r="W54" s="112">
        <v>1745.368278355174</v>
      </c>
      <c r="X54" s="117">
        <v>5949.5420000000004</v>
      </c>
      <c r="Y54" s="118">
        <v>1646.5132946367974</v>
      </c>
      <c r="AA54" s="119">
        <v>41730</v>
      </c>
      <c r="AB54" s="120">
        <f t="shared" si="0"/>
        <v>5877.5419999999995</v>
      </c>
      <c r="AC54" s="113">
        <f t="shared" si="1"/>
        <v>1646.2664154505405</v>
      </c>
      <c r="AD54" s="121">
        <f t="shared" si="6"/>
        <v>72</v>
      </c>
      <c r="AE54" s="122">
        <f t="shared" si="6"/>
        <v>1666.6666666666667</v>
      </c>
      <c r="AF54" s="123">
        <f t="shared" si="3"/>
        <v>1.2101771867481563E-2</v>
      </c>
      <c r="AG54" s="123">
        <f t="shared" si="4"/>
        <v>1.2240150729675724E-2</v>
      </c>
      <c r="AI54" s="120">
        <v>3965.5099999999993</v>
      </c>
      <c r="AJ54" s="120">
        <v>1880.1805686532127</v>
      </c>
      <c r="AL54" s="120">
        <v>1907</v>
      </c>
      <c r="AN54" s="124">
        <f t="shared" si="5"/>
        <v>0.13659502116581157</v>
      </c>
    </row>
    <row r="55" spans="1:40">
      <c r="A55" s="110">
        <v>41760</v>
      </c>
      <c r="B55" s="111">
        <v>2281.38</v>
      </c>
      <c r="C55" s="112">
        <v>1660.3985307138662</v>
      </c>
      <c r="D55" s="113">
        <v>1222</v>
      </c>
      <c r="E55" s="114">
        <v>1646.481178396072</v>
      </c>
      <c r="F55" s="111">
        <v>880.36</v>
      </c>
      <c r="G55" s="112">
        <v>1617.5201054114225</v>
      </c>
      <c r="H55" s="113">
        <v>610.98</v>
      </c>
      <c r="I55" s="114">
        <v>1585.9766277128549</v>
      </c>
      <c r="J55" s="115">
        <v>85.15</v>
      </c>
      <c r="K55" s="116">
        <v>1726.3652378156196</v>
      </c>
      <c r="L55" s="113">
        <v>247.2</v>
      </c>
      <c r="M55" s="114">
        <v>1622.1682847896438</v>
      </c>
      <c r="N55" s="111">
        <v>18</v>
      </c>
      <c r="O55" s="112">
        <v>1888.8888888888889</v>
      </c>
      <c r="P55" s="113">
        <v>24</v>
      </c>
      <c r="Q55" s="114">
        <v>3916.6666666666665</v>
      </c>
      <c r="R55" s="111">
        <v>10.8</v>
      </c>
      <c r="S55" s="112">
        <v>1944.4444444444443</v>
      </c>
      <c r="T55" s="113">
        <v>80</v>
      </c>
      <c r="U55" s="114">
        <v>1825</v>
      </c>
      <c r="V55" s="111">
        <v>436.47399999999999</v>
      </c>
      <c r="W55" s="112">
        <v>1761.8460664323648</v>
      </c>
      <c r="X55" s="117">
        <v>5896.3440000000001</v>
      </c>
      <c r="Y55" s="118">
        <v>1662.894837885985</v>
      </c>
      <c r="AA55" s="119">
        <v>41760</v>
      </c>
      <c r="AB55" s="120">
        <f t="shared" si="0"/>
        <v>5811.1939999999995</v>
      </c>
      <c r="AC55" s="113">
        <f t="shared" si="1"/>
        <v>1661.9648216872472</v>
      </c>
      <c r="AD55" s="121">
        <f t="shared" si="6"/>
        <v>85.15</v>
      </c>
      <c r="AE55" s="122">
        <f t="shared" si="6"/>
        <v>1726.3652378156196</v>
      </c>
      <c r="AF55" s="123">
        <f t="shared" si="3"/>
        <v>1.4441152008770181E-2</v>
      </c>
      <c r="AG55" s="123">
        <f t="shared" si="4"/>
        <v>3.7304050566876933E-2</v>
      </c>
      <c r="AI55" s="120">
        <v>3847.6800000000003</v>
      </c>
      <c r="AJ55" s="120">
        <v>1920.4746636154771</v>
      </c>
      <c r="AL55" s="120">
        <v>1796.25</v>
      </c>
      <c r="AN55" s="124">
        <f t="shared" si="5"/>
        <v>7.4240869652896307E-2</v>
      </c>
    </row>
    <row r="56" spans="1:40">
      <c r="A56" s="110">
        <v>41791</v>
      </c>
      <c r="B56" s="111">
        <v>5912.89</v>
      </c>
      <c r="C56" s="112">
        <v>1667.2050384837194</v>
      </c>
      <c r="D56" s="113">
        <v>926.88</v>
      </c>
      <c r="E56" s="114">
        <v>1637.7524598653547</v>
      </c>
      <c r="F56" s="111">
        <v>763.49</v>
      </c>
      <c r="G56" s="112">
        <v>1709.2561788628536</v>
      </c>
      <c r="H56" s="113">
        <v>528.41999999999996</v>
      </c>
      <c r="I56" s="114">
        <v>1544.2261837174976</v>
      </c>
      <c r="J56" s="115">
        <v>68</v>
      </c>
      <c r="K56" s="116">
        <v>1735.2941176470588</v>
      </c>
      <c r="L56" s="113">
        <v>259.82</v>
      </c>
      <c r="M56" s="114">
        <v>1866.676930182434</v>
      </c>
      <c r="N56" s="111">
        <v>609.95500000000004</v>
      </c>
      <c r="O56" s="112">
        <v>1616.512693559361</v>
      </c>
      <c r="P56" s="113">
        <v>12</v>
      </c>
      <c r="Q56" s="114">
        <v>2833.3333333333335</v>
      </c>
      <c r="R56" s="111">
        <v>24</v>
      </c>
      <c r="S56" s="112">
        <v>1291.6666666666667</v>
      </c>
      <c r="T56" s="113"/>
      <c r="U56" s="114"/>
      <c r="V56" s="111">
        <v>335.34500000000003</v>
      </c>
      <c r="W56" s="112">
        <v>1655.0120025645233</v>
      </c>
      <c r="X56" s="117">
        <v>9440.7999999999993</v>
      </c>
      <c r="Y56" s="118">
        <v>1663.6302008304381</v>
      </c>
      <c r="AA56" s="119">
        <v>41791</v>
      </c>
      <c r="AB56" s="120">
        <f t="shared" si="0"/>
        <v>9372.7999999999993</v>
      </c>
      <c r="AC56" s="113">
        <f t="shared" si="1"/>
        <v>1663.1102765448959</v>
      </c>
      <c r="AD56" s="121">
        <f t="shared" si="6"/>
        <v>68</v>
      </c>
      <c r="AE56" s="122">
        <f t="shared" si="6"/>
        <v>1735.2941176470588</v>
      </c>
      <c r="AF56" s="123">
        <f t="shared" si="3"/>
        <v>7.202779425472418E-3</v>
      </c>
      <c r="AG56" s="123">
        <f t="shared" si="4"/>
        <v>4.159746775378878E-2</v>
      </c>
      <c r="AI56" s="120">
        <v>2439.4804600000002</v>
      </c>
      <c r="AJ56" s="120">
        <v>1904.2855454479025</v>
      </c>
      <c r="AL56" s="120">
        <v>1693.75</v>
      </c>
      <c r="AN56" s="124">
        <f t="shared" si="5"/>
        <v>1.7782907258781951E-2</v>
      </c>
    </row>
    <row r="57" spans="1:40">
      <c r="A57" s="110">
        <v>41821</v>
      </c>
      <c r="B57" s="111">
        <v>3638.81</v>
      </c>
      <c r="C57" s="112">
        <v>1709.899665000371</v>
      </c>
      <c r="D57" s="113">
        <v>2271.09</v>
      </c>
      <c r="E57" s="114">
        <v>1665.279667472447</v>
      </c>
      <c r="F57" s="111">
        <v>530.02</v>
      </c>
      <c r="G57" s="112">
        <v>1771.631259197766</v>
      </c>
      <c r="H57" s="113">
        <v>762.93</v>
      </c>
      <c r="I57" s="114">
        <v>1609.5841033908746</v>
      </c>
      <c r="J57" s="115"/>
      <c r="K57" s="116"/>
      <c r="L57" s="113">
        <v>252.8</v>
      </c>
      <c r="M57" s="114">
        <v>1882.9113924050632</v>
      </c>
      <c r="N57" s="111">
        <v>131.19999999999999</v>
      </c>
      <c r="O57" s="112">
        <v>1875</v>
      </c>
      <c r="P57" s="113"/>
      <c r="Q57" s="114"/>
      <c r="R57" s="111"/>
      <c r="S57" s="112"/>
      <c r="T57" s="113"/>
      <c r="U57" s="114"/>
      <c r="V57" s="111">
        <v>321.49200000000002</v>
      </c>
      <c r="W57" s="112">
        <v>1800.9779403531036</v>
      </c>
      <c r="X57" s="117">
        <v>7908.3419999999996</v>
      </c>
      <c r="Y57" s="118">
        <v>1703.5176273357931</v>
      </c>
      <c r="AA57" s="119">
        <v>41821</v>
      </c>
      <c r="AB57" s="120">
        <f t="shared" si="0"/>
        <v>7908.3420000000006</v>
      </c>
      <c r="AC57" s="113">
        <f t="shared" si="1"/>
        <v>1703.5176273357929</v>
      </c>
      <c r="AD57" s="121">
        <f t="shared" si="6"/>
        <v>0</v>
      </c>
      <c r="AE57" s="122">
        <f t="shared" si="6"/>
        <v>0</v>
      </c>
      <c r="AF57" s="123"/>
      <c r="AG57" s="123"/>
      <c r="AI57" s="120">
        <v>1799.8600000000001</v>
      </c>
      <c r="AJ57" s="120">
        <v>1957.7766285155508</v>
      </c>
      <c r="AL57" s="120">
        <v>1564</v>
      </c>
      <c r="AN57" s="124">
        <f t="shared" si="5"/>
        <v>-8.9205644076594065E-2</v>
      </c>
    </row>
    <row r="58" spans="1:40">
      <c r="A58" s="110">
        <v>41852</v>
      </c>
      <c r="B58" s="111">
        <v>2831.64</v>
      </c>
      <c r="C58" s="112">
        <v>1663.3470356401237</v>
      </c>
      <c r="D58" s="113">
        <v>161.53</v>
      </c>
      <c r="E58" s="114">
        <v>1745.8057326812357</v>
      </c>
      <c r="F58" s="111">
        <v>740.36</v>
      </c>
      <c r="G58" s="112">
        <v>1707.2775406558972</v>
      </c>
      <c r="H58" s="113">
        <v>702.75</v>
      </c>
      <c r="I58" s="114">
        <v>1556.7413731768054</v>
      </c>
      <c r="J58" s="115">
        <v>312</v>
      </c>
      <c r="K58" s="116">
        <v>1522.4358974358975</v>
      </c>
      <c r="L58" s="113">
        <v>260.42500000000001</v>
      </c>
      <c r="M58" s="114">
        <v>1862.3404051070365</v>
      </c>
      <c r="N58" s="111">
        <v>145.29</v>
      </c>
      <c r="O58" s="112">
        <v>1817.0555440842454</v>
      </c>
      <c r="P58" s="113">
        <v>12</v>
      </c>
      <c r="Q58" s="114">
        <v>2833.3333333333335</v>
      </c>
      <c r="R58" s="111"/>
      <c r="S58" s="112"/>
      <c r="T58" s="113">
        <v>424</v>
      </c>
      <c r="U58" s="114">
        <v>1844.3396226415093</v>
      </c>
      <c r="V58" s="111">
        <v>515.92100000000005</v>
      </c>
      <c r="W58" s="112">
        <v>1750.267967382603</v>
      </c>
      <c r="X58" s="117">
        <v>6105.9160000000002</v>
      </c>
      <c r="Y58" s="118">
        <v>1685.7421556405297</v>
      </c>
      <c r="AA58" s="119">
        <v>41852</v>
      </c>
      <c r="AB58" s="120">
        <f t="shared" si="0"/>
        <v>5793.9160000000011</v>
      </c>
      <c r="AC58" s="113">
        <f t="shared" si="1"/>
        <v>1694.5361306584352</v>
      </c>
      <c r="AD58" s="121">
        <f t="shared" si="6"/>
        <v>312</v>
      </c>
      <c r="AE58" s="122">
        <f t="shared" si="6"/>
        <v>1522.4358974358975</v>
      </c>
      <c r="AF58" s="123">
        <f t="shared" si="3"/>
        <v>5.1097984315539226E-2</v>
      </c>
      <c r="AG58" s="123">
        <f t="shared" si="4"/>
        <v>-0.11304267950617218</v>
      </c>
      <c r="AI58" s="120">
        <v>1467.4279999999999</v>
      </c>
      <c r="AJ58" s="120">
        <v>1887.9572252267235</v>
      </c>
      <c r="AL58" s="120">
        <v>1413.75</v>
      </c>
      <c r="AN58" s="124">
        <f t="shared" si="5"/>
        <v>-0.19239056101894234</v>
      </c>
    </row>
    <row r="59" spans="1:40">
      <c r="A59" s="110">
        <v>41883</v>
      </c>
      <c r="B59" s="111">
        <v>6914.11</v>
      </c>
      <c r="C59" s="112">
        <v>1569.9779147279983</v>
      </c>
      <c r="D59" s="113">
        <v>2407.4299999999998</v>
      </c>
      <c r="E59" s="114">
        <v>1621.2309392173397</v>
      </c>
      <c r="F59" s="111">
        <v>512.26</v>
      </c>
      <c r="G59" s="112">
        <v>1616.3666887908482</v>
      </c>
      <c r="H59" s="113">
        <v>666.45</v>
      </c>
      <c r="I59" s="114">
        <v>1524.495461024833</v>
      </c>
      <c r="J59" s="115"/>
      <c r="K59" s="116"/>
      <c r="L59" s="113">
        <v>225.4</v>
      </c>
      <c r="M59" s="114">
        <v>1850.0443655723159</v>
      </c>
      <c r="N59" s="111">
        <v>90.34</v>
      </c>
      <c r="O59" s="112">
        <v>1782.1562984281602</v>
      </c>
      <c r="P59" s="113"/>
      <c r="Q59" s="114"/>
      <c r="R59" s="111">
        <v>13.6</v>
      </c>
      <c r="S59" s="112">
        <v>2941.1764705882356</v>
      </c>
      <c r="T59" s="113"/>
      <c r="U59" s="114"/>
      <c r="V59" s="111">
        <v>329.315</v>
      </c>
      <c r="W59" s="112">
        <v>1594.2183016261026</v>
      </c>
      <c r="X59" s="117">
        <v>11158.905000000001</v>
      </c>
      <c r="Y59" s="118">
        <v>1590.2097920898152</v>
      </c>
      <c r="AA59" s="119">
        <v>41883</v>
      </c>
      <c r="AB59" s="120">
        <f t="shared" si="0"/>
        <v>11158.905000000001</v>
      </c>
      <c r="AC59" s="113">
        <f t="shared" si="1"/>
        <v>1590.2097920898152</v>
      </c>
      <c r="AD59" s="121">
        <f t="shared" si="6"/>
        <v>0</v>
      </c>
      <c r="AE59" s="122">
        <f t="shared" si="6"/>
        <v>0</v>
      </c>
      <c r="AF59" s="123"/>
      <c r="AG59" s="123"/>
      <c r="AI59" s="120">
        <v>1982.4399999999998</v>
      </c>
      <c r="AJ59" s="120">
        <v>1792.2346868001052</v>
      </c>
      <c r="AL59" s="120">
        <v>1278.75</v>
      </c>
      <c r="AN59" s="124">
        <f t="shared" si="5"/>
        <v>-0.24356581981608227</v>
      </c>
    </row>
    <row r="60" spans="1:40">
      <c r="A60" s="110">
        <v>41913</v>
      </c>
      <c r="B60" s="111">
        <v>3341.38</v>
      </c>
      <c r="C60" s="112">
        <v>1432.9408807139566</v>
      </c>
      <c r="D60" s="113">
        <v>223.49</v>
      </c>
      <c r="E60" s="114">
        <v>1637.6571658687189</v>
      </c>
      <c r="F60" s="111">
        <v>790.94</v>
      </c>
      <c r="G60" s="112">
        <v>1491.8957190178774</v>
      </c>
      <c r="H60" s="113">
        <v>556.14</v>
      </c>
      <c r="I60" s="114">
        <v>1476.2469881684467</v>
      </c>
      <c r="J60" s="115">
        <v>5.57</v>
      </c>
      <c r="K60" s="116">
        <v>1436.2657091561939</v>
      </c>
      <c r="L60" s="113">
        <v>226.9</v>
      </c>
      <c r="M60" s="114">
        <v>1842.2212428382547</v>
      </c>
      <c r="N60" s="111">
        <v>646.51</v>
      </c>
      <c r="O60" s="112">
        <v>1415.2913334673865</v>
      </c>
      <c r="P60" s="113"/>
      <c r="Q60" s="114"/>
      <c r="R60" s="111">
        <v>33.200000000000003</v>
      </c>
      <c r="S60" s="112">
        <v>1957.8313253012047</v>
      </c>
      <c r="T60" s="113"/>
      <c r="U60" s="114"/>
      <c r="V60" s="111">
        <v>448.98599999999999</v>
      </c>
      <c r="W60" s="112">
        <v>1637.0220897756278</v>
      </c>
      <c r="X60" s="117">
        <v>6273.116</v>
      </c>
      <c r="Y60" s="118">
        <v>1481.8791809365553</v>
      </c>
      <c r="AA60" s="119">
        <v>41913</v>
      </c>
      <c r="AB60" s="120">
        <f t="shared" si="0"/>
        <v>6267.5459999999994</v>
      </c>
      <c r="AC60" s="113">
        <f t="shared" si="1"/>
        <v>1481.9197178608663</v>
      </c>
      <c r="AD60" s="121">
        <f t="shared" si="6"/>
        <v>5.57</v>
      </c>
      <c r="AE60" s="122">
        <f t="shared" si="6"/>
        <v>1436.2657091561939</v>
      </c>
      <c r="AF60" s="123">
        <f t="shared" si="3"/>
        <v>8.879159894381039E-4</v>
      </c>
      <c r="AG60" s="123">
        <f t="shared" si="4"/>
        <v>-3.1786603560628145E-2</v>
      </c>
      <c r="AI60" s="120">
        <v>1692.991</v>
      </c>
      <c r="AJ60" s="120">
        <v>1488.5962983146399</v>
      </c>
      <c r="AL60" s="120">
        <v>1279</v>
      </c>
      <c r="AN60" s="124">
        <f t="shared" si="5"/>
        <v>-0.15862328454773672</v>
      </c>
    </row>
    <row r="61" spans="1:40">
      <c r="A61" s="110">
        <v>41944</v>
      </c>
      <c r="B61" s="111">
        <v>1372.16</v>
      </c>
      <c r="C61" s="112">
        <v>1456.827192164179</v>
      </c>
      <c r="D61" s="113">
        <v>1969.5</v>
      </c>
      <c r="E61" s="114">
        <v>1607.5145976136075</v>
      </c>
      <c r="F61" s="111">
        <v>824.36</v>
      </c>
      <c r="G61" s="112">
        <v>1555.1458100829734</v>
      </c>
      <c r="H61" s="113">
        <v>378.3</v>
      </c>
      <c r="I61" s="114">
        <v>1490.8802537668516</v>
      </c>
      <c r="J61" s="115">
        <v>58.1</v>
      </c>
      <c r="K61" s="116">
        <v>1445.7831325301204</v>
      </c>
      <c r="L61" s="113">
        <v>120.9</v>
      </c>
      <c r="M61" s="114">
        <v>1786.6004962779157</v>
      </c>
      <c r="N61" s="111">
        <v>144</v>
      </c>
      <c r="O61" s="112">
        <v>1861.1111111111111</v>
      </c>
      <c r="P61" s="113">
        <v>12</v>
      </c>
      <c r="Q61" s="114">
        <v>2750</v>
      </c>
      <c r="R61" s="111">
        <v>24</v>
      </c>
      <c r="S61" s="112">
        <v>1750</v>
      </c>
      <c r="T61" s="113">
        <v>26</v>
      </c>
      <c r="U61" s="114">
        <v>1730.7692307692309</v>
      </c>
      <c r="V61" s="111">
        <v>352.17599999999999</v>
      </c>
      <c r="W61" s="112">
        <v>1629.8668847394483</v>
      </c>
      <c r="X61" s="117">
        <v>5281.4960000000001</v>
      </c>
      <c r="Y61" s="118">
        <v>1566.4122438036495</v>
      </c>
      <c r="AA61" s="119">
        <v>41944</v>
      </c>
      <c r="AB61" s="120">
        <f t="shared" si="0"/>
        <v>5223.3959999999997</v>
      </c>
      <c r="AC61" s="113">
        <f t="shared" si="1"/>
        <v>1567.7540052486927</v>
      </c>
      <c r="AD61" s="121">
        <f t="shared" si="6"/>
        <v>58.1</v>
      </c>
      <c r="AE61" s="122">
        <f t="shared" si="6"/>
        <v>1445.7831325301204</v>
      </c>
      <c r="AF61" s="123">
        <f t="shared" si="3"/>
        <v>1.1000671021998313E-2</v>
      </c>
      <c r="AG61" s="123">
        <f t="shared" si="4"/>
        <v>-8.4363186963679185E-2</v>
      </c>
      <c r="AI61" s="120">
        <v>2012.7799999999997</v>
      </c>
      <c r="AJ61" s="120">
        <v>1426.1929889506057</v>
      </c>
      <c r="AL61" s="120">
        <v>1313.75</v>
      </c>
      <c r="AN61" s="124">
        <f t="shared" si="5"/>
        <v>-0.19232140346614615</v>
      </c>
    </row>
    <row r="62" spans="1:40">
      <c r="A62" s="110">
        <v>41974</v>
      </c>
      <c r="B62" s="111">
        <v>3624.76</v>
      </c>
      <c r="C62" s="112">
        <v>1369.4699787020381</v>
      </c>
      <c r="D62" s="113">
        <v>1032.83</v>
      </c>
      <c r="E62" s="114">
        <v>1607.2344916394761</v>
      </c>
      <c r="F62" s="111">
        <v>1542.48</v>
      </c>
      <c r="G62" s="112">
        <v>1426.922877444116</v>
      </c>
      <c r="H62" s="113">
        <v>833.25</v>
      </c>
      <c r="I62" s="114">
        <v>1477.3477347734774</v>
      </c>
      <c r="J62" s="115"/>
      <c r="K62" s="116"/>
      <c r="L62" s="113">
        <v>210.6</v>
      </c>
      <c r="M62" s="114">
        <v>1495.7264957264958</v>
      </c>
      <c r="N62" s="111">
        <v>649.04</v>
      </c>
      <c r="O62" s="112">
        <v>1437.5077036854432</v>
      </c>
      <c r="P62" s="113">
        <v>12</v>
      </c>
      <c r="Q62" s="114">
        <v>2750</v>
      </c>
      <c r="R62" s="111">
        <v>27.2</v>
      </c>
      <c r="S62" s="112">
        <v>2867.6470588235293</v>
      </c>
      <c r="T62" s="113">
        <v>100</v>
      </c>
      <c r="U62" s="114">
        <v>1500</v>
      </c>
      <c r="V62" s="111">
        <v>350.22</v>
      </c>
      <c r="W62" s="112">
        <v>1559.02004454343</v>
      </c>
      <c r="X62" s="117">
        <v>8382.3799999999992</v>
      </c>
      <c r="Y62" s="118">
        <v>1444.8163886628859</v>
      </c>
      <c r="AA62" s="119">
        <v>41974</v>
      </c>
      <c r="AB62" s="120">
        <f t="shared" si="0"/>
        <v>8382.3799999999992</v>
      </c>
      <c r="AC62" s="113">
        <f t="shared" si="1"/>
        <v>1444.8163886628859</v>
      </c>
      <c r="AD62" s="121">
        <f t="shared" si="6"/>
        <v>0</v>
      </c>
      <c r="AE62" s="122">
        <f t="shared" si="6"/>
        <v>0</v>
      </c>
      <c r="AF62" s="123"/>
      <c r="AG62" s="123"/>
      <c r="AI62" s="120">
        <v>3138.4200000000005</v>
      </c>
      <c r="AJ62" s="120">
        <v>1335.7194866843824</v>
      </c>
      <c r="AL62" s="120">
        <v>1267.5</v>
      </c>
      <c r="AN62" s="124">
        <f t="shared" si="5"/>
        <v>-0.13989458671628074</v>
      </c>
    </row>
    <row r="63" spans="1:40">
      <c r="A63" s="110">
        <v>42005</v>
      </c>
      <c r="B63" s="111">
        <v>2074.5</v>
      </c>
      <c r="C63" s="112">
        <v>1394.5529043142926</v>
      </c>
      <c r="D63" s="113">
        <v>55.36</v>
      </c>
      <c r="E63" s="114">
        <v>1950.8670520231215</v>
      </c>
      <c r="F63" s="111">
        <v>619.70000000000005</v>
      </c>
      <c r="G63" s="112">
        <v>1411.9735355817331</v>
      </c>
      <c r="H63" s="113">
        <v>106.8</v>
      </c>
      <c r="I63" s="114">
        <v>1535.5805243445693</v>
      </c>
      <c r="J63" s="115">
        <v>13.4</v>
      </c>
      <c r="K63" s="116">
        <v>1492.5373134328358</v>
      </c>
      <c r="L63" s="113">
        <v>184.2</v>
      </c>
      <c r="M63" s="114">
        <v>1525.5157437567862</v>
      </c>
      <c r="N63" s="111">
        <v>100</v>
      </c>
      <c r="O63" s="112">
        <v>1540</v>
      </c>
      <c r="P63" s="113"/>
      <c r="Q63" s="114"/>
      <c r="R63" s="111">
        <v>67.694000000000003</v>
      </c>
      <c r="S63" s="112">
        <v>1935.1788932549414</v>
      </c>
      <c r="T63" s="113">
        <v>12</v>
      </c>
      <c r="U63" s="114">
        <v>1583.3333333333333</v>
      </c>
      <c r="V63" s="111">
        <v>150.19999999999999</v>
      </c>
      <c r="W63" s="112">
        <v>1564.5805592543277</v>
      </c>
      <c r="X63" s="117">
        <v>3383.8539999999998</v>
      </c>
      <c r="Y63" s="118">
        <v>1442.1425983508746</v>
      </c>
      <c r="AA63" s="119">
        <v>42005</v>
      </c>
      <c r="AB63" s="120">
        <f t="shared" si="0"/>
        <v>3370.4540000000002</v>
      </c>
      <c r="AC63" s="113">
        <f t="shared" si="1"/>
        <v>1441.9422427957775</v>
      </c>
      <c r="AD63" s="121">
        <f t="shared" si="6"/>
        <v>13.4</v>
      </c>
      <c r="AE63" s="122">
        <f t="shared" si="6"/>
        <v>1492.5373134328358</v>
      </c>
      <c r="AF63" s="123">
        <f t="shared" si="3"/>
        <v>3.9599817249798604E-3</v>
      </c>
      <c r="AG63" s="123">
        <f t="shared" si="4"/>
        <v>3.3898697326829111E-2</v>
      </c>
      <c r="AI63" s="120">
        <v>3930.9700000000003</v>
      </c>
      <c r="AJ63" s="120">
        <v>1394.6980259325308</v>
      </c>
      <c r="AL63" s="120">
        <v>1328.75</v>
      </c>
      <c r="AN63" s="124">
        <f t="shared" si="5"/>
        <v>-8.5337797441862318E-2</v>
      </c>
    </row>
    <row r="64" spans="1:40">
      <c r="A64" s="110">
        <v>42036</v>
      </c>
      <c r="B64" s="111">
        <v>3191.45</v>
      </c>
      <c r="C64" s="112">
        <v>1403.1239718623196</v>
      </c>
      <c r="D64" s="113">
        <v>706.04</v>
      </c>
      <c r="E64" s="114">
        <v>1652.8808566086907</v>
      </c>
      <c r="F64" s="111">
        <v>629.42999999999995</v>
      </c>
      <c r="G64" s="112">
        <v>1491.8259377532054</v>
      </c>
      <c r="H64" s="113">
        <v>499.3</v>
      </c>
      <c r="I64" s="114">
        <v>1436.0104145804128</v>
      </c>
      <c r="J64" s="115">
        <v>40</v>
      </c>
      <c r="K64" s="116">
        <v>1400</v>
      </c>
      <c r="L64" s="113">
        <v>231.6</v>
      </c>
      <c r="M64" s="114">
        <v>1545.7685664939552</v>
      </c>
      <c r="N64" s="111">
        <v>139.04</v>
      </c>
      <c r="O64" s="112">
        <v>1539.1254315304948</v>
      </c>
      <c r="P64" s="113">
        <v>12</v>
      </c>
      <c r="Q64" s="114">
        <v>2750</v>
      </c>
      <c r="R64" s="111"/>
      <c r="S64" s="112"/>
      <c r="T64" s="113">
        <v>15</v>
      </c>
      <c r="U64" s="114">
        <v>1533.3333333333335</v>
      </c>
      <c r="V64" s="111">
        <v>226.32</v>
      </c>
      <c r="W64" s="112">
        <v>1626.0162601626016</v>
      </c>
      <c r="X64" s="117">
        <v>5690.18</v>
      </c>
      <c r="Y64" s="118">
        <v>1467.967621410922</v>
      </c>
      <c r="AA64" s="119">
        <v>42036</v>
      </c>
      <c r="AB64" s="120">
        <f t="shared" si="0"/>
        <v>5650.18</v>
      </c>
      <c r="AC64" s="113">
        <f t="shared" si="1"/>
        <v>1468.4487927818227</v>
      </c>
      <c r="AD64" s="121">
        <f t="shared" si="6"/>
        <v>40</v>
      </c>
      <c r="AE64" s="122">
        <f t="shared" si="6"/>
        <v>1400</v>
      </c>
      <c r="AF64" s="123">
        <f t="shared" si="3"/>
        <v>7.0296545979213311E-3</v>
      </c>
      <c r="AG64" s="123">
        <f t="shared" si="4"/>
        <v>-4.8891994844159077E-2</v>
      </c>
      <c r="AI64" s="120">
        <v>3006.4999999999995</v>
      </c>
      <c r="AJ64" s="120">
        <v>1419.4701520705141</v>
      </c>
      <c r="AL64" s="120">
        <v>1416.25</v>
      </c>
      <c r="AN64" s="124">
        <f t="shared" si="5"/>
        <v>-3.6517296671436536E-2</v>
      </c>
    </row>
    <row r="65" spans="1:40">
      <c r="A65" s="110">
        <v>42064</v>
      </c>
      <c r="B65" s="111">
        <v>4031.72</v>
      </c>
      <c r="C65" s="112">
        <v>1380.3041877908188</v>
      </c>
      <c r="D65" s="113">
        <v>665.12</v>
      </c>
      <c r="E65" s="114">
        <v>1613.242723117633</v>
      </c>
      <c r="F65" s="111">
        <v>1152.95</v>
      </c>
      <c r="G65" s="112">
        <v>1450.1929832169651</v>
      </c>
      <c r="H65" s="113">
        <v>671.54</v>
      </c>
      <c r="I65" s="114">
        <v>1425.0826458587724</v>
      </c>
      <c r="J65" s="115">
        <v>0.7</v>
      </c>
      <c r="K65" s="116">
        <v>2857.1428571428573</v>
      </c>
      <c r="L65" s="113">
        <v>189.6</v>
      </c>
      <c r="M65" s="114">
        <v>1529.535864978903</v>
      </c>
      <c r="N65" s="111">
        <v>237.65</v>
      </c>
      <c r="O65" s="112">
        <v>1552.7035556490639</v>
      </c>
      <c r="P65" s="113">
        <v>12</v>
      </c>
      <c r="Q65" s="114">
        <v>2750</v>
      </c>
      <c r="R65" s="111">
        <v>2.5499999999999998</v>
      </c>
      <c r="S65" s="112">
        <v>1568.627450980392</v>
      </c>
      <c r="T65" s="113">
        <v>144</v>
      </c>
      <c r="U65" s="114">
        <v>1534.7222222222224</v>
      </c>
      <c r="V65" s="111">
        <v>255.21299999999999</v>
      </c>
      <c r="W65" s="112">
        <v>1551.6450964488486</v>
      </c>
      <c r="X65" s="117">
        <v>7363.0429999999997</v>
      </c>
      <c r="Y65" s="118">
        <v>1437.1775365158128</v>
      </c>
      <c r="AA65" s="119">
        <v>42064</v>
      </c>
      <c r="AB65" s="120">
        <f t="shared" si="0"/>
        <v>7362.3429999999998</v>
      </c>
      <c r="AC65" s="113">
        <f t="shared" si="1"/>
        <v>1437.0425284450887</v>
      </c>
      <c r="AD65" s="121">
        <f t="shared" si="6"/>
        <v>0.7</v>
      </c>
      <c r="AE65" s="122">
        <f t="shared" si="6"/>
        <v>2857.1428571428573</v>
      </c>
      <c r="AF65" s="123">
        <f t="shared" si="3"/>
        <v>9.5069389109910126E-5</v>
      </c>
      <c r="AG65" s="123">
        <f t="shared" si="4"/>
        <v>0.49703511504421899</v>
      </c>
      <c r="AI65" s="120">
        <v>3128.5199999999991</v>
      </c>
      <c r="AJ65" s="120">
        <v>1446.1940138148395</v>
      </c>
      <c r="AL65" s="120">
        <v>1417.5</v>
      </c>
      <c r="AN65" s="124">
        <f t="shared" si="5"/>
        <v>-1.3881859975882038E-2</v>
      </c>
    </row>
    <row r="66" spans="1:40">
      <c r="A66" s="110">
        <v>42095</v>
      </c>
      <c r="B66" s="111">
        <v>2862.68</v>
      </c>
      <c r="C66" s="112">
        <v>1481.4788939036148</v>
      </c>
      <c r="D66" s="113">
        <v>861.37</v>
      </c>
      <c r="E66" s="114">
        <v>1769.2745277871297</v>
      </c>
      <c r="F66" s="111">
        <v>842.05</v>
      </c>
      <c r="G66" s="112">
        <v>1517.7246006769194</v>
      </c>
      <c r="H66" s="113">
        <v>432.71</v>
      </c>
      <c r="I66" s="114">
        <v>1490.6057174551083</v>
      </c>
      <c r="J66" s="115">
        <v>412.7</v>
      </c>
      <c r="K66" s="116">
        <v>1143.6879088926582</v>
      </c>
      <c r="L66" s="113">
        <v>228.8</v>
      </c>
      <c r="M66" s="114">
        <v>1547.2027972027972</v>
      </c>
      <c r="N66" s="111">
        <v>575.29</v>
      </c>
      <c r="O66" s="112">
        <v>1562.690121503937</v>
      </c>
      <c r="P66" s="113">
        <v>24</v>
      </c>
      <c r="Q66" s="114">
        <v>3041.6666666666665</v>
      </c>
      <c r="R66" s="111">
        <v>111</v>
      </c>
      <c r="S66" s="112">
        <v>1333.3333333333333</v>
      </c>
      <c r="T66" s="113"/>
      <c r="U66" s="114"/>
      <c r="V66" s="111">
        <v>356.2</v>
      </c>
      <c r="W66" s="112">
        <v>1650.7580011229645</v>
      </c>
      <c r="X66" s="117">
        <v>6706.8</v>
      </c>
      <c r="Y66" s="118">
        <v>1524.1247688912745</v>
      </c>
      <c r="AA66" s="119">
        <v>42095</v>
      </c>
      <c r="AB66" s="120">
        <f t="shared" si="0"/>
        <v>6294.0999999999995</v>
      </c>
      <c r="AC66" s="113">
        <f t="shared" si="1"/>
        <v>1549.0697637470014</v>
      </c>
      <c r="AD66" s="121">
        <f t="shared" si="6"/>
        <v>412.7</v>
      </c>
      <c r="AE66" s="122">
        <f t="shared" si="6"/>
        <v>1143.6879088926582</v>
      </c>
      <c r="AF66" s="123">
        <f t="shared" si="3"/>
        <v>6.1534561937138424E-2</v>
      </c>
      <c r="AG66" s="123">
        <f t="shared" si="4"/>
        <v>-0.35445146503895636</v>
      </c>
      <c r="AI66" s="120">
        <v>4060.86</v>
      </c>
      <c r="AJ66" s="120">
        <v>1442.7661798732286</v>
      </c>
      <c r="AL66" s="120">
        <v>1347</v>
      </c>
      <c r="AN66" s="124">
        <f t="shared" si="5"/>
        <v>-0.1314957452793426</v>
      </c>
    </row>
    <row r="67" spans="1:40">
      <c r="A67" s="110">
        <v>42125</v>
      </c>
      <c r="B67" s="111">
        <v>2800.18</v>
      </c>
      <c r="C67" s="112">
        <v>1333.8428243898607</v>
      </c>
      <c r="D67" s="113">
        <v>1892.65</v>
      </c>
      <c r="E67" s="114">
        <v>1577.1537262568356</v>
      </c>
      <c r="F67" s="111">
        <v>364.84</v>
      </c>
      <c r="G67" s="112">
        <v>1482.8417936629755</v>
      </c>
      <c r="H67" s="113">
        <v>446.94</v>
      </c>
      <c r="I67" s="114">
        <v>1411.8226160110976</v>
      </c>
      <c r="J67" s="115">
        <v>120</v>
      </c>
      <c r="K67" s="116">
        <v>1200</v>
      </c>
      <c r="L67" s="113">
        <v>139.5</v>
      </c>
      <c r="M67" s="114">
        <v>1534.0501792114696</v>
      </c>
      <c r="N67" s="111">
        <v>144</v>
      </c>
      <c r="O67" s="112">
        <v>1708.3333333333333</v>
      </c>
      <c r="P67" s="113"/>
      <c r="Q67" s="114"/>
      <c r="R67" s="111">
        <v>12</v>
      </c>
      <c r="S67" s="112">
        <v>1250</v>
      </c>
      <c r="T67" s="113">
        <v>36</v>
      </c>
      <c r="U67" s="114">
        <v>1500</v>
      </c>
      <c r="V67" s="111">
        <v>312.93200000000002</v>
      </c>
      <c r="W67" s="112">
        <v>1530.6839824626436</v>
      </c>
      <c r="X67" s="117">
        <v>6269.0420000000004</v>
      </c>
      <c r="Y67" s="118">
        <v>1442.6446656442881</v>
      </c>
      <c r="AA67" s="119">
        <v>42125</v>
      </c>
      <c r="AB67" s="120">
        <f t="shared" ref="AB67:AB75" si="7">B67+D67+F67+H67+L67+N67+P67+R67+T67+V67</f>
        <v>6149.0419999999995</v>
      </c>
      <c r="AC67" s="113">
        <f t="shared" ref="AC67:AC75" si="8">(B67*C67+D67*E67+F67*G67+H67*I67+L67*M67+N67*O67+P67*Q67+R67*S67+T67*U67+V67*W67)/AB67</f>
        <v>1447.3799333294521</v>
      </c>
      <c r="AD67" s="121">
        <f t="shared" ref="AD67:AE75" si="9">J67</f>
        <v>120</v>
      </c>
      <c r="AE67" s="122">
        <f t="shared" si="9"/>
        <v>1200</v>
      </c>
      <c r="AF67" s="123">
        <f t="shared" si="3"/>
        <v>1.9141680658703513E-2</v>
      </c>
      <c r="AG67" s="123">
        <f t="shared" si="4"/>
        <v>-0.2061499444412101</v>
      </c>
      <c r="AI67" s="120">
        <v>2528.67</v>
      </c>
      <c r="AJ67" s="120">
        <v>1432.4002025966217</v>
      </c>
      <c r="AL67" s="120">
        <v>1305</v>
      </c>
      <c r="AN67" s="124">
        <f t="shared" si="5"/>
        <v>-0.10547483957416715</v>
      </c>
    </row>
    <row r="68" spans="1:40">
      <c r="A68" s="110">
        <v>42156</v>
      </c>
      <c r="B68" s="111">
        <v>1037.28</v>
      </c>
      <c r="C68" s="112">
        <v>1430.664815671757</v>
      </c>
      <c r="D68" s="113">
        <v>274.42</v>
      </c>
      <c r="E68" s="114">
        <v>1515.9244952991764</v>
      </c>
      <c r="F68" s="111">
        <v>592.20000000000005</v>
      </c>
      <c r="G68" s="112">
        <v>1428.5714285714287</v>
      </c>
      <c r="H68" s="113">
        <v>85.2</v>
      </c>
      <c r="I68" s="114">
        <v>1431.924882629108</v>
      </c>
      <c r="J68" s="115">
        <v>35.4</v>
      </c>
      <c r="K68" s="116">
        <v>1440.6779661016949</v>
      </c>
      <c r="L68" s="113">
        <v>285.7</v>
      </c>
      <c r="M68" s="114">
        <v>1508.5754287714385</v>
      </c>
      <c r="N68" s="111">
        <v>78</v>
      </c>
      <c r="O68" s="112">
        <v>1602.5641025641025</v>
      </c>
      <c r="P68" s="113">
        <v>21.6</v>
      </c>
      <c r="Q68" s="114">
        <v>2407.4074074074074</v>
      </c>
      <c r="R68" s="111">
        <v>72</v>
      </c>
      <c r="S68" s="112">
        <v>1375</v>
      </c>
      <c r="T68" s="113">
        <v>36.064</v>
      </c>
      <c r="U68" s="114">
        <v>1552.7950310559006</v>
      </c>
      <c r="V68" s="111">
        <v>419.65800000000002</v>
      </c>
      <c r="W68" s="112">
        <v>1510.7539949196726</v>
      </c>
      <c r="X68" s="117">
        <v>2937.5219999999999</v>
      </c>
      <c r="Y68" s="118">
        <v>1469.2655918832268</v>
      </c>
      <c r="AA68" s="119">
        <v>42156</v>
      </c>
      <c r="AB68" s="120">
        <f t="shared" si="7"/>
        <v>2902.1219999999998</v>
      </c>
      <c r="AC68" s="113">
        <f t="shared" si="8"/>
        <v>1469.6143029135233</v>
      </c>
      <c r="AD68" s="121">
        <f t="shared" si="9"/>
        <v>35.4</v>
      </c>
      <c r="AE68" s="122">
        <f t="shared" si="9"/>
        <v>1440.6779661016949</v>
      </c>
      <c r="AF68" s="123">
        <f t="shared" ref="AF68:AF75" si="10">AD68/X68</f>
        <v>1.2050973575687263E-2</v>
      </c>
      <c r="AG68" s="123">
        <f t="shared" ref="AG68:AG75" si="11">(AE68-AC68)/AE68</f>
        <v>-2.0085222022327927E-2</v>
      </c>
      <c r="AI68" s="120">
        <v>3704.09</v>
      </c>
      <c r="AJ68" s="120">
        <v>1371.2552104295521</v>
      </c>
      <c r="AL68" s="120">
        <v>1277.5</v>
      </c>
      <c r="AN68" s="124">
        <f t="shared" ref="AN68:AN75" si="12">(AL68-Y68)/AL68</f>
        <v>-0.15011005235477634</v>
      </c>
    </row>
    <row r="69" spans="1:40">
      <c r="A69" s="110">
        <v>42186</v>
      </c>
      <c r="B69" s="111">
        <v>2733.68</v>
      </c>
      <c r="C69" s="112">
        <v>1315.8087266980774</v>
      </c>
      <c r="D69" s="113">
        <v>1093.49</v>
      </c>
      <c r="E69" s="114">
        <v>1639.7040667953067</v>
      </c>
      <c r="F69" s="111">
        <v>969.18</v>
      </c>
      <c r="G69" s="112">
        <v>1417.6933077446913</v>
      </c>
      <c r="H69" s="113">
        <v>691.36</v>
      </c>
      <c r="I69" s="114">
        <v>1340.8354547558436</v>
      </c>
      <c r="J69" s="115">
        <v>31.7</v>
      </c>
      <c r="K69" s="116">
        <v>1451.1041009463722</v>
      </c>
      <c r="L69" s="113">
        <v>208.07499999999999</v>
      </c>
      <c r="M69" s="114">
        <v>1523.4891265168808</v>
      </c>
      <c r="N69" s="111">
        <v>683.69</v>
      </c>
      <c r="O69" s="112">
        <v>1450.9499919554182</v>
      </c>
      <c r="P69" s="113"/>
      <c r="Q69" s="114"/>
      <c r="R69" s="111">
        <v>24</v>
      </c>
      <c r="S69" s="112">
        <v>1250</v>
      </c>
      <c r="T69" s="113">
        <v>96</v>
      </c>
      <c r="U69" s="114">
        <v>1427.0833333333333</v>
      </c>
      <c r="V69" s="111">
        <v>523.83100000000002</v>
      </c>
      <c r="W69" s="112">
        <v>1468.030719831396</v>
      </c>
      <c r="X69" s="117">
        <v>7055.0060000000003</v>
      </c>
      <c r="Y69" s="118">
        <v>1414.8818583570303</v>
      </c>
      <c r="AA69" s="119">
        <v>42186</v>
      </c>
      <c r="AB69" s="120">
        <f t="shared" si="7"/>
        <v>7023.3060000000005</v>
      </c>
      <c r="AC69" s="113">
        <f t="shared" si="8"/>
        <v>1414.7183676747104</v>
      </c>
      <c r="AD69" s="121">
        <f t="shared" si="9"/>
        <v>31.7</v>
      </c>
      <c r="AE69" s="122">
        <f t="shared" si="9"/>
        <v>1451.1041009463722</v>
      </c>
      <c r="AF69" s="123">
        <f t="shared" si="10"/>
        <v>4.4932633650488739E-3</v>
      </c>
      <c r="AG69" s="123">
        <f t="shared" si="11"/>
        <v>2.5074516189384343E-2</v>
      </c>
      <c r="AI69" s="120">
        <v>1898.0659999999998</v>
      </c>
      <c r="AJ69" s="120">
        <v>1373.4649787942046</v>
      </c>
      <c r="AL69" s="120">
        <v>1246</v>
      </c>
      <c r="AN69" s="124">
        <f t="shared" si="12"/>
        <v>-0.13553921216455081</v>
      </c>
    </row>
    <row r="70" spans="1:40">
      <c r="A70" s="110">
        <v>42217</v>
      </c>
      <c r="B70" s="111">
        <v>4216.45</v>
      </c>
      <c r="C70" s="112">
        <v>1212.6314790878582</v>
      </c>
      <c r="D70" s="113">
        <v>861.41</v>
      </c>
      <c r="E70" s="114">
        <v>1480.131412451678</v>
      </c>
      <c r="F70" s="111">
        <v>489.67</v>
      </c>
      <c r="G70" s="112">
        <v>1292.7073335103232</v>
      </c>
      <c r="H70" s="113">
        <v>504.77</v>
      </c>
      <c r="I70" s="114">
        <v>1259.9797927769082</v>
      </c>
      <c r="J70" s="115">
        <v>4.2699999999999996</v>
      </c>
      <c r="K70" s="116">
        <v>1405.1522248243559</v>
      </c>
      <c r="L70" s="113">
        <v>128.80000000000001</v>
      </c>
      <c r="M70" s="114">
        <v>1459.6273291925465</v>
      </c>
      <c r="N70" s="111">
        <v>611.87</v>
      </c>
      <c r="O70" s="112">
        <v>1410.4303201660484</v>
      </c>
      <c r="P70" s="113">
        <v>12</v>
      </c>
      <c r="Q70" s="114">
        <v>2916.6666666666665</v>
      </c>
      <c r="R70" s="111"/>
      <c r="S70" s="112"/>
      <c r="T70" s="113"/>
      <c r="U70" s="114"/>
      <c r="V70" s="111">
        <v>570.452</v>
      </c>
      <c r="W70" s="112">
        <v>1370.8427702944332</v>
      </c>
      <c r="X70" s="117">
        <v>7399.692</v>
      </c>
      <c r="Y70" s="118">
        <v>1288.026582728038</v>
      </c>
      <c r="AA70" s="119">
        <v>42217</v>
      </c>
      <c r="AB70" s="120">
        <f t="shared" si="7"/>
        <v>7395.4219999999996</v>
      </c>
      <c r="AC70" s="113">
        <f t="shared" si="8"/>
        <v>1287.9589562299489</v>
      </c>
      <c r="AD70" s="121">
        <f t="shared" si="9"/>
        <v>4.2699999999999996</v>
      </c>
      <c r="AE70" s="122">
        <f t="shared" si="9"/>
        <v>1405.1522248243559</v>
      </c>
      <c r="AF70" s="123">
        <f t="shared" si="10"/>
        <v>5.770510448272711E-4</v>
      </c>
      <c r="AG70" s="123">
        <f t="shared" si="11"/>
        <v>8.3402542816353037E-2</v>
      </c>
      <c r="AI70" s="120">
        <v>1940.7799999999997</v>
      </c>
      <c r="AJ70" s="120">
        <v>1393.5010414884737</v>
      </c>
      <c r="AL70" s="120">
        <v>1128.75</v>
      </c>
      <c r="AN70" s="124">
        <f t="shared" si="12"/>
        <v>-0.14110882190745336</v>
      </c>
    </row>
    <row r="71" spans="1:40">
      <c r="A71" s="110">
        <v>42248</v>
      </c>
      <c r="B71" s="111">
        <v>4474.96</v>
      </c>
      <c r="C71" s="112">
        <v>1256.771010243667</v>
      </c>
      <c r="D71" s="113">
        <v>1813.28</v>
      </c>
      <c r="E71" s="114">
        <v>1484.0510015000441</v>
      </c>
      <c r="F71" s="111">
        <v>597.64</v>
      </c>
      <c r="G71" s="112">
        <v>1236.5303527207013</v>
      </c>
      <c r="H71" s="113">
        <v>380.58</v>
      </c>
      <c r="I71" s="114">
        <v>1216.5641914971886</v>
      </c>
      <c r="J71" s="115"/>
      <c r="K71" s="116"/>
      <c r="L71" s="113">
        <v>193.3</v>
      </c>
      <c r="M71" s="114">
        <v>1495.0853595447491</v>
      </c>
      <c r="N71" s="111">
        <v>82</v>
      </c>
      <c r="O71" s="112">
        <v>1634.1463414634145</v>
      </c>
      <c r="P71" s="113">
        <v>147.4</v>
      </c>
      <c r="Q71" s="114">
        <v>1112.6187245590231</v>
      </c>
      <c r="R71" s="111">
        <v>13.6</v>
      </c>
      <c r="S71" s="112">
        <v>1397.0588235294117</v>
      </c>
      <c r="T71" s="113">
        <v>60</v>
      </c>
      <c r="U71" s="114">
        <v>1350</v>
      </c>
      <c r="V71" s="111">
        <v>298.11399999999998</v>
      </c>
      <c r="W71" s="112">
        <v>1408.8570144307212</v>
      </c>
      <c r="X71" s="117">
        <v>8060.8739999999998</v>
      </c>
      <c r="Y71" s="118">
        <v>1317.9712274376202</v>
      </c>
      <c r="AA71" s="119">
        <v>42248</v>
      </c>
      <c r="AB71" s="120">
        <f t="shared" si="7"/>
        <v>8060.8739999999998</v>
      </c>
      <c r="AC71" s="113">
        <f t="shared" si="8"/>
        <v>1317.9712274376204</v>
      </c>
      <c r="AD71" s="121">
        <f t="shared" si="9"/>
        <v>0</v>
      </c>
      <c r="AE71" s="122">
        <f t="shared" si="9"/>
        <v>0</v>
      </c>
      <c r="AF71" s="123"/>
      <c r="AG71" s="123"/>
      <c r="AI71" s="120">
        <v>1137.7000000000003</v>
      </c>
      <c r="AJ71" s="120">
        <v>1377.6032750285663</v>
      </c>
      <c r="AL71" s="120">
        <v>1060</v>
      </c>
      <c r="AN71" s="124">
        <f t="shared" si="12"/>
        <v>-0.24336908248832095</v>
      </c>
    </row>
    <row r="72" spans="1:40">
      <c r="A72" s="110">
        <v>42278</v>
      </c>
      <c r="B72" s="111">
        <v>3618.28</v>
      </c>
      <c r="C72" s="112">
        <v>1268.282167217573</v>
      </c>
      <c r="D72" s="113">
        <v>1113.3900000000001</v>
      </c>
      <c r="E72" s="114">
        <v>1364.3018169733875</v>
      </c>
      <c r="F72" s="111">
        <v>1095.1099999999999</v>
      </c>
      <c r="G72" s="112">
        <v>1296.6733935403749</v>
      </c>
      <c r="H72" s="113">
        <v>802.08</v>
      </c>
      <c r="I72" s="114">
        <v>1189.407540394973</v>
      </c>
      <c r="J72" s="115">
        <v>32.5</v>
      </c>
      <c r="K72" s="116">
        <v>707.69230769230774</v>
      </c>
      <c r="L72" s="113">
        <v>232.8</v>
      </c>
      <c r="M72" s="114">
        <v>1516.3230240549829</v>
      </c>
      <c r="N72" s="111">
        <v>275.7</v>
      </c>
      <c r="O72" s="112">
        <v>1458.1066376496192</v>
      </c>
      <c r="P72" s="113">
        <v>120</v>
      </c>
      <c r="Q72" s="114">
        <v>325</v>
      </c>
      <c r="R72" s="111">
        <v>13.6</v>
      </c>
      <c r="S72" s="112">
        <v>1397.0588235294117</v>
      </c>
      <c r="T72" s="113">
        <v>24</v>
      </c>
      <c r="U72" s="114">
        <v>1333.3333333333333</v>
      </c>
      <c r="V72" s="111">
        <v>729.452</v>
      </c>
      <c r="W72" s="112">
        <v>1476.4508151324555</v>
      </c>
      <c r="X72" s="117">
        <v>8056.9120000000003</v>
      </c>
      <c r="Y72" s="118">
        <v>1294.1682868076502</v>
      </c>
      <c r="AA72" s="119">
        <v>42278</v>
      </c>
      <c r="AB72" s="120">
        <f t="shared" si="7"/>
        <v>8024.4120000000003</v>
      </c>
      <c r="AC72" s="113">
        <f t="shared" si="8"/>
        <v>1296.5435972131042</v>
      </c>
      <c r="AD72" s="121">
        <f t="shared" si="9"/>
        <v>32.5</v>
      </c>
      <c r="AE72" s="122">
        <f t="shared" si="9"/>
        <v>707.69230769230774</v>
      </c>
      <c r="AF72" s="123">
        <f t="shared" si="10"/>
        <v>4.0338035217462971E-3</v>
      </c>
      <c r="AG72" s="123">
        <f t="shared" si="11"/>
        <v>-0.83207247432286457</v>
      </c>
      <c r="AI72" s="120">
        <v>1023.3199999999999</v>
      </c>
      <c r="AJ72" s="120">
        <v>1240.1665370558576</v>
      </c>
      <c r="AL72" s="120">
        <v>1081.25</v>
      </c>
      <c r="AN72" s="124">
        <f t="shared" si="12"/>
        <v>-0.19691864675852047</v>
      </c>
    </row>
    <row r="73" spans="1:40">
      <c r="A73" s="110">
        <v>42309</v>
      </c>
      <c r="B73" s="111">
        <v>4375.5200000000004</v>
      </c>
      <c r="C73" s="112">
        <v>1055.6459575090505</v>
      </c>
      <c r="D73" s="113">
        <v>846.49</v>
      </c>
      <c r="E73" s="114">
        <v>1295.9397039539747</v>
      </c>
      <c r="F73" s="111">
        <v>983.12</v>
      </c>
      <c r="G73" s="112">
        <v>1201.2775653023029</v>
      </c>
      <c r="H73" s="113">
        <v>695.23</v>
      </c>
      <c r="I73" s="114">
        <v>1093.1634135465961</v>
      </c>
      <c r="J73" s="115">
        <v>202</v>
      </c>
      <c r="K73" s="116">
        <v>985.14851485148517</v>
      </c>
      <c r="L73" s="113">
        <v>253.95</v>
      </c>
      <c r="M73" s="114">
        <v>1512.108682811577</v>
      </c>
      <c r="N73" s="111">
        <v>842.55</v>
      </c>
      <c r="O73" s="112">
        <v>1275.888671295472</v>
      </c>
      <c r="P73" s="113"/>
      <c r="Q73" s="114"/>
      <c r="R73" s="111">
        <v>500.04599999999999</v>
      </c>
      <c r="S73" s="112">
        <v>1441.8673482039653</v>
      </c>
      <c r="T73" s="113">
        <v>84</v>
      </c>
      <c r="U73" s="114">
        <v>1345.2380952380954</v>
      </c>
      <c r="V73" s="111">
        <v>550.69200000000001</v>
      </c>
      <c r="W73" s="112">
        <v>1472.6925395683977</v>
      </c>
      <c r="X73" s="117">
        <v>9333.598</v>
      </c>
      <c r="Y73" s="118">
        <v>1174.2524158422079</v>
      </c>
      <c r="AA73" s="119">
        <v>42309</v>
      </c>
      <c r="AB73" s="120">
        <f t="shared" si="7"/>
        <v>9131.5980000000018</v>
      </c>
      <c r="AC73" s="113">
        <f t="shared" si="8"/>
        <v>1178.4355815926192</v>
      </c>
      <c r="AD73" s="121">
        <f t="shared" si="9"/>
        <v>202</v>
      </c>
      <c r="AE73" s="122">
        <f t="shared" si="9"/>
        <v>985.14851485148517</v>
      </c>
      <c r="AF73" s="123">
        <f t="shared" si="10"/>
        <v>2.164224343066843E-2</v>
      </c>
      <c r="AG73" s="123">
        <f t="shared" si="11"/>
        <v>-0.19620094211914108</v>
      </c>
      <c r="AI73" s="120">
        <v>1546.21</v>
      </c>
      <c r="AJ73" s="120">
        <v>1186.2669345690429</v>
      </c>
      <c r="AL73" s="120">
        <v>1075</v>
      </c>
      <c r="AN73" s="124">
        <f t="shared" si="12"/>
        <v>-9.2327828690425995E-2</v>
      </c>
    </row>
    <row r="74" spans="1:40">
      <c r="A74" s="110">
        <v>42339</v>
      </c>
      <c r="B74" s="111">
        <v>4777.79</v>
      </c>
      <c r="C74" s="112">
        <v>1118.0901630251642</v>
      </c>
      <c r="D74" s="113">
        <v>1169.0899999999999</v>
      </c>
      <c r="E74" s="114">
        <v>1335.2265437220403</v>
      </c>
      <c r="F74" s="111">
        <v>1621.056</v>
      </c>
      <c r="G74" s="112">
        <v>1169.6079592561885</v>
      </c>
      <c r="H74" s="113">
        <v>1216.56</v>
      </c>
      <c r="I74" s="114">
        <v>1105.5763792990069</v>
      </c>
      <c r="J74" s="115">
        <v>101.8</v>
      </c>
      <c r="K74" s="116">
        <v>1021.6110019646364</v>
      </c>
      <c r="L74" s="113">
        <v>199.5</v>
      </c>
      <c r="M74" s="114">
        <v>1498.7468671679198</v>
      </c>
      <c r="N74" s="111">
        <v>664.99</v>
      </c>
      <c r="O74" s="112">
        <v>1276.7109279838796</v>
      </c>
      <c r="P74" s="113">
        <v>12</v>
      </c>
      <c r="Q74" s="114">
        <v>3000</v>
      </c>
      <c r="R74" s="111">
        <v>27.2</v>
      </c>
      <c r="S74" s="112">
        <v>1507.3529411764705</v>
      </c>
      <c r="T74" s="113">
        <v>24</v>
      </c>
      <c r="U74" s="114">
        <v>1250</v>
      </c>
      <c r="V74" s="111">
        <v>715.61800000000005</v>
      </c>
      <c r="W74" s="112">
        <v>1324.7291152542277</v>
      </c>
      <c r="X74" s="117">
        <v>10529.603999999999</v>
      </c>
      <c r="Y74" s="118">
        <v>1182.4756182663662</v>
      </c>
      <c r="AA74" s="119">
        <v>42339</v>
      </c>
      <c r="AB74" s="120">
        <f t="shared" si="7"/>
        <v>10427.804</v>
      </c>
      <c r="AC74" s="113">
        <f t="shared" si="8"/>
        <v>1184.0460369220593</v>
      </c>
      <c r="AD74" s="121">
        <f t="shared" si="9"/>
        <v>101.8</v>
      </c>
      <c r="AE74" s="122">
        <f t="shared" si="9"/>
        <v>1021.6110019646364</v>
      </c>
      <c r="AF74" s="123">
        <f t="shared" si="10"/>
        <v>9.6679799164337051E-3</v>
      </c>
      <c r="AG74" s="123">
        <f t="shared" si="11"/>
        <v>-0.15899890921793897</v>
      </c>
      <c r="AI74" s="120">
        <v>1629.8500000000001</v>
      </c>
      <c r="AJ74" s="120">
        <v>1189.1934337515722</v>
      </c>
      <c r="AL74" s="120">
        <v>1093.75</v>
      </c>
      <c r="AN74" s="124">
        <f t="shared" si="12"/>
        <v>-8.1120565272106204E-2</v>
      </c>
    </row>
    <row r="75" spans="1:40">
      <c r="A75" s="110">
        <v>42370</v>
      </c>
      <c r="B75" s="111">
        <v>1020.66</v>
      </c>
      <c r="C75" s="112">
        <v>1262.9083142280485</v>
      </c>
      <c r="D75" s="113">
        <v>1572.25</v>
      </c>
      <c r="E75" s="114">
        <v>1278.4226427094927</v>
      </c>
      <c r="F75" s="111">
        <v>218.7</v>
      </c>
      <c r="G75" s="112">
        <v>1229.9954275262917</v>
      </c>
      <c r="H75" s="113">
        <v>82.7</v>
      </c>
      <c r="I75" s="114">
        <v>1281.7412333736397</v>
      </c>
      <c r="J75" s="115">
        <v>340</v>
      </c>
      <c r="K75" s="116">
        <v>1044.1176470588236</v>
      </c>
      <c r="L75" s="113">
        <v>164</v>
      </c>
      <c r="M75" s="114">
        <v>1524.3902439024391</v>
      </c>
      <c r="N75" s="111">
        <v>88</v>
      </c>
      <c r="O75" s="112">
        <v>1329.5454545454545</v>
      </c>
      <c r="P75" s="113"/>
      <c r="Q75" s="114"/>
      <c r="R75" s="111">
        <v>614.23099999999999</v>
      </c>
      <c r="S75" s="112">
        <v>1440.826008456102</v>
      </c>
      <c r="T75" s="113">
        <v>30</v>
      </c>
      <c r="U75" s="114">
        <v>1266.6666666666665</v>
      </c>
      <c r="V75" s="111">
        <v>297.87200000000001</v>
      </c>
      <c r="W75" s="112">
        <v>1363.0015577160659</v>
      </c>
      <c r="X75" s="117">
        <v>4428.4129999999996</v>
      </c>
      <c r="Y75" s="118">
        <v>1292.7881839385802</v>
      </c>
      <c r="AA75" s="119">
        <v>42370</v>
      </c>
      <c r="AB75" s="120">
        <f t="shared" si="7"/>
        <v>4088.4129999999991</v>
      </c>
      <c r="AC75" s="113">
        <f t="shared" si="8"/>
        <v>1313.4680865166999</v>
      </c>
      <c r="AD75" s="121">
        <f t="shared" si="9"/>
        <v>340</v>
      </c>
      <c r="AE75" s="122">
        <f t="shared" si="9"/>
        <v>1044.1176470588236</v>
      </c>
      <c r="AF75" s="123">
        <f t="shared" si="10"/>
        <v>7.6776940181505215E-2</v>
      </c>
      <c r="AG75" s="123">
        <f t="shared" si="11"/>
        <v>-0.25796943497374064</v>
      </c>
      <c r="AI75" s="120">
        <v>1993.3600000000001</v>
      </c>
      <c r="AJ75" s="120">
        <v>1185.0669144058274</v>
      </c>
      <c r="AL75" s="120">
        <v>1168.75</v>
      </c>
      <c r="AN75" s="124">
        <f t="shared" si="12"/>
        <v>-0.10612892743407934</v>
      </c>
    </row>
    <row r="76" spans="1:40">
      <c r="AA76" s="94"/>
      <c r="AB76" s="94"/>
      <c r="AC76" s="94"/>
      <c r="AD76" s="94"/>
      <c r="AE76" s="94"/>
      <c r="AF76" s="94"/>
      <c r="AG76" s="94"/>
    </row>
    <row r="77" spans="1:40">
      <c r="AA77" s="125"/>
    </row>
    <row r="84" spans="2:33">
      <c r="B84" s="94">
        <f>1000</f>
        <v>1000</v>
      </c>
      <c r="X84" s="94"/>
      <c r="Y84" s="94"/>
      <c r="AA84" s="94"/>
      <c r="AB84" s="94"/>
      <c r="AC84" s="94"/>
      <c r="AD84" s="94"/>
      <c r="AE84" s="94"/>
      <c r="AF84" s="94"/>
      <c r="AG84" s="94"/>
    </row>
  </sheetData>
  <mergeCells count="17">
    <mergeCell ref="X1:Y1"/>
    <mergeCell ref="AB1:AC1"/>
    <mergeCell ref="AD1:AE1"/>
    <mergeCell ref="AF1:AG1"/>
    <mergeCell ref="AI1:AJ1"/>
    <mergeCell ref="V1:W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4"/>
  <sheetViews>
    <sheetView showGridLines="0" topLeftCell="A20" workbookViewId="0">
      <selection activeCell="G64" sqref="G64"/>
    </sheetView>
  </sheetViews>
  <sheetFormatPr defaultRowHeight="12"/>
  <cols>
    <col min="1" max="1" width="9.140625" style="35"/>
    <col min="2" max="2" width="45.140625" style="35" customWidth="1"/>
    <col min="3" max="3" width="12.7109375" style="35" customWidth="1"/>
    <col min="4" max="4" width="13.7109375" style="35" customWidth="1"/>
    <col min="5" max="5" width="14.140625" style="35" bestFit="1" customWidth="1"/>
    <col min="6" max="6" width="16.42578125" style="35" bestFit="1" customWidth="1"/>
    <col min="7" max="7" width="16.28515625" style="35" bestFit="1" customWidth="1"/>
    <col min="8" max="8" width="12.28515625" style="35" bestFit="1" customWidth="1"/>
    <col min="9" max="9" width="12.7109375" style="35" bestFit="1" customWidth="1"/>
    <col min="10" max="10" width="13.7109375" style="35" hidden="1" customWidth="1"/>
    <col min="11" max="11" width="14.140625" style="35" hidden="1" customWidth="1"/>
    <col min="12" max="12" width="14.140625" style="35" bestFit="1" customWidth="1"/>
    <col min="13" max="13" width="13.7109375" style="35" bestFit="1" customWidth="1"/>
    <col min="14" max="15" width="14.140625" style="35" bestFit="1" customWidth="1"/>
    <col min="16" max="16" width="16.28515625" style="35" bestFit="1" customWidth="1"/>
    <col min="17" max="16384" width="9.140625" style="35"/>
  </cols>
  <sheetData>
    <row r="2" spans="2:8">
      <c r="B2" s="262" t="s">
        <v>32</v>
      </c>
      <c r="C2" s="299" t="s">
        <v>208</v>
      </c>
      <c r="D2" s="299" t="s">
        <v>48</v>
      </c>
      <c r="E2" s="299" t="s">
        <v>33</v>
      </c>
      <c r="F2" s="299" t="s">
        <v>39</v>
      </c>
      <c r="G2" s="299" t="s">
        <v>259</v>
      </c>
      <c r="H2" s="262" t="s">
        <v>210</v>
      </c>
    </row>
    <row r="3" spans="2:8">
      <c r="C3" s="44"/>
      <c r="D3" s="44"/>
      <c r="E3" s="44"/>
      <c r="F3" s="44"/>
      <c r="G3" s="44"/>
    </row>
    <row r="4" spans="2:8">
      <c r="B4" s="305" t="s">
        <v>260</v>
      </c>
      <c r="C4" s="306"/>
      <c r="D4" s="306"/>
      <c r="E4" s="306"/>
      <c r="F4" s="306"/>
      <c r="G4" s="306"/>
    </row>
    <row r="5" spans="2:8">
      <c r="B5" s="307" t="s">
        <v>20</v>
      </c>
      <c r="C5" s="308">
        <f t="shared" ref="C5:G5" si="0">SUM(C6:C8)</f>
        <v>67189.141999999993</v>
      </c>
      <c r="D5" s="308">
        <f t="shared" si="0"/>
        <v>93941.80799999999</v>
      </c>
      <c r="E5" s="308">
        <f t="shared" si="0"/>
        <v>57229.792000000001</v>
      </c>
      <c r="F5" s="308">
        <f t="shared" si="0"/>
        <v>56213.710000000006</v>
      </c>
      <c r="G5" s="308">
        <f t="shared" si="0"/>
        <v>12651.64</v>
      </c>
    </row>
    <row r="6" spans="2:8">
      <c r="B6" s="309" t="s">
        <v>261</v>
      </c>
      <c r="C6" s="310">
        <v>12890.575999999999</v>
      </c>
      <c r="D6" s="310">
        <v>14776.363999999998</v>
      </c>
      <c r="E6" s="310">
        <v>10295.549000000001</v>
      </c>
      <c r="F6" s="310">
        <v>31757.790000000005</v>
      </c>
      <c r="G6" s="310">
        <v>7937.0049999999992</v>
      </c>
    </row>
    <row r="7" spans="2:8">
      <c r="B7" s="309" t="s">
        <v>262</v>
      </c>
      <c r="C7" s="310">
        <v>9021.1660000000011</v>
      </c>
      <c r="D7" s="310">
        <v>9171.4560000000001</v>
      </c>
      <c r="E7" s="310">
        <v>2668.2509999999997</v>
      </c>
      <c r="F7" s="310">
        <v>116.21000000000001</v>
      </c>
      <c r="G7" s="310">
        <v>0</v>
      </c>
    </row>
    <row r="8" spans="2:8">
      <c r="B8" s="309" t="s">
        <v>27</v>
      </c>
      <c r="C8" s="310">
        <v>45277.399999999994</v>
      </c>
      <c r="D8" s="310">
        <v>69993.987999999998</v>
      </c>
      <c r="E8" s="310">
        <v>44265.991999999998</v>
      </c>
      <c r="F8" s="310">
        <v>24339.71</v>
      </c>
      <c r="G8" s="310">
        <v>4714.6350000000002</v>
      </c>
    </row>
    <row r="9" spans="2:8">
      <c r="B9" s="309"/>
      <c r="C9" s="306"/>
      <c r="D9" s="306"/>
      <c r="E9" s="306"/>
      <c r="F9" s="306"/>
      <c r="G9" s="306"/>
    </row>
    <row r="10" spans="2:8">
      <c r="B10" s="305" t="s">
        <v>263</v>
      </c>
      <c r="C10" s="306"/>
      <c r="D10" s="306"/>
      <c r="E10" s="306"/>
      <c r="F10" s="306"/>
      <c r="G10" s="306"/>
    </row>
    <row r="11" spans="2:8">
      <c r="B11" s="307" t="s">
        <v>20</v>
      </c>
      <c r="C11" s="308">
        <f t="shared" ref="C11:G11" si="1">SUM(C12:C14)</f>
        <v>64036.69</v>
      </c>
      <c r="D11" s="308">
        <f t="shared" si="1"/>
        <v>83276.209999999992</v>
      </c>
      <c r="E11" s="308">
        <f t="shared" si="1"/>
        <v>53307.320000000007</v>
      </c>
      <c r="F11" s="308">
        <f t="shared" si="1"/>
        <v>47910.337287400005</v>
      </c>
      <c r="G11" s="308">
        <f t="shared" si="1"/>
        <v>12969.96</v>
      </c>
    </row>
    <row r="12" spans="2:8">
      <c r="B12" s="309" t="s">
        <v>261</v>
      </c>
      <c r="C12" s="310">
        <v>12377.310000000001</v>
      </c>
      <c r="D12" s="310">
        <v>13208.349999999999</v>
      </c>
      <c r="E12" s="310">
        <v>10466.9</v>
      </c>
      <c r="F12" s="310">
        <v>27208.0072874</v>
      </c>
      <c r="G12" s="310">
        <v>8561.83</v>
      </c>
    </row>
    <row r="13" spans="2:8">
      <c r="B13" s="309" t="s">
        <v>262</v>
      </c>
      <c r="C13" s="310">
        <v>8707.6999999999989</v>
      </c>
      <c r="D13" s="310">
        <v>8250.09</v>
      </c>
      <c r="E13" s="310">
        <v>2764.9</v>
      </c>
      <c r="F13" s="310">
        <v>99.739999999999981</v>
      </c>
      <c r="G13" s="310">
        <v>0</v>
      </c>
    </row>
    <row r="14" spans="2:8">
      <c r="B14" s="309" t="s">
        <v>27</v>
      </c>
      <c r="C14" s="310">
        <v>42951.68</v>
      </c>
      <c r="D14" s="310">
        <v>61817.77</v>
      </c>
      <c r="E14" s="310">
        <v>40075.520000000004</v>
      </c>
      <c r="F14" s="310">
        <v>20602.590000000004</v>
      </c>
      <c r="G14" s="310">
        <v>4408.13</v>
      </c>
    </row>
    <row r="15" spans="2:8">
      <c r="C15" s="44"/>
      <c r="D15" s="44"/>
      <c r="E15" s="44"/>
      <c r="F15" s="44"/>
      <c r="G15" s="44"/>
    </row>
    <row r="16" spans="2:8">
      <c r="B16" s="144" t="s">
        <v>291</v>
      </c>
      <c r="C16" s="132"/>
      <c r="D16" s="132"/>
      <c r="E16" s="132"/>
      <c r="F16" s="132"/>
      <c r="G16" s="44"/>
    </row>
    <row r="17" spans="2:8">
      <c r="B17" s="301" t="s">
        <v>268</v>
      </c>
      <c r="C17" s="132">
        <v>615.18534637914661</v>
      </c>
      <c r="D17" s="132">
        <v>763.58519211918531</v>
      </c>
      <c r="E17" s="132">
        <v>575.77406838995921</v>
      </c>
      <c r="F17" s="132">
        <v>459.18428190607494</v>
      </c>
      <c r="G17" s="132">
        <v>108.4969740106141</v>
      </c>
      <c r="H17" s="252">
        <f>F17+G17</f>
        <v>567.681255916689</v>
      </c>
    </row>
    <row r="18" spans="2:8">
      <c r="B18" s="301" t="s">
        <v>269</v>
      </c>
      <c r="C18" s="132">
        <v>-180.05495969324019</v>
      </c>
      <c r="D18" s="132">
        <v>-270.7227626509216</v>
      </c>
      <c r="E18" s="132">
        <v>-139.44785460774898</v>
      </c>
      <c r="F18" s="132">
        <v>-126.10885695905549</v>
      </c>
      <c r="G18" s="44">
        <v>-27.396946295564703</v>
      </c>
      <c r="H18" s="252">
        <f t="shared" ref="H18:H33" si="2">F18+G18</f>
        <v>-153.50580325462019</v>
      </c>
    </row>
    <row r="19" spans="2:8">
      <c r="B19" s="301" t="s">
        <v>270</v>
      </c>
      <c r="C19" s="132">
        <v>3.173922249976763</v>
      </c>
      <c r="D19" s="132">
        <v>2.2253017861488456</v>
      </c>
      <c r="E19" s="132">
        <v>2.5216530394939105</v>
      </c>
      <c r="F19" s="132">
        <v>2.4188847892767695</v>
      </c>
      <c r="G19" s="44">
        <v>0.56305165491040998</v>
      </c>
      <c r="H19" s="252">
        <f t="shared" si="2"/>
        <v>2.9819364441871796</v>
      </c>
    </row>
    <row r="20" spans="2:8">
      <c r="B20" s="301" t="s">
        <v>271</v>
      </c>
      <c r="C20" s="132">
        <v>10.114968800407889</v>
      </c>
      <c r="D20" s="132">
        <v>15.293491873297935</v>
      </c>
      <c r="E20" s="132">
        <v>12.988798516495137</v>
      </c>
      <c r="F20" s="132">
        <v>16.75408137091998</v>
      </c>
      <c r="G20" s="44">
        <v>3.9167204367497601</v>
      </c>
      <c r="H20" s="252">
        <f t="shared" si="2"/>
        <v>20.67080180766974</v>
      </c>
    </row>
    <row r="21" spans="2:8">
      <c r="B21" s="301" t="s">
        <v>272</v>
      </c>
      <c r="C21" s="132">
        <v>93.452548067137499</v>
      </c>
      <c r="D21" s="132">
        <v>149.99088603185606</v>
      </c>
      <c r="E21" s="132">
        <v>95.434782194389044</v>
      </c>
      <c r="F21" s="132">
        <v>60.625452522558859</v>
      </c>
      <c r="G21" s="44">
        <v>10.652815357254401</v>
      </c>
      <c r="H21" s="252">
        <f t="shared" si="2"/>
        <v>71.278267879813257</v>
      </c>
    </row>
    <row r="22" spans="2:8">
      <c r="B22" s="301" t="s">
        <v>273</v>
      </c>
      <c r="C22" s="132">
        <v>21.3946948688932</v>
      </c>
      <c r="D22" s="132">
        <v>24.457343908530646</v>
      </c>
      <c r="E22" s="132">
        <v>20.329118861486478</v>
      </c>
      <c r="F22" s="132">
        <v>20.389978691243567</v>
      </c>
      <c r="G22" s="44">
        <v>4.9261410413991236</v>
      </c>
      <c r="H22" s="252">
        <f t="shared" si="2"/>
        <v>25.31611973264269</v>
      </c>
    </row>
    <row r="23" spans="2:8">
      <c r="B23" s="301" t="s">
        <v>274</v>
      </c>
      <c r="C23" s="132">
        <v>0</v>
      </c>
      <c r="D23" s="132">
        <v>0</v>
      </c>
      <c r="E23" s="132">
        <v>0</v>
      </c>
      <c r="F23" s="132">
        <v>0</v>
      </c>
      <c r="G23" s="44">
        <v>0</v>
      </c>
      <c r="H23" s="252">
        <f t="shared" si="2"/>
        <v>0</v>
      </c>
    </row>
    <row r="24" spans="2:8">
      <c r="B24" s="301" t="s">
        <v>275</v>
      </c>
      <c r="C24" s="132">
        <v>8.1502825967017465</v>
      </c>
      <c r="D24" s="132">
        <v>10.318244771558764</v>
      </c>
      <c r="E24" s="132">
        <v>7.8598671095017503</v>
      </c>
      <c r="F24" s="132">
        <v>8.2596783877598412</v>
      </c>
      <c r="G24" s="44">
        <v>1.5008111935198383</v>
      </c>
      <c r="H24" s="252">
        <f t="shared" si="2"/>
        <v>9.7604895812796801</v>
      </c>
    </row>
    <row r="25" spans="2:8">
      <c r="B25" s="301" t="s">
        <v>276</v>
      </c>
      <c r="C25" s="132">
        <v>4.4313890312104816</v>
      </c>
      <c r="D25" s="132">
        <v>3.5222584676679123</v>
      </c>
      <c r="E25" s="132">
        <v>9.7285789731727164</v>
      </c>
      <c r="F25" s="132">
        <v>11.150250149491603</v>
      </c>
      <c r="G25" s="44">
        <v>2.3303116201824747</v>
      </c>
      <c r="H25" s="252">
        <f t="shared" si="2"/>
        <v>13.480561769674077</v>
      </c>
    </row>
    <row r="26" spans="2:8">
      <c r="B26" s="301" t="s">
        <v>277</v>
      </c>
      <c r="C26" s="132">
        <v>10.161871980160386</v>
      </c>
      <c r="D26" s="132">
        <v>12.606774163146083</v>
      </c>
      <c r="E26" s="132">
        <v>8.4044921534795805</v>
      </c>
      <c r="F26" s="132">
        <v>8.1561168503613306</v>
      </c>
      <c r="G26" s="44">
        <v>1.2628109760132655</v>
      </c>
      <c r="H26" s="252">
        <f t="shared" si="2"/>
        <v>9.4189278263745955</v>
      </c>
    </row>
    <row r="27" spans="2:8">
      <c r="B27" s="301" t="s">
        <v>278</v>
      </c>
      <c r="C27" s="132">
        <v>6.3405682413921536</v>
      </c>
      <c r="D27" s="132">
        <v>2.7556681880798672</v>
      </c>
      <c r="E27" s="132">
        <v>3.7624798489887556</v>
      </c>
      <c r="F27" s="132">
        <v>2.3634700258726147</v>
      </c>
      <c r="G27" s="44">
        <v>0.64059439494535353</v>
      </c>
      <c r="H27" s="252">
        <f t="shared" si="2"/>
        <v>3.0040644208179681</v>
      </c>
    </row>
    <row r="28" spans="2:8">
      <c r="B28" s="301" t="s">
        <v>279</v>
      </c>
      <c r="C28" s="132">
        <v>31.103873324201416</v>
      </c>
      <c r="D28" s="132">
        <v>40.492473200478777</v>
      </c>
      <c r="E28" s="132">
        <v>40.908529456732424</v>
      </c>
      <c r="F28" s="132">
        <v>30.575451589863306</v>
      </c>
      <c r="G28" s="44">
        <v>6.3809598769117697</v>
      </c>
      <c r="H28" s="252">
        <f t="shared" si="2"/>
        <v>36.956411466775073</v>
      </c>
    </row>
    <row r="29" spans="2:8">
      <c r="B29" s="301" t="s">
        <v>280</v>
      </c>
      <c r="C29" s="132">
        <v>32.084953687149998</v>
      </c>
      <c r="D29" s="132">
        <v>24.429287657000003</v>
      </c>
      <c r="E29" s="132">
        <v>-11.119838296602721</v>
      </c>
      <c r="F29" s="132">
        <v>4.4083628210505248</v>
      </c>
      <c r="G29" s="44">
        <v>1.3142738340000002</v>
      </c>
      <c r="H29" s="252">
        <f t="shared" si="2"/>
        <v>5.7226366550505254</v>
      </c>
    </row>
    <row r="30" spans="2:8">
      <c r="B30" s="301" t="s">
        <v>281</v>
      </c>
      <c r="C30" s="132">
        <v>48.432180150062628</v>
      </c>
      <c r="D30" s="132">
        <v>53.14459728182274</v>
      </c>
      <c r="E30" s="132">
        <v>16.002334555978635</v>
      </c>
      <c r="F30" s="132">
        <v>12.575607872746097</v>
      </c>
      <c r="G30" s="44">
        <v>2.9041596326866728</v>
      </c>
      <c r="H30" s="252">
        <f t="shared" si="2"/>
        <v>15.47976750543277</v>
      </c>
    </row>
    <row r="31" spans="2:8">
      <c r="B31" s="301" t="s">
        <v>282</v>
      </c>
      <c r="C31" s="132"/>
      <c r="D31" s="132"/>
      <c r="E31" s="132"/>
      <c r="F31" s="132"/>
      <c r="G31" s="44"/>
      <c r="H31" s="252">
        <f t="shared" si="2"/>
        <v>0</v>
      </c>
    </row>
    <row r="32" spans="2:8">
      <c r="B32" s="301" t="s">
        <v>283</v>
      </c>
      <c r="C32" s="132">
        <v>55.253503225417468</v>
      </c>
      <c r="D32" s="132">
        <v>102.55863279348416</v>
      </c>
      <c r="E32" s="132">
        <v>64.642816287937123</v>
      </c>
      <c r="F32" s="132">
        <v>59.016158729474277</v>
      </c>
      <c r="G32" s="44">
        <v>12.385441782391146</v>
      </c>
      <c r="H32" s="252">
        <f t="shared" si="2"/>
        <v>71.401600511865425</v>
      </c>
    </row>
    <row r="33" spans="2:11">
      <c r="B33" s="301" t="s">
        <v>284</v>
      </c>
      <c r="C33" s="253">
        <v>0</v>
      </c>
      <c r="D33" s="255"/>
      <c r="E33" s="253">
        <v>0</v>
      </c>
      <c r="F33" s="253">
        <v>0</v>
      </c>
      <c r="G33" s="253">
        <v>0</v>
      </c>
      <c r="H33" s="252">
        <f t="shared" si="2"/>
        <v>0</v>
      </c>
    </row>
    <row r="34" spans="2:11">
      <c r="B34" s="256" t="s">
        <v>285</v>
      </c>
      <c r="C34" s="255">
        <f t="shared" ref="C34:H34" si="3">SUM(C17:C33)</f>
        <v>759.2251429086183</v>
      </c>
      <c r="D34" s="255">
        <f t="shared" si="3"/>
        <v>934.65738959133557</v>
      </c>
      <c r="E34" s="255">
        <f t="shared" si="3"/>
        <v>707.78982648326325</v>
      </c>
      <c r="F34" s="255">
        <f t="shared" si="3"/>
        <v>569.76891874763828</v>
      </c>
      <c r="G34" s="255">
        <f t="shared" si="3"/>
        <v>129.87811951601361</v>
      </c>
      <c r="H34" s="255">
        <f t="shared" si="3"/>
        <v>699.64703826365178</v>
      </c>
    </row>
    <row r="36" spans="2:11">
      <c r="B36" s="144" t="s">
        <v>264</v>
      </c>
    </row>
    <row r="37" spans="2:11">
      <c r="B37" s="256"/>
      <c r="C37" s="45"/>
      <c r="D37" s="45"/>
      <c r="E37" s="45"/>
      <c r="F37" s="45"/>
      <c r="G37" s="45"/>
      <c r="J37" s="262" t="s">
        <v>206</v>
      </c>
      <c r="K37" s="262" t="s">
        <v>207</v>
      </c>
    </row>
    <row r="38" spans="2:11">
      <c r="B38" s="256" t="s">
        <v>292</v>
      </c>
      <c r="C38" s="142">
        <v>66856.456999999995</v>
      </c>
      <c r="D38" s="142">
        <v>91311.672999999995</v>
      </c>
      <c r="E38" s="142">
        <v>58271.971999999987</v>
      </c>
      <c r="F38" s="142">
        <v>56374.037999999993</v>
      </c>
      <c r="G38" s="142">
        <v>12932.754999999999</v>
      </c>
      <c r="H38" s="44">
        <f>F38+G38</f>
        <v>69306.792999999991</v>
      </c>
      <c r="J38" s="44"/>
    </row>
    <row r="39" spans="2:11">
      <c r="B39" s="256" t="s">
        <v>265</v>
      </c>
      <c r="C39" s="142">
        <f>C58</f>
        <v>113560.48121255035</v>
      </c>
      <c r="D39" s="142">
        <f t="shared" ref="D39:H39" si="4">D58</f>
        <v>102359.02583794906</v>
      </c>
      <c r="E39" s="142">
        <f t="shared" si="4"/>
        <v>121463.16697215312</v>
      </c>
      <c r="F39" s="142">
        <f t="shared" si="4"/>
        <v>101069.38210593291</v>
      </c>
      <c r="G39" s="142">
        <f t="shared" si="4"/>
        <v>100425.71711596919</v>
      </c>
      <c r="H39" s="142">
        <f t="shared" si="4"/>
        <v>100949.27322111872</v>
      </c>
    </row>
    <row r="40" spans="2:11">
      <c r="B40" s="144" t="s">
        <v>266</v>
      </c>
      <c r="D40" s="302"/>
      <c r="J40" s="256" t="s">
        <v>267</v>
      </c>
      <c r="K40" s="256" t="s">
        <v>267</v>
      </c>
    </row>
    <row r="41" spans="2:11">
      <c r="B41" s="301" t="s">
        <v>268</v>
      </c>
      <c r="C41" s="44">
        <f>IF($C$38&lt;=0,0,C17*10^7/$C$38)</f>
        <v>92015.846185080765</v>
      </c>
      <c r="D41" s="44">
        <f>IF($D$38&lt;=0,0,D17*10^7/$D$38)</f>
        <v>83624.050138604449</v>
      </c>
      <c r="E41" s="44">
        <f>IF($E$38&lt;=0,0,E17*10^7/$E$38)</f>
        <v>98808.063058164465</v>
      </c>
      <c r="F41" s="44">
        <f>IF($F$38&lt;=0,0,F17*10^7/$F$38)</f>
        <v>81453.14726365263</v>
      </c>
      <c r="G41" s="44">
        <f>IF($G$38&lt;=0,0,G17*10^7/$G$38)</f>
        <v>83893.164303053825</v>
      </c>
      <c r="H41" s="44">
        <f>IF($H$38&lt;=0,0,H17*10^7/$H$38)</f>
        <v>81908.45822525493</v>
      </c>
      <c r="J41" s="44"/>
    </row>
    <row r="42" spans="2:11">
      <c r="B42" s="301" t="s">
        <v>269</v>
      </c>
      <c r="C42" s="44">
        <f t="shared" ref="C42:C57" si="5">IF($C$38&lt;=0,0,C18*10^7/$C$38)</f>
        <v>-26931.573668829056</v>
      </c>
      <c r="D42" s="44">
        <f t="shared" ref="D42:D57" si="6">IF($D$38&lt;=0,0,D18*10^7/$D$38)</f>
        <v>-29648.209670949913</v>
      </c>
      <c r="E42" s="44">
        <f t="shared" ref="E42:E57" si="7">IF($E$38&lt;=0,0,E18*10^7/$E$38)</f>
        <v>-23930.519222474402</v>
      </c>
      <c r="F42" s="44">
        <f t="shared" ref="F42:F57" si="8">IF($F$38&lt;=0,0,F18*10^7/$F$38)</f>
        <v>-22370.023761479621</v>
      </c>
      <c r="G42" s="44">
        <f t="shared" ref="G42:G57" si="9">IF($G$38&lt;=0,0,G18*10^7/$G$38)</f>
        <v>-21184.15317970897</v>
      </c>
      <c r="H42" s="44">
        <f t="shared" ref="H42:H57" si="10">IF($H$38&lt;=0,0,H18*10^7/$H$38)</f>
        <v>-22148.738472810335</v>
      </c>
      <c r="J42" s="44"/>
    </row>
    <row r="43" spans="2:11">
      <c r="B43" s="301" t="s">
        <v>270</v>
      </c>
      <c r="C43" s="44">
        <f t="shared" si="5"/>
        <v>474.73683057670308</v>
      </c>
      <c r="D43" s="44">
        <f t="shared" si="6"/>
        <v>243.70397705327835</v>
      </c>
      <c r="E43" s="44">
        <f t="shared" si="7"/>
        <v>432.73857962004632</v>
      </c>
      <c r="F43" s="44">
        <f t="shared" si="8"/>
        <v>429.07779451185837</v>
      </c>
      <c r="G43" s="44">
        <f t="shared" si="9"/>
        <v>435.36868587583234</v>
      </c>
      <c r="H43" s="44">
        <f t="shared" si="10"/>
        <v>430.25168459131851</v>
      </c>
      <c r="J43" s="44"/>
    </row>
    <row r="44" spans="2:11">
      <c r="B44" s="301" t="s">
        <v>271</v>
      </c>
      <c r="C44" s="44">
        <f t="shared" si="5"/>
        <v>1512.9382043693834</v>
      </c>
      <c r="D44" s="44">
        <f t="shared" si="6"/>
        <v>1674.8671194862388</v>
      </c>
      <c r="E44" s="44">
        <f t="shared" si="7"/>
        <v>2228.9958741219775</v>
      </c>
      <c r="F44" s="44">
        <f t="shared" si="8"/>
        <v>2971.9498487796782</v>
      </c>
      <c r="G44" s="44">
        <f t="shared" si="9"/>
        <v>3028.5275154054648</v>
      </c>
      <c r="H44" s="44">
        <f t="shared" si="10"/>
        <v>2982.5073290679811</v>
      </c>
      <c r="J44" s="44"/>
    </row>
    <row r="45" spans="2:11">
      <c r="B45" s="301" t="s">
        <v>272</v>
      </c>
      <c r="C45" s="44">
        <f t="shared" si="5"/>
        <v>13978.088618596332</v>
      </c>
      <c r="D45" s="44">
        <f t="shared" si="6"/>
        <v>16426.255384879005</v>
      </c>
      <c r="E45" s="44">
        <f t="shared" si="7"/>
        <v>16377.475983546441</v>
      </c>
      <c r="F45" s="44">
        <f t="shared" si="8"/>
        <v>10754.14404810932</v>
      </c>
      <c r="G45" s="44">
        <f t="shared" si="9"/>
        <v>8237.0812384943511</v>
      </c>
      <c r="H45" s="44">
        <f t="shared" si="10"/>
        <v>10284.456226363449</v>
      </c>
      <c r="J45" s="44"/>
    </row>
    <row r="46" spans="2:11">
      <c r="B46" s="301" t="s">
        <v>273</v>
      </c>
      <c r="C46" s="44">
        <f t="shared" si="5"/>
        <v>3200.0940266537309</v>
      </c>
      <c r="D46" s="44">
        <f t="shared" si="6"/>
        <v>2678.446589028179</v>
      </c>
      <c r="E46" s="44">
        <f t="shared" si="7"/>
        <v>3488.6615578217397</v>
      </c>
      <c r="F46" s="44">
        <f t="shared" si="8"/>
        <v>3616.9093814502994</v>
      </c>
      <c r="G46" s="44">
        <f t="shared" si="9"/>
        <v>3809.042266244991</v>
      </c>
      <c r="H46" s="44">
        <f t="shared" si="10"/>
        <v>3652.7616755608201</v>
      </c>
      <c r="J46" s="44"/>
    </row>
    <row r="47" spans="2:11">
      <c r="B47" s="301" t="s">
        <v>274</v>
      </c>
      <c r="C47" s="44">
        <f t="shared" si="5"/>
        <v>0</v>
      </c>
      <c r="D47" s="44">
        <f t="shared" si="6"/>
        <v>0</v>
      </c>
      <c r="E47" s="44">
        <f t="shared" si="7"/>
        <v>0</v>
      </c>
      <c r="F47" s="44">
        <f t="shared" si="8"/>
        <v>0</v>
      </c>
      <c r="G47" s="44">
        <f t="shared" si="9"/>
        <v>0</v>
      </c>
      <c r="H47" s="44">
        <f t="shared" si="10"/>
        <v>0</v>
      </c>
      <c r="J47" s="44"/>
    </row>
    <row r="48" spans="2:11">
      <c r="B48" s="301" t="s">
        <v>275</v>
      </c>
      <c r="C48" s="44">
        <f t="shared" si="5"/>
        <v>1219.0718686606065</v>
      </c>
      <c r="D48" s="44">
        <f t="shared" si="6"/>
        <v>1130.0028170066234</v>
      </c>
      <c r="E48" s="44">
        <f t="shared" si="7"/>
        <v>1348.824630390362</v>
      </c>
      <c r="F48" s="44">
        <f t="shared" si="8"/>
        <v>1465.1564232031492</v>
      </c>
      <c r="G48" s="44">
        <f t="shared" si="9"/>
        <v>1160.4729181986656</v>
      </c>
      <c r="H48" s="44">
        <f t="shared" si="10"/>
        <v>1408.302008906931</v>
      </c>
      <c r="J48" s="44"/>
    </row>
    <row r="49" spans="2:16">
      <c r="B49" s="301" t="s">
        <v>276</v>
      </c>
      <c r="C49" s="44">
        <f t="shared" si="5"/>
        <v>662.82139826980085</v>
      </c>
      <c r="D49" s="44">
        <f t="shared" si="6"/>
        <v>385.74021830351438</v>
      </c>
      <c r="E49" s="44">
        <f t="shared" si="7"/>
        <v>1669.512569983511</v>
      </c>
      <c r="F49" s="44">
        <f t="shared" si="8"/>
        <v>1977.9051749834921</v>
      </c>
      <c r="G49" s="44">
        <f t="shared" si="9"/>
        <v>1801.8679084096736</v>
      </c>
      <c r="H49" s="44">
        <f t="shared" si="10"/>
        <v>1945.0563481813506</v>
      </c>
      <c r="J49" s="44"/>
    </row>
    <row r="50" spans="2:16">
      <c r="B50" s="301" t="s">
        <v>277</v>
      </c>
      <c r="C50" s="44">
        <f t="shared" si="5"/>
        <v>1519.953709207233</v>
      </c>
      <c r="D50" s="44">
        <f t="shared" si="6"/>
        <v>1380.6311667453606</v>
      </c>
      <c r="E50" s="44">
        <f t="shared" si="7"/>
        <v>1442.287237761506</v>
      </c>
      <c r="F50" s="44">
        <f t="shared" si="8"/>
        <v>1446.7859922259483</v>
      </c>
      <c r="G50" s="44">
        <f t="shared" si="9"/>
        <v>976.44390233424019</v>
      </c>
      <c r="H50" s="44">
        <f t="shared" si="10"/>
        <v>1359.0194292173635</v>
      </c>
      <c r="J50" s="44"/>
    </row>
    <row r="51" spans="2:16">
      <c r="B51" s="301" t="s">
        <v>278</v>
      </c>
      <c r="C51" s="44">
        <f t="shared" si="5"/>
        <v>948.38532071661439</v>
      </c>
      <c r="D51" s="44">
        <f t="shared" si="6"/>
        <v>301.78706594061282</v>
      </c>
      <c r="E51" s="44">
        <f t="shared" si="7"/>
        <v>645.67573738344686</v>
      </c>
      <c r="F51" s="44">
        <f t="shared" si="8"/>
        <v>419.24795698910464</v>
      </c>
      <c r="G51" s="44">
        <f t="shared" si="9"/>
        <v>495.32709383681481</v>
      </c>
      <c r="H51" s="44">
        <f t="shared" si="10"/>
        <v>433.44444184828586</v>
      </c>
      <c r="J51" s="44"/>
    </row>
    <row r="52" spans="2:16">
      <c r="B52" s="301" t="s">
        <v>279</v>
      </c>
      <c r="C52" s="44">
        <f t="shared" si="5"/>
        <v>4652.3364712852517</v>
      </c>
      <c r="D52" s="44">
        <f t="shared" si="6"/>
        <v>4434.5341477292586</v>
      </c>
      <c r="E52" s="44">
        <f t="shared" si="7"/>
        <v>7020.2754519329519</v>
      </c>
      <c r="F52" s="44">
        <f t="shared" si="8"/>
        <v>5423.6759818168975</v>
      </c>
      <c r="G52" s="44">
        <f t="shared" si="9"/>
        <v>4933.9524926527802</v>
      </c>
      <c r="H52" s="44">
        <f t="shared" si="10"/>
        <v>5332.2928196627245</v>
      </c>
      <c r="J52" s="44"/>
    </row>
    <row r="53" spans="2:16">
      <c r="B53" s="301" t="s">
        <v>280</v>
      </c>
      <c r="C53" s="44">
        <f t="shared" si="5"/>
        <v>4799.080765998413</v>
      </c>
      <c r="D53" s="44">
        <f t="shared" si="6"/>
        <v>2675.374007986909</v>
      </c>
      <c r="E53" s="44">
        <f t="shared" si="7"/>
        <v>-1908.2653143440423</v>
      </c>
      <c r="F53" s="44">
        <f t="shared" si="8"/>
        <v>781.98457613600874</v>
      </c>
      <c r="G53" s="44">
        <f t="shared" si="9"/>
        <v>1016.2365512993946</v>
      </c>
      <c r="H53" s="44">
        <f t="shared" si="10"/>
        <v>825.69635779432554</v>
      </c>
      <c r="J53" s="44"/>
    </row>
    <row r="54" spans="2:16">
      <c r="B54" s="301" t="s">
        <v>281</v>
      </c>
      <c r="C54" s="44">
        <f t="shared" si="5"/>
        <v>7244.2038246302272</v>
      </c>
      <c r="D54" s="44">
        <f t="shared" si="6"/>
        <v>5820.1318118246227</v>
      </c>
      <c r="E54" s="44">
        <f t="shared" si="7"/>
        <v>2746.1460470187344</v>
      </c>
      <c r="F54" s="44">
        <f t="shared" si="8"/>
        <v>2230.7445623721505</v>
      </c>
      <c r="G54" s="44">
        <f t="shared" si="9"/>
        <v>2245.5846667525002</v>
      </c>
      <c r="H54" s="44">
        <f t="shared" si="10"/>
        <v>2233.5137488518294</v>
      </c>
      <c r="J54" s="44"/>
    </row>
    <row r="55" spans="2:16">
      <c r="B55" s="301" t="s">
        <v>282</v>
      </c>
      <c r="C55" s="44">
        <f t="shared" si="5"/>
        <v>0</v>
      </c>
      <c r="D55" s="44">
        <f t="shared" si="6"/>
        <v>0</v>
      </c>
      <c r="E55" s="44">
        <f t="shared" si="7"/>
        <v>0</v>
      </c>
      <c r="F55" s="44">
        <f t="shared" si="8"/>
        <v>0</v>
      </c>
      <c r="G55" s="44">
        <f t="shared" si="9"/>
        <v>0</v>
      </c>
      <c r="H55" s="44">
        <f t="shared" si="10"/>
        <v>0</v>
      </c>
      <c r="J55" s="44"/>
    </row>
    <row r="56" spans="2:16">
      <c r="B56" s="301" t="s">
        <v>283</v>
      </c>
      <c r="C56" s="44">
        <f t="shared" si="5"/>
        <v>8264.4976573343502</v>
      </c>
      <c r="D56" s="44">
        <f t="shared" si="6"/>
        <v>11231.71106431093</v>
      </c>
      <c r="E56" s="44">
        <f t="shared" si="7"/>
        <v>11093.294781226408</v>
      </c>
      <c r="F56" s="44">
        <f t="shared" si="8"/>
        <v>10468.676863182</v>
      </c>
      <c r="G56" s="44">
        <f t="shared" si="9"/>
        <v>9576.8007531196145</v>
      </c>
      <c r="H56" s="44">
        <f t="shared" si="10"/>
        <v>10302.251398627755</v>
      </c>
      <c r="J56" s="44"/>
    </row>
    <row r="57" spans="2:16">
      <c r="B57" s="301" t="s">
        <v>284</v>
      </c>
      <c r="C57" s="44">
        <f t="shared" si="5"/>
        <v>0</v>
      </c>
      <c r="D57" s="44">
        <f t="shared" si="6"/>
        <v>0</v>
      </c>
      <c r="E57" s="44">
        <f t="shared" si="7"/>
        <v>0</v>
      </c>
      <c r="F57" s="44">
        <f t="shared" si="8"/>
        <v>0</v>
      </c>
      <c r="G57" s="44">
        <f t="shared" si="9"/>
        <v>0</v>
      </c>
      <c r="H57" s="44">
        <f t="shared" si="10"/>
        <v>0</v>
      </c>
      <c r="J57" s="44"/>
    </row>
    <row r="58" spans="2:16">
      <c r="B58" s="311" t="s">
        <v>285</v>
      </c>
      <c r="C58" s="312">
        <f t="shared" ref="C58:H58" si="11">SUM(C41:C57)</f>
        <v>113560.48121255035</v>
      </c>
      <c r="D58" s="312">
        <f t="shared" si="11"/>
        <v>102359.02583794906</v>
      </c>
      <c r="E58" s="312">
        <f t="shared" si="11"/>
        <v>121463.16697215312</v>
      </c>
      <c r="F58" s="312">
        <f t="shared" si="11"/>
        <v>101069.38210593291</v>
      </c>
      <c r="G58" s="312">
        <f t="shared" si="11"/>
        <v>100425.71711596919</v>
      </c>
      <c r="H58" s="312">
        <f t="shared" si="11"/>
        <v>100949.27322111872</v>
      </c>
      <c r="J58" s="253">
        <f>SUM(J41:J57)</f>
        <v>0</v>
      </c>
    </row>
    <row r="59" spans="2:16">
      <c r="C59" s="44"/>
      <c r="D59" s="44"/>
      <c r="E59" s="44"/>
      <c r="F59" s="44"/>
      <c r="G59" s="44"/>
      <c r="J59" s="253"/>
      <c r="L59" s="253"/>
      <c r="N59" s="253"/>
      <c r="O59" s="253"/>
      <c r="P59" s="253"/>
    </row>
    <row r="60" spans="2:16">
      <c r="J60" s="253"/>
      <c r="L60" s="253"/>
      <c r="N60" s="253"/>
      <c r="O60" s="253"/>
      <c r="P60" s="253"/>
    </row>
    <row r="61" spans="2:16">
      <c r="J61" s="253"/>
      <c r="L61" s="253"/>
      <c r="N61" s="253"/>
      <c r="O61" s="253"/>
      <c r="P61" s="253"/>
    </row>
    <row r="62" spans="2:16">
      <c r="J62" s="253"/>
      <c r="L62" s="253"/>
      <c r="N62" s="253"/>
      <c r="O62" s="253"/>
      <c r="P62" s="253"/>
    </row>
    <row r="63" spans="2:16">
      <c r="B63" s="301"/>
      <c r="E63" s="254"/>
      <c r="F63" s="254"/>
      <c r="G63" s="254"/>
      <c r="H63" s="254"/>
      <c r="J63" s="252"/>
    </row>
    <row r="64" spans="2:16">
      <c r="B64" s="301"/>
      <c r="E64" s="45"/>
      <c r="J64" s="25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N10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3" sqref="I23"/>
    </sheetView>
  </sheetViews>
  <sheetFormatPr defaultRowHeight="12.75"/>
  <cols>
    <col min="1" max="1" width="9.140625" style="11"/>
    <col min="2" max="2" width="11" style="11" customWidth="1"/>
    <col min="3" max="3" width="11.140625" style="11" customWidth="1"/>
    <col min="4" max="4" width="10.140625" style="11" customWidth="1"/>
    <col min="5" max="5" width="10.7109375" style="11" customWidth="1"/>
    <col min="6" max="8" width="12.28515625" style="11" customWidth="1"/>
    <col min="9" max="9" width="9.140625" style="11"/>
    <col min="10" max="16" width="9.140625" style="11" customWidth="1"/>
    <col min="17" max="17" width="9.140625" style="362" customWidth="1"/>
    <col min="18" max="25" width="9.140625" style="11" customWidth="1"/>
    <col min="26" max="26" width="9.140625" style="362" customWidth="1"/>
    <col min="27" max="27" width="9.140625" style="11" customWidth="1"/>
    <col min="28" max="34" width="9.140625" style="365" customWidth="1"/>
    <col min="35" max="35" width="9.140625" style="366" customWidth="1"/>
    <col min="36" max="36" width="9.140625" style="11" customWidth="1"/>
    <col min="37" max="43" width="9.140625" style="365" customWidth="1"/>
    <col min="44" max="44" width="9.140625" style="366" customWidth="1"/>
    <col min="45" max="45" width="9.140625" style="362" customWidth="1"/>
    <col min="46" max="55" width="9.140625" style="11"/>
    <col min="56" max="56" width="9.140625" style="362"/>
    <col min="57" max="67" width="9.140625" style="11"/>
    <col min="68" max="68" width="9.140625" style="362"/>
    <col min="69" max="69" width="5.28515625" style="390" customWidth="1"/>
    <col min="70" max="79" width="9.140625" style="11"/>
    <col min="80" max="80" width="9.140625" style="362"/>
    <col min="81" max="91" width="9.140625" style="11"/>
    <col min="92" max="92" width="9.140625" style="362"/>
    <col min="93" max="16384" width="9.140625" style="11"/>
  </cols>
  <sheetData>
    <row r="2" spans="1:92">
      <c r="B2" s="424" t="s">
        <v>386</v>
      </c>
      <c r="C2" s="424"/>
      <c r="D2" s="424"/>
      <c r="E2" s="424"/>
      <c r="F2" s="424"/>
      <c r="G2" s="392"/>
      <c r="H2" s="393" t="s">
        <v>387</v>
      </c>
      <c r="J2" s="424" t="s">
        <v>348</v>
      </c>
      <c r="K2" s="424"/>
      <c r="L2" s="424"/>
      <c r="M2" s="424"/>
      <c r="N2" s="424"/>
      <c r="O2" s="424"/>
      <c r="P2" s="424"/>
      <c r="Q2" s="352"/>
      <c r="S2" s="424" t="s">
        <v>349</v>
      </c>
      <c r="T2" s="424"/>
      <c r="U2" s="424"/>
      <c r="V2" s="424"/>
      <c r="W2" s="424"/>
      <c r="X2" s="424"/>
      <c r="Y2" s="424"/>
      <c r="AB2" s="443" t="s">
        <v>350</v>
      </c>
      <c r="AC2" s="443"/>
      <c r="AD2" s="443"/>
      <c r="AE2" s="443"/>
      <c r="AF2" s="443"/>
      <c r="AG2" s="443"/>
      <c r="AH2" s="443"/>
      <c r="AI2" s="364"/>
      <c r="AK2" s="443" t="s">
        <v>351</v>
      </c>
      <c r="AL2" s="443"/>
      <c r="AM2" s="443"/>
      <c r="AN2" s="443"/>
      <c r="AO2" s="443"/>
      <c r="AP2" s="443"/>
      <c r="AQ2" s="443"/>
      <c r="AT2" s="443" t="s">
        <v>372</v>
      </c>
      <c r="AU2" s="443"/>
      <c r="AV2" s="443"/>
      <c r="AW2" s="443"/>
      <c r="AX2" s="443"/>
      <c r="AY2" s="443"/>
      <c r="AZ2" s="443"/>
      <c r="BA2" s="443"/>
      <c r="BB2" s="443"/>
      <c r="BC2" s="443"/>
      <c r="BD2" s="443"/>
      <c r="BF2" s="443" t="s">
        <v>373</v>
      </c>
      <c r="BG2" s="443"/>
      <c r="BH2" s="443"/>
      <c r="BI2" s="443"/>
      <c r="BJ2" s="443"/>
      <c r="BK2" s="443"/>
      <c r="BL2" s="443"/>
      <c r="BM2" s="443"/>
      <c r="BN2" s="443"/>
      <c r="BO2" s="443"/>
      <c r="BP2" s="443"/>
      <c r="BR2" s="443" t="s">
        <v>374</v>
      </c>
      <c r="BS2" s="443"/>
      <c r="BT2" s="443"/>
      <c r="BU2" s="443"/>
      <c r="BV2" s="443"/>
      <c r="BW2" s="443"/>
      <c r="BX2" s="443"/>
      <c r="BY2" s="443"/>
      <c r="BZ2" s="443"/>
      <c r="CA2" s="443"/>
      <c r="CB2" s="443"/>
      <c r="CD2" s="443" t="s">
        <v>375</v>
      </c>
      <c r="CE2" s="443"/>
      <c r="CF2" s="443"/>
      <c r="CG2" s="443"/>
      <c r="CH2" s="443"/>
      <c r="CI2" s="443"/>
      <c r="CJ2" s="443"/>
      <c r="CK2" s="443"/>
      <c r="CL2" s="443"/>
      <c r="CM2" s="443"/>
      <c r="CN2" s="443"/>
    </row>
    <row r="3" spans="1:92" s="361" customFormat="1" ht="25.5">
      <c r="A3" s="369" t="s">
        <v>347</v>
      </c>
      <c r="B3" s="360" t="s">
        <v>376</v>
      </c>
      <c r="C3" s="360" t="s">
        <v>377</v>
      </c>
      <c r="D3" s="360" t="s">
        <v>378</v>
      </c>
      <c r="E3" s="360" t="s">
        <v>65</v>
      </c>
      <c r="F3" s="360" t="s">
        <v>379</v>
      </c>
      <c r="G3" s="398"/>
      <c r="H3" s="398" t="s">
        <v>40</v>
      </c>
      <c r="I3" s="369"/>
      <c r="J3" s="360" t="s">
        <v>17</v>
      </c>
      <c r="K3" s="360" t="s">
        <v>11</v>
      </c>
      <c r="L3" s="360" t="s">
        <v>12</v>
      </c>
      <c r="M3" s="360" t="s">
        <v>13</v>
      </c>
      <c r="N3" s="360" t="s">
        <v>18</v>
      </c>
      <c r="O3" s="360" t="s">
        <v>15</v>
      </c>
      <c r="P3" s="360" t="s">
        <v>16</v>
      </c>
      <c r="Q3" s="360" t="s">
        <v>352</v>
      </c>
      <c r="S3" s="360" t="s">
        <v>17</v>
      </c>
      <c r="T3" s="360" t="s">
        <v>11</v>
      </c>
      <c r="U3" s="360" t="s">
        <v>12</v>
      </c>
      <c r="V3" s="360" t="s">
        <v>13</v>
      </c>
      <c r="W3" s="360" t="s">
        <v>18</v>
      </c>
      <c r="X3" s="360" t="s">
        <v>15</v>
      </c>
      <c r="Y3" s="360" t="s">
        <v>16</v>
      </c>
      <c r="Z3" s="360" t="s">
        <v>352</v>
      </c>
      <c r="AB3" s="370" t="s">
        <v>17</v>
      </c>
      <c r="AC3" s="370" t="s">
        <v>11</v>
      </c>
      <c r="AD3" s="370" t="s">
        <v>12</v>
      </c>
      <c r="AE3" s="370" t="s">
        <v>13</v>
      </c>
      <c r="AF3" s="370" t="s">
        <v>18</v>
      </c>
      <c r="AG3" s="370" t="s">
        <v>15</v>
      </c>
      <c r="AH3" s="370" t="s">
        <v>16</v>
      </c>
      <c r="AI3" s="360" t="s">
        <v>352</v>
      </c>
      <c r="AK3" s="370" t="s">
        <v>17</v>
      </c>
      <c r="AL3" s="370" t="s">
        <v>11</v>
      </c>
      <c r="AM3" s="370" t="s">
        <v>12</v>
      </c>
      <c r="AN3" s="370" t="s">
        <v>13</v>
      </c>
      <c r="AO3" s="370" t="s">
        <v>18</v>
      </c>
      <c r="AP3" s="370" t="s">
        <v>15</v>
      </c>
      <c r="AQ3" s="370" t="s">
        <v>16</v>
      </c>
      <c r="AR3" s="360" t="s">
        <v>352</v>
      </c>
      <c r="AT3" s="360" t="s">
        <v>17</v>
      </c>
      <c r="AU3" s="360" t="s">
        <v>134</v>
      </c>
      <c r="AV3" s="360" t="s">
        <v>10</v>
      </c>
      <c r="AW3" s="360" t="s">
        <v>11</v>
      </c>
      <c r="AX3" s="360" t="s">
        <v>12</v>
      </c>
      <c r="AY3" s="360" t="s">
        <v>13</v>
      </c>
      <c r="AZ3" s="360" t="s">
        <v>14</v>
      </c>
      <c r="BA3" s="360" t="s">
        <v>18</v>
      </c>
      <c r="BB3" s="360" t="s">
        <v>15</v>
      </c>
      <c r="BC3" s="360" t="s">
        <v>16</v>
      </c>
      <c r="BD3" s="360" t="s">
        <v>352</v>
      </c>
      <c r="BF3" s="360" t="s">
        <v>17</v>
      </c>
      <c r="BG3" s="360" t="s">
        <v>134</v>
      </c>
      <c r="BH3" s="360" t="s">
        <v>10</v>
      </c>
      <c r="BI3" s="360" t="s">
        <v>11</v>
      </c>
      <c r="BJ3" s="360" t="s">
        <v>12</v>
      </c>
      <c r="BK3" s="360" t="s">
        <v>13</v>
      </c>
      <c r="BL3" s="360" t="s">
        <v>14</v>
      </c>
      <c r="BM3" s="360" t="s">
        <v>18</v>
      </c>
      <c r="BN3" s="360" t="s">
        <v>15</v>
      </c>
      <c r="BO3" s="360" t="s">
        <v>16</v>
      </c>
      <c r="BP3" s="360" t="s">
        <v>352</v>
      </c>
      <c r="BQ3" s="391"/>
      <c r="BR3" s="360" t="s">
        <v>17</v>
      </c>
      <c r="BS3" s="360" t="s">
        <v>134</v>
      </c>
      <c r="BT3" s="360" t="s">
        <v>10</v>
      </c>
      <c r="BU3" s="360" t="s">
        <v>11</v>
      </c>
      <c r="BV3" s="360" t="s">
        <v>12</v>
      </c>
      <c r="BW3" s="360" t="s">
        <v>13</v>
      </c>
      <c r="BX3" s="360" t="s">
        <v>14</v>
      </c>
      <c r="BY3" s="360" t="s">
        <v>18</v>
      </c>
      <c r="BZ3" s="360" t="s">
        <v>15</v>
      </c>
      <c r="CA3" s="360" t="s">
        <v>16</v>
      </c>
      <c r="CB3" s="360" t="s">
        <v>352</v>
      </c>
      <c r="CD3" s="360" t="s">
        <v>17</v>
      </c>
      <c r="CE3" s="360" t="s">
        <v>134</v>
      </c>
      <c r="CF3" s="360" t="s">
        <v>10</v>
      </c>
      <c r="CG3" s="360" t="s">
        <v>11</v>
      </c>
      <c r="CH3" s="360" t="s">
        <v>12</v>
      </c>
      <c r="CI3" s="360" t="s">
        <v>13</v>
      </c>
      <c r="CJ3" s="360" t="s">
        <v>14</v>
      </c>
      <c r="CK3" s="360" t="s">
        <v>18</v>
      </c>
      <c r="CL3" s="360" t="s">
        <v>15</v>
      </c>
      <c r="CM3" s="360" t="s">
        <v>16</v>
      </c>
      <c r="CN3" s="360" t="s">
        <v>352</v>
      </c>
    </row>
    <row r="4" spans="1:92" s="360" customFormat="1">
      <c r="A4" s="394" t="s">
        <v>380</v>
      </c>
      <c r="B4" s="360" t="s">
        <v>381</v>
      </c>
      <c r="C4" s="360" t="s">
        <v>382</v>
      </c>
      <c r="D4" s="360" t="s">
        <v>383</v>
      </c>
      <c r="E4" s="360" t="s">
        <v>384</v>
      </c>
      <c r="F4" s="360" t="s">
        <v>385</v>
      </c>
      <c r="I4" s="394"/>
      <c r="AB4" s="370"/>
      <c r="AC4" s="370"/>
      <c r="AD4" s="370"/>
      <c r="AE4" s="370"/>
      <c r="AF4" s="370"/>
      <c r="AG4" s="370"/>
      <c r="AH4" s="370"/>
      <c r="AK4" s="370"/>
      <c r="AL4" s="370"/>
      <c r="AM4" s="370"/>
      <c r="AN4" s="370"/>
      <c r="AO4" s="370"/>
      <c r="AP4" s="370"/>
      <c r="AQ4" s="370"/>
      <c r="BQ4" s="395"/>
    </row>
    <row r="5" spans="1:92" hidden="1">
      <c r="A5" s="15">
        <v>39814</v>
      </c>
      <c r="B5" s="15"/>
      <c r="C5" s="15"/>
      <c r="D5" s="15"/>
      <c r="E5" s="15"/>
      <c r="F5" s="15"/>
      <c r="G5" s="15"/>
      <c r="H5" s="15"/>
      <c r="I5" s="15"/>
    </row>
    <row r="6" spans="1:92" hidden="1">
      <c r="A6" s="15">
        <v>39845</v>
      </c>
      <c r="B6" s="15"/>
      <c r="C6" s="15"/>
      <c r="D6" s="15"/>
      <c r="E6" s="15"/>
      <c r="F6" s="15"/>
      <c r="G6" s="15"/>
      <c r="H6" s="15"/>
      <c r="I6" s="15"/>
    </row>
    <row r="7" spans="1:92" hidden="1">
      <c r="A7" s="15">
        <v>39873</v>
      </c>
      <c r="B7" s="15"/>
      <c r="C7" s="15"/>
      <c r="D7" s="15"/>
      <c r="E7" s="15"/>
      <c r="F7" s="15"/>
      <c r="G7" s="15"/>
      <c r="H7" s="15"/>
      <c r="I7" s="15"/>
    </row>
    <row r="8" spans="1:92" hidden="1">
      <c r="A8" s="357">
        <v>39904</v>
      </c>
      <c r="B8" s="15"/>
      <c r="C8" s="15"/>
      <c r="D8" s="15"/>
      <c r="E8" s="15"/>
      <c r="F8" s="15"/>
      <c r="G8" s="15"/>
      <c r="H8" s="15"/>
      <c r="I8" s="15"/>
      <c r="J8" s="388"/>
      <c r="K8" s="388"/>
      <c r="L8" s="388"/>
      <c r="M8" s="388"/>
      <c r="N8" s="388"/>
      <c r="O8" s="388"/>
      <c r="P8" s="388"/>
      <c r="S8" s="388"/>
      <c r="T8" s="388"/>
      <c r="U8" s="388"/>
      <c r="V8" s="388"/>
      <c r="W8" s="388"/>
      <c r="X8" s="388"/>
      <c r="Y8" s="388"/>
      <c r="AB8" s="389"/>
      <c r="AC8" s="389"/>
      <c r="AD8" s="389"/>
      <c r="AE8" s="389"/>
      <c r="AF8" s="389"/>
      <c r="AG8" s="389"/>
      <c r="AH8" s="389"/>
      <c r="AK8" s="389"/>
      <c r="AL8" s="389"/>
      <c r="AM8" s="389"/>
      <c r="AN8" s="389"/>
      <c r="AO8" s="389"/>
      <c r="AP8" s="389"/>
      <c r="AQ8" s="389"/>
      <c r="AT8" s="358">
        <v>0</v>
      </c>
      <c r="AU8" s="358"/>
      <c r="AV8" s="358">
        <v>407.64</v>
      </c>
      <c r="AW8" s="358">
        <v>201.25</v>
      </c>
      <c r="AX8" s="358">
        <v>0</v>
      </c>
      <c r="AY8" s="388"/>
      <c r="AZ8" s="358"/>
      <c r="BA8" s="358">
        <v>6</v>
      </c>
      <c r="BB8" s="358">
        <v>33.32</v>
      </c>
      <c r="BC8" s="358">
        <v>15</v>
      </c>
      <c r="BD8" s="363">
        <f>SUM(AT8:BC8)</f>
        <v>663.21</v>
      </c>
      <c r="BF8" s="358">
        <v>0</v>
      </c>
      <c r="BG8" s="358"/>
      <c r="BH8" s="358">
        <v>291.19247289999998</v>
      </c>
      <c r="BI8" s="358">
        <v>173.50934179999999</v>
      </c>
      <c r="BJ8" s="358">
        <v>0</v>
      </c>
      <c r="BK8" s="358"/>
      <c r="BL8" s="358"/>
      <c r="BM8" s="358">
        <v>5.9942722000000002</v>
      </c>
      <c r="BN8" s="358">
        <v>5.1640834999999994</v>
      </c>
      <c r="BO8" s="358">
        <v>7.6717328</v>
      </c>
      <c r="BP8" s="363">
        <f>SUM(BF8:BO8)</f>
        <v>483.53190319999999</v>
      </c>
      <c r="BR8" s="358">
        <v>0</v>
      </c>
      <c r="BS8" s="358"/>
      <c r="BT8" s="358">
        <v>407.64</v>
      </c>
      <c r="BU8" s="358">
        <v>201.25</v>
      </c>
      <c r="BV8" s="358">
        <v>0</v>
      </c>
      <c r="BW8" s="388"/>
      <c r="BX8" s="358"/>
      <c r="BY8" s="358">
        <v>6</v>
      </c>
      <c r="BZ8" s="358">
        <v>33.32</v>
      </c>
      <c r="CA8" s="358">
        <v>15</v>
      </c>
      <c r="CB8" s="363">
        <f>SUM(BR8:CA8)</f>
        <v>663.21</v>
      </c>
      <c r="CD8" s="358">
        <v>0</v>
      </c>
      <c r="CE8" s="358"/>
      <c r="CF8" s="358">
        <v>291.19247289999998</v>
      </c>
      <c r="CG8" s="358">
        <v>173.50934179999999</v>
      </c>
      <c r="CH8" s="358">
        <v>0</v>
      </c>
      <c r="CI8" s="358"/>
      <c r="CJ8" s="358"/>
      <c r="CK8" s="358">
        <v>5.9942722000000002</v>
      </c>
      <c r="CL8" s="358">
        <v>5.1640834999999994</v>
      </c>
      <c r="CM8" s="358">
        <v>7.6717328</v>
      </c>
      <c r="CN8" s="363">
        <f>SUM(CD8:CM8)</f>
        <v>483.53190319999999</v>
      </c>
    </row>
    <row r="9" spans="1:92" hidden="1">
      <c r="A9" s="357">
        <v>39934</v>
      </c>
      <c r="B9" s="15"/>
      <c r="C9" s="15"/>
      <c r="D9" s="15"/>
      <c r="E9" s="15"/>
      <c r="F9" s="15"/>
      <c r="G9" s="15"/>
      <c r="H9" s="15"/>
      <c r="I9" s="15"/>
      <c r="J9" s="388"/>
      <c r="K9" s="388"/>
      <c r="L9" s="388"/>
      <c r="M9" s="388"/>
      <c r="N9" s="388"/>
      <c r="O9" s="388"/>
      <c r="P9" s="388"/>
      <c r="S9" s="388"/>
      <c r="T9" s="388"/>
      <c r="U9" s="388"/>
      <c r="V9" s="388"/>
      <c r="W9" s="388"/>
      <c r="X9" s="388"/>
      <c r="Y9" s="388"/>
      <c r="AB9" s="389"/>
      <c r="AC9" s="389"/>
      <c r="AD9" s="389"/>
      <c r="AE9" s="389"/>
      <c r="AF9" s="389"/>
      <c r="AG9" s="389"/>
      <c r="AH9" s="389"/>
      <c r="AK9" s="389"/>
      <c r="AL9" s="389"/>
      <c r="AM9" s="389"/>
      <c r="AN9" s="389"/>
      <c r="AO9" s="389"/>
      <c r="AP9" s="389"/>
      <c r="AQ9" s="389"/>
      <c r="AT9" s="358">
        <v>0</v>
      </c>
      <c r="AU9" s="358"/>
      <c r="AV9" s="358">
        <v>0</v>
      </c>
      <c r="AW9" s="358">
        <v>1196.3900000000001</v>
      </c>
      <c r="AX9" s="358">
        <v>0</v>
      </c>
      <c r="AY9" s="388"/>
      <c r="AZ9" s="358"/>
      <c r="BA9" s="358">
        <v>6</v>
      </c>
      <c r="BB9" s="358">
        <v>33.340000000000003</v>
      </c>
      <c r="BC9" s="358">
        <v>45</v>
      </c>
      <c r="BD9" s="363">
        <f t="shared" ref="BD9:BD55" si="0">SUM(AT9:BC9)</f>
        <v>1280.73</v>
      </c>
      <c r="BF9" s="358">
        <v>0</v>
      </c>
      <c r="BG9" s="358"/>
      <c r="BH9" s="358">
        <v>0</v>
      </c>
      <c r="BI9" s="358">
        <v>957.66371859999981</v>
      </c>
      <c r="BJ9" s="358">
        <v>0</v>
      </c>
      <c r="BK9" s="358"/>
      <c r="BL9" s="358"/>
      <c r="BM9" s="358">
        <v>5.9854570999999996</v>
      </c>
      <c r="BN9" s="358">
        <v>5.5155257000000004</v>
      </c>
      <c r="BO9" s="358">
        <v>23.3578914</v>
      </c>
      <c r="BP9" s="363">
        <f t="shared" ref="BP9:BP55" si="1">SUM(BF9:BO9)</f>
        <v>992.52259279999976</v>
      </c>
      <c r="BR9" s="358">
        <v>0</v>
      </c>
      <c r="BS9" s="358"/>
      <c r="BT9" s="358">
        <v>0</v>
      </c>
      <c r="BU9" s="358">
        <v>1196.3900000000001</v>
      </c>
      <c r="BV9" s="358">
        <v>0</v>
      </c>
      <c r="BW9" s="388"/>
      <c r="BX9" s="358"/>
      <c r="BY9" s="358">
        <v>6</v>
      </c>
      <c r="BZ9" s="358">
        <v>33.340000000000003</v>
      </c>
      <c r="CA9" s="358">
        <v>45</v>
      </c>
      <c r="CB9" s="363">
        <f t="shared" ref="CB9:CB72" si="2">SUM(BR9:CA9)</f>
        <v>1280.73</v>
      </c>
      <c r="CD9" s="358">
        <v>0</v>
      </c>
      <c r="CE9" s="358"/>
      <c r="CF9" s="358">
        <v>0</v>
      </c>
      <c r="CG9" s="358">
        <v>957.66371859999981</v>
      </c>
      <c r="CH9" s="358">
        <v>0</v>
      </c>
      <c r="CI9" s="358"/>
      <c r="CJ9" s="358"/>
      <c r="CK9" s="358">
        <v>5.9854570999999996</v>
      </c>
      <c r="CL9" s="358">
        <v>5.5155257000000004</v>
      </c>
      <c r="CM9" s="358">
        <v>23.3578914</v>
      </c>
      <c r="CN9" s="363">
        <f t="shared" ref="CN9:CN72" si="3">SUM(CD9:CM9)</f>
        <v>992.52259279999976</v>
      </c>
    </row>
    <row r="10" spans="1:92" hidden="1">
      <c r="A10" s="357">
        <v>39965</v>
      </c>
      <c r="B10" s="15"/>
      <c r="C10" s="15"/>
      <c r="D10" s="15"/>
      <c r="E10" s="15"/>
      <c r="F10" s="15"/>
      <c r="G10" s="15"/>
      <c r="H10" s="15"/>
      <c r="I10" s="15"/>
      <c r="J10" s="388"/>
      <c r="K10" s="388"/>
      <c r="L10" s="388"/>
      <c r="M10" s="388"/>
      <c r="N10" s="388"/>
      <c r="O10" s="388"/>
      <c r="P10" s="388"/>
      <c r="S10" s="388"/>
      <c r="T10" s="388"/>
      <c r="U10" s="388"/>
      <c r="V10" s="388"/>
      <c r="W10" s="388"/>
      <c r="X10" s="388"/>
      <c r="Y10" s="388"/>
      <c r="AB10" s="389"/>
      <c r="AC10" s="389"/>
      <c r="AD10" s="389"/>
      <c r="AE10" s="389"/>
      <c r="AF10" s="389"/>
      <c r="AG10" s="389"/>
      <c r="AH10" s="389"/>
      <c r="AK10" s="389"/>
      <c r="AL10" s="389"/>
      <c r="AM10" s="389"/>
      <c r="AN10" s="389"/>
      <c r="AO10" s="389"/>
      <c r="AP10" s="389"/>
      <c r="AQ10" s="389"/>
      <c r="AT10" s="358">
        <v>0</v>
      </c>
      <c r="AU10" s="358"/>
      <c r="AV10" s="358">
        <v>1107.778</v>
      </c>
      <c r="AW10" s="358">
        <v>318.68</v>
      </c>
      <c r="AX10" s="358">
        <v>154.53</v>
      </c>
      <c r="AY10" s="388"/>
      <c r="AZ10" s="358"/>
      <c r="BA10" s="358">
        <v>6</v>
      </c>
      <c r="BB10" s="358">
        <v>89.876000000000005</v>
      </c>
      <c r="BC10" s="358">
        <v>15</v>
      </c>
      <c r="BD10" s="363">
        <f t="shared" si="0"/>
        <v>1691.864</v>
      </c>
      <c r="BF10" s="358">
        <v>0</v>
      </c>
      <c r="BG10" s="358"/>
      <c r="BH10" s="358">
        <v>563.97935370000005</v>
      </c>
      <c r="BI10" s="358">
        <v>143.69546270000001</v>
      </c>
      <c r="BJ10" s="358">
        <v>78.498072199999996</v>
      </c>
      <c r="BK10" s="358"/>
      <c r="BL10" s="358"/>
      <c r="BM10" s="358">
        <v>5.8444154000000008</v>
      </c>
      <c r="BN10" s="358">
        <v>36.021358499999998</v>
      </c>
      <c r="BO10" s="358">
        <v>7.4745555000000001</v>
      </c>
      <c r="BP10" s="363">
        <f t="shared" si="1"/>
        <v>835.51321800000005</v>
      </c>
      <c r="BR10" s="358">
        <v>0</v>
      </c>
      <c r="BS10" s="358"/>
      <c r="BT10" s="358">
        <v>1107.778</v>
      </c>
      <c r="BU10" s="358">
        <v>318.68</v>
      </c>
      <c r="BV10" s="358">
        <v>154.53</v>
      </c>
      <c r="BW10" s="388"/>
      <c r="BX10" s="358"/>
      <c r="BY10" s="358">
        <v>6</v>
      </c>
      <c r="BZ10" s="358">
        <v>89.876000000000005</v>
      </c>
      <c r="CA10" s="358">
        <v>15</v>
      </c>
      <c r="CB10" s="363">
        <f t="shared" si="2"/>
        <v>1691.864</v>
      </c>
      <c r="CD10" s="358">
        <v>0</v>
      </c>
      <c r="CE10" s="358"/>
      <c r="CF10" s="358">
        <v>563.97935370000005</v>
      </c>
      <c r="CG10" s="358">
        <v>143.69546270000001</v>
      </c>
      <c r="CH10" s="358">
        <v>78.498072199999996</v>
      </c>
      <c r="CI10" s="358"/>
      <c r="CJ10" s="358"/>
      <c r="CK10" s="358">
        <v>5.8444154000000008</v>
      </c>
      <c r="CL10" s="358">
        <v>36.021358499999998</v>
      </c>
      <c r="CM10" s="358">
        <v>7.4745555000000001</v>
      </c>
      <c r="CN10" s="363">
        <f t="shared" si="3"/>
        <v>835.51321800000005</v>
      </c>
    </row>
    <row r="11" spans="1:92" hidden="1">
      <c r="A11" s="357">
        <v>39995</v>
      </c>
      <c r="B11" s="15"/>
      <c r="C11" s="15"/>
      <c r="D11" s="15"/>
      <c r="E11" s="15"/>
      <c r="F11" s="15"/>
      <c r="G11" s="15"/>
      <c r="H11" s="15"/>
      <c r="I11" s="15"/>
      <c r="J11" s="388"/>
      <c r="K11" s="388"/>
      <c r="L11" s="388"/>
      <c r="M11" s="388"/>
      <c r="N11" s="388"/>
      <c r="O11" s="388"/>
      <c r="P11" s="388"/>
      <c r="S11" s="388"/>
      <c r="T11" s="388"/>
      <c r="U11" s="388"/>
      <c r="V11" s="388"/>
      <c r="W11" s="388"/>
      <c r="X11" s="388"/>
      <c r="Y11" s="388"/>
      <c r="AB11" s="389"/>
      <c r="AC11" s="389"/>
      <c r="AD11" s="389"/>
      <c r="AE11" s="389"/>
      <c r="AF11" s="389"/>
      <c r="AG11" s="389"/>
      <c r="AH11" s="389"/>
      <c r="AK11" s="389"/>
      <c r="AL11" s="389"/>
      <c r="AM11" s="389"/>
      <c r="AN11" s="389"/>
      <c r="AO11" s="389"/>
      <c r="AP11" s="389"/>
      <c r="AQ11" s="389"/>
      <c r="AT11" s="358">
        <v>0</v>
      </c>
      <c r="AU11" s="358"/>
      <c r="AV11" s="358">
        <v>36.08</v>
      </c>
      <c r="AW11" s="358">
        <v>993.64</v>
      </c>
      <c r="AX11" s="358">
        <v>286.29000000000002</v>
      </c>
      <c r="AY11" s="388"/>
      <c r="AZ11" s="358"/>
      <c r="BA11" s="358">
        <v>0</v>
      </c>
      <c r="BB11" s="358">
        <v>32.340000000000003</v>
      </c>
      <c r="BC11" s="358">
        <v>0</v>
      </c>
      <c r="BD11" s="363">
        <f t="shared" si="0"/>
        <v>1348.35</v>
      </c>
      <c r="BF11" s="358">
        <v>0</v>
      </c>
      <c r="BG11" s="358"/>
      <c r="BH11" s="358">
        <v>26.476236499999999</v>
      </c>
      <c r="BI11" s="358">
        <v>583.49090059999992</v>
      </c>
      <c r="BJ11" s="358">
        <v>148.6173618</v>
      </c>
      <c r="BK11" s="358"/>
      <c r="BL11" s="358"/>
      <c r="BM11" s="358">
        <v>0</v>
      </c>
      <c r="BN11" s="358">
        <v>5.1939162000000003</v>
      </c>
      <c r="BO11" s="358">
        <v>0</v>
      </c>
      <c r="BP11" s="363">
        <f t="shared" si="1"/>
        <v>763.77841509999996</v>
      </c>
      <c r="BR11" s="358">
        <v>0</v>
      </c>
      <c r="BS11" s="358"/>
      <c r="BT11" s="358">
        <v>36.08</v>
      </c>
      <c r="BU11" s="358">
        <v>993.64</v>
      </c>
      <c r="BV11" s="358">
        <v>286.29000000000002</v>
      </c>
      <c r="BW11" s="388"/>
      <c r="BX11" s="358"/>
      <c r="BY11" s="358">
        <v>0</v>
      </c>
      <c r="BZ11" s="358">
        <v>32.340000000000003</v>
      </c>
      <c r="CA11" s="358">
        <v>0</v>
      </c>
      <c r="CB11" s="363">
        <f t="shared" si="2"/>
        <v>1348.35</v>
      </c>
      <c r="CD11" s="358">
        <v>0</v>
      </c>
      <c r="CE11" s="358"/>
      <c r="CF11" s="358">
        <v>26.476236499999999</v>
      </c>
      <c r="CG11" s="358">
        <v>583.49090059999992</v>
      </c>
      <c r="CH11" s="358">
        <v>148.6173618</v>
      </c>
      <c r="CI11" s="358"/>
      <c r="CJ11" s="358"/>
      <c r="CK11" s="358">
        <v>0</v>
      </c>
      <c r="CL11" s="358">
        <v>5.1939162000000003</v>
      </c>
      <c r="CM11" s="358">
        <v>0</v>
      </c>
      <c r="CN11" s="363">
        <f t="shared" si="3"/>
        <v>763.77841509999996</v>
      </c>
    </row>
    <row r="12" spans="1:92" hidden="1">
      <c r="A12" s="357">
        <v>40026</v>
      </c>
      <c r="B12" s="15"/>
      <c r="C12" s="15"/>
      <c r="D12" s="15"/>
      <c r="E12" s="15"/>
      <c r="F12" s="15"/>
      <c r="G12" s="15"/>
      <c r="H12" s="15"/>
      <c r="I12" s="15"/>
      <c r="J12" s="388"/>
      <c r="K12" s="388"/>
      <c r="L12" s="388"/>
      <c r="M12" s="388"/>
      <c r="N12" s="388"/>
      <c r="O12" s="388"/>
      <c r="P12" s="388"/>
      <c r="S12" s="388"/>
      <c r="T12" s="388"/>
      <c r="U12" s="388"/>
      <c r="V12" s="388"/>
      <c r="W12" s="388"/>
      <c r="X12" s="388"/>
      <c r="Y12" s="388"/>
      <c r="AB12" s="389"/>
      <c r="AC12" s="389"/>
      <c r="AD12" s="389"/>
      <c r="AE12" s="389"/>
      <c r="AF12" s="389"/>
      <c r="AG12" s="389"/>
      <c r="AH12" s="389"/>
      <c r="AK12" s="389"/>
      <c r="AL12" s="389"/>
      <c r="AM12" s="389"/>
      <c r="AN12" s="389"/>
      <c r="AO12" s="389"/>
      <c r="AP12" s="389"/>
      <c r="AQ12" s="389"/>
      <c r="AT12" s="358">
        <v>13.6</v>
      </c>
      <c r="AU12" s="358"/>
      <c r="AV12" s="358">
        <v>112.73</v>
      </c>
      <c r="AW12" s="358">
        <v>498.75</v>
      </c>
      <c r="AX12" s="358">
        <v>0</v>
      </c>
      <c r="AY12" s="388"/>
      <c r="AZ12" s="358"/>
      <c r="BA12" s="358">
        <v>0</v>
      </c>
      <c r="BB12" s="358">
        <v>102.884</v>
      </c>
      <c r="BC12" s="358">
        <v>64.8</v>
      </c>
      <c r="BD12" s="363">
        <f t="shared" si="0"/>
        <v>792.76400000000001</v>
      </c>
      <c r="BF12" s="358">
        <v>18.730409599999998</v>
      </c>
      <c r="BG12" s="358"/>
      <c r="BH12" s="358">
        <v>68.559152400000002</v>
      </c>
      <c r="BI12" s="358">
        <v>282.56129300000003</v>
      </c>
      <c r="BJ12" s="358">
        <v>0</v>
      </c>
      <c r="BK12" s="358"/>
      <c r="BL12" s="358"/>
      <c r="BM12" s="358">
        <v>0</v>
      </c>
      <c r="BN12" s="358">
        <v>29.210388500000001</v>
      </c>
      <c r="BO12" s="358">
        <v>36.972884000000001</v>
      </c>
      <c r="BP12" s="363">
        <f t="shared" si="1"/>
        <v>436.03412750000007</v>
      </c>
      <c r="BR12" s="358">
        <v>13.6</v>
      </c>
      <c r="BS12" s="358"/>
      <c r="BT12" s="358">
        <v>112.73</v>
      </c>
      <c r="BU12" s="358">
        <v>498.75</v>
      </c>
      <c r="BV12" s="358">
        <v>0</v>
      </c>
      <c r="BW12" s="388"/>
      <c r="BX12" s="358"/>
      <c r="BY12" s="358">
        <v>0</v>
      </c>
      <c r="BZ12" s="358">
        <v>102.884</v>
      </c>
      <c r="CA12" s="358">
        <v>64.8</v>
      </c>
      <c r="CB12" s="363">
        <f t="shared" si="2"/>
        <v>792.76400000000001</v>
      </c>
      <c r="CD12" s="358">
        <v>18.730409599999998</v>
      </c>
      <c r="CE12" s="358"/>
      <c r="CF12" s="358">
        <v>68.559152400000002</v>
      </c>
      <c r="CG12" s="358">
        <v>282.56129300000003</v>
      </c>
      <c r="CH12" s="358">
        <v>0</v>
      </c>
      <c r="CI12" s="358"/>
      <c r="CJ12" s="358"/>
      <c r="CK12" s="358">
        <v>0</v>
      </c>
      <c r="CL12" s="358">
        <v>29.210388500000001</v>
      </c>
      <c r="CM12" s="358">
        <v>36.972884000000001</v>
      </c>
      <c r="CN12" s="363">
        <f t="shared" si="3"/>
        <v>436.03412750000007</v>
      </c>
    </row>
    <row r="13" spans="1:92" hidden="1">
      <c r="A13" s="357">
        <v>40057</v>
      </c>
      <c r="B13" s="15"/>
      <c r="C13" s="15"/>
      <c r="D13" s="15"/>
      <c r="E13" s="15"/>
      <c r="F13" s="15"/>
      <c r="G13" s="15"/>
      <c r="H13" s="15"/>
      <c r="I13" s="15"/>
      <c r="J13" s="388"/>
      <c r="K13" s="388"/>
      <c r="L13" s="388"/>
      <c r="M13" s="388"/>
      <c r="N13" s="388"/>
      <c r="O13" s="388"/>
      <c r="P13" s="388"/>
      <c r="S13" s="388"/>
      <c r="T13" s="388"/>
      <c r="U13" s="388"/>
      <c r="V13" s="388"/>
      <c r="W13" s="388"/>
      <c r="X13" s="388"/>
      <c r="Y13" s="388"/>
      <c r="AB13" s="389"/>
      <c r="AC13" s="389"/>
      <c r="AD13" s="389"/>
      <c r="AE13" s="389"/>
      <c r="AF13" s="389"/>
      <c r="AG13" s="389"/>
      <c r="AH13" s="389"/>
      <c r="AK13" s="389"/>
      <c r="AL13" s="389"/>
      <c r="AM13" s="389"/>
      <c r="AN13" s="389"/>
      <c r="AO13" s="389"/>
      <c r="AP13" s="389"/>
      <c r="AQ13" s="389"/>
      <c r="AT13" s="358">
        <v>0</v>
      </c>
      <c r="AU13" s="358"/>
      <c r="AV13" s="358">
        <v>689.88099999999997</v>
      </c>
      <c r="AW13" s="358">
        <v>1347.77</v>
      </c>
      <c r="AX13" s="358">
        <v>309.16000000000003</v>
      </c>
      <c r="AY13" s="388"/>
      <c r="AZ13" s="358"/>
      <c r="BA13" s="358">
        <v>6</v>
      </c>
      <c r="BB13" s="358">
        <v>61.908000000000001</v>
      </c>
      <c r="BC13" s="358">
        <v>0</v>
      </c>
      <c r="BD13" s="363">
        <f t="shared" si="0"/>
        <v>2414.7189999999996</v>
      </c>
      <c r="BF13" s="358">
        <v>0</v>
      </c>
      <c r="BG13" s="358"/>
      <c r="BH13" s="358">
        <v>466.85749759999999</v>
      </c>
      <c r="BI13" s="358">
        <v>800.08268729999975</v>
      </c>
      <c r="BJ13" s="358">
        <v>198.97865519999999</v>
      </c>
      <c r="BK13" s="358"/>
      <c r="BL13" s="358"/>
      <c r="BM13" s="358">
        <v>5.2463448000000001</v>
      </c>
      <c r="BN13" s="358">
        <v>18.639708599999999</v>
      </c>
      <c r="BO13" s="358">
        <v>0</v>
      </c>
      <c r="BP13" s="363">
        <f t="shared" si="1"/>
        <v>1489.8048934999997</v>
      </c>
      <c r="BR13" s="358">
        <v>0</v>
      </c>
      <c r="BS13" s="358"/>
      <c r="BT13" s="358">
        <v>689.88099999999997</v>
      </c>
      <c r="BU13" s="358">
        <v>1347.77</v>
      </c>
      <c r="BV13" s="358">
        <v>309.16000000000003</v>
      </c>
      <c r="BW13" s="388"/>
      <c r="BX13" s="358"/>
      <c r="BY13" s="358">
        <v>6</v>
      </c>
      <c r="BZ13" s="358">
        <v>61.908000000000001</v>
      </c>
      <c r="CA13" s="358">
        <v>0</v>
      </c>
      <c r="CB13" s="363">
        <f t="shared" si="2"/>
        <v>2414.7189999999996</v>
      </c>
      <c r="CD13" s="358">
        <v>0</v>
      </c>
      <c r="CE13" s="358"/>
      <c r="CF13" s="358">
        <v>466.85749759999999</v>
      </c>
      <c r="CG13" s="358">
        <v>800.08268729999975</v>
      </c>
      <c r="CH13" s="358">
        <v>198.97865519999999</v>
      </c>
      <c r="CI13" s="358"/>
      <c r="CJ13" s="358"/>
      <c r="CK13" s="358">
        <v>5.2463448000000001</v>
      </c>
      <c r="CL13" s="358">
        <v>18.639708599999999</v>
      </c>
      <c r="CM13" s="358">
        <v>0</v>
      </c>
      <c r="CN13" s="363">
        <f t="shared" si="3"/>
        <v>1489.8048934999997</v>
      </c>
    </row>
    <row r="14" spans="1:92" hidden="1">
      <c r="A14" s="357">
        <v>40087</v>
      </c>
      <c r="B14" s="15"/>
      <c r="C14" s="15"/>
      <c r="D14" s="15"/>
      <c r="E14" s="15"/>
      <c r="F14" s="15"/>
      <c r="G14" s="15"/>
      <c r="H14" s="15"/>
      <c r="I14" s="15"/>
      <c r="J14" s="388"/>
      <c r="K14" s="388"/>
      <c r="L14" s="388"/>
      <c r="M14" s="388"/>
      <c r="N14" s="388"/>
      <c r="O14" s="388"/>
      <c r="P14" s="388"/>
      <c r="S14" s="388"/>
      <c r="T14" s="388"/>
      <c r="U14" s="388"/>
      <c r="V14" s="388"/>
      <c r="W14" s="388"/>
      <c r="X14" s="388"/>
      <c r="Y14" s="388"/>
      <c r="AB14" s="389"/>
      <c r="AC14" s="389"/>
      <c r="AD14" s="389"/>
      <c r="AE14" s="389"/>
      <c r="AF14" s="389"/>
      <c r="AG14" s="389"/>
      <c r="AH14" s="389"/>
      <c r="AK14" s="389"/>
      <c r="AL14" s="389"/>
      <c r="AM14" s="389"/>
      <c r="AN14" s="389"/>
      <c r="AO14" s="389"/>
      <c r="AP14" s="389"/>
      <c r="AQ14" s="389"/>
      <c r="AT14" s="358">
        <v>0</v>
      </c>
      <c r="AU14" s="358"/>
      <c r="AV14" s="358">
        <v>27.2</v>
      </c>
      <c r="AW14" s="358">
        <v>497.53</v>
      </c>
      <c r="AX14" s="358">
        <v>256.77</v>
      </c>
      <c r="AY14" s="388"/>
      <c r="AZ14" s="358"/>
      <c r="BA14" s="358">
        <v>0</v>
      </c>
      <c r="BB14" s="358">
        <v>106.274</v>
      </c>
      <c r="BC14" s="358">
        <v>15</v>
      </c>
      <c r="BD14" s="363">
        <f t="shared" si="0"/>
        <v>902.774</v>
      </c>
      <c r="BF14" s="358">
        <v>0</v>
      </c>
      <c r="BG14" s="358"/>
      <c r="BH14" s="358">
        <v>20.714684700000003</v>
      </c>
      <c r="BI14" s="358">
        <v>299.42219969999996</v>
      </c>
      <c r="BJ14" s="358">
        <v>169.6225633</v>
      </c>
      <c r="BK14" s="358"/>
      <c r="BL14" s="358"/>
      <c r="BM14" s="358">
        <v>0</v>
      </c>
      <c r="BN14" s="358">
        <v>34.204204700000005</v>
      </c>
      <c r="BO14" s="358">
        <v>8.5409640000000007</v>
      </c>
      <c r="BP14" s="363">
        <f t="shared" si="1"/>
        <v>532.50461640000003</v>
      </c>
      <c r="BR14" s="358">
        <v>0</v>
      </c>
      <c r="BS14" s="358"/>
      <c r="BT14" s="358">
        <v>27.2</v>
      </c>
      <c r="BU14" s="358">
        <v>497.53</v>
      </c>
      <c r="BV14" s="358">
        <v>256.77</v>
      </c>
      <c r="BW14" s="388"/>
      <c r="BX14" s="358"/>
      <c r="BY14" s="358">
        <v>0</v>
      </c>
      <c r="BZ14" s="358">
        <v>106.274</v>
      </c>
      <c r="CA14" s="358">
        <v>15</v>
      </c>
      <c r="CB14" s="363">
        <f t="shared" si="2"/>
        <v>902.774</v>
      </c>
      <c r="CD14" s="358">
        <v>0</v>
      </c>
      <c r="CE14" s="358"/>
      <c r="CF14" s="358">
        <v>20.714684700000003</v>
      </c>
      <c r="CG14" s="358">
        <v>299.42219969999996</v>
      </c>
      <c r="CH14" s="358">
        <v>169.6225633</v>
      </c>
      <c r="CI14" s="358"/>
      <c r="CJ14" s="358"/>
      <c r="CK14" s="358">
        <v>0</v>
      </c>
      <c r="CL14" s="358">
        <v>34.204204700000005</v>
      </c>
      <c r="CM14" s="358">
        <v>8.5409640000000007</v>
      </c>
      <c r="CN14" s="363">
        <f t="shared" si="3"/>
        <v>532.50461640000003</v>
      </c>
    </row>
    <row r="15" spans="1:92" hidden="1">
      <c r="A15" s="357">
        <v>40118</v>
      </c>
      <c r="B15" s="15"/>
      <c r="C15" s="15"/>
      <c r="D15" s="15"/>
      <c r="E15" s="15"/>
      <c r="F15" s="15"/>
      <c r="G15" s="15"/>
      <c r="H15" s="15"/>
      <c r="I15" s="15"/>
      <c r="J15" s="388"/>
      <c r="K15" s="388"/>
      <c r="L15" s="388"/>
      <c r="M15" s="388"/>
      <c r="N15" s="388"/>
      <c r="O15" s="388"/>
      <c r="P15" s="388"/>
      <c r="S15" s="388"/>
      <c r="T15" s="388"/>
      <c r="U15" s="388"/>
      <c r="V15" s="388"/>
      <c r="W15" s="388"/>
      <c r="X15" s="388"/>
      <c r="Y15" s="388"/>
      <c r="AB15" s="389"/>
      <c r="AC15" s="389"/>
      <c r="AD15" s="389"/>
      <c r="AE15" s="389"/>
      <c r="AF15" s="389"/>
      <c r="AG15" s="389"/>
      <c r="AH15" s="389"/>
      <c r="AK15" s="389"/>
      <c r="AL15" s="389"/>
      <c r="AM15" s="389"/>
      <c r="AN15" s="389"/>
      <c r="AO15" s="389"/>
      <c r="AP15" s="389"/>
      <c r="AQ15" s="389"/>
      <c r="AT15" s="358">
        <v>46.22</v>
      </c>
      <c r="AU15" s="358"/>
      <c r="AV15" s="358">
        <v>64.92</v>
      </c>
      <c r="AW15" s="358">
        <v>1521.6</v>
      </c>
      <c r="AX15" s="358">
        <v>472.96</v>
      </c>
      <c r="AY15" s="388"/>
      <c r="AZ15" s="358"/>
      <c r="BA15" s="358">
        <v>6</v>
      </c>
      <c r="BB15" s="358">
        <v>78.400000000000006</v>
      </c>
      <c r="BC15" s="358">
        <v>45</v>
      </c>
      <c r="BD15" s="363">
        <f t="shared" si="0"/>
        <v>2235.1</v>
      </c>
      <c r="BF15" s="358">
        <v>58.759375900000002</v>
      </c>
      <c r="BG15" s="358"/>
      <c r="BH15" s="358">
        <v>39.846862100000003</v>
      </c>
      <c r="BI15" s="358">
        <v>884.32579659999999</v>
      </c>
      <c r="BJ15" s="358">
        <v>294.0239924</v>
      </c>
      <c r="BK15" s="358"/>
      <c r="BL15" s="358"/>
      <c r="BM15" s="358">
        <v>5.1757404999999999</v>
      </c>
      <c r="BN15" s="358">
        <v>26.074503399999998</v>
      </c>
      <c r="BO15" s="358">
        <v>24.937505999999996</v>
      </c>
      <c r="BP15" s="363">
        <f t="shared" si="1"/>
        <v>1333.1437768999999</v>
      </c>
      <c r="BR15" s="358">
        <v>46.22</v>
      </c>
      <c r="BS15" s="358"/>
      <c r="BT15" s="358">
        <v>64.92</v>
      </c>
      <c r="BU15" s="358">
        <v>1521.6</v>
      </c>
      <c r="BV15" s="358">
        <v>472.96</v>
      </c>
      <c r="BW15" s="388"/>
      <c r="BX15" s="358"/>
      <c r="BY15" s="358">
        <v>6</v>
      </c>
      <c r="BZ15" s="358">
        <v>78.400000000000006</v>
      </c>
      <c r="CA15" s="358">
        <v>45</v>
      </c>
      <c r="CB15" s="363">
        <f t="shared" si="2"/>
        <v>2235.1</v>
      </c>
      <c r="CD15" s="358">
        <v>58.759375900000002</v>
      </c>
      <c r="CE15" s="358"/>
      <c r="CF15" s="358">
        <v>39.846862100000003</v>
      </c>
      <c r="CG15" s="358">
        <v>884.32579659999999</v>
      </c>
      <c r="CH15" s="358">
        <v>294.0239924</v>
      </c>
      <c r="CI15" s="358"/>
      <c r="CJ15" s="358"/>
      <c r="CK15" s="358">
        <v>5.1757404999999999</v>
      </c>
      <c r="CL15" s="358">
        <v>26.074503399999998</v>
      </c>
      <c r="CM15" s="358">
        <v>24.937505999999996</v>
      </c>
      <c r="CN15" s="363">
        <f t="shared" si="3"/>
        <v>1333.1437768999999</v>
      </c>
    </row>
    <row r="16" spans="1:92" hidden="1">
      <c r="A16" s="357">
        <v>40148</v>
      </c>
      <c r="B16" s="15"/>
      <c r="C16" s="15"/>
      <c r="D16" s="15"/>
      <c r="E16" s="15"/>
      <c r="F16" s="15"/>
      <c r="G16" s="15"/>
      <c r="H16" s="15"/>
      <c r="I16" s="15"/>
      <c r="J16" s="388"/>
      <c r="K16" s="388"/>
      <c r="L16" s="388"/>
      <c r="M16" s="388"/>
      <c r="N16" s="388"/>
      <c r="O16" s="388"/>
      <c r="P16" s="388"/>
      <c r="S16" s="388"/>
      <c r="T16" s="388"/>
      <c r="U16" s="388"/>
      <c r="V16" s="388"/>
      <c r="W16" s="388"/>
      <c r="X16" s="388"/>
      <c r="Y16" s="388"/>
      <c r="AB16" s="389"/>
      <c r="AC16" s="359"/>
      <c r="AD16" s="359"/>
      <c r="AE16" s="359"/>
      <c r="AF16" s="359"/>
      <c r="AG16" s="359"/>
      <c r="AH16" s="359"/>
      <c r="AK16" s="389"/>
      <c r="AL16" s="389"/>
      <c r="AM16" s="389"/>
      <c r="AN16" s="389"/>
      <c r="AO16" s="389"/>
      <c r="AP16" s="389"/>
      <c r="AQ16" s="389"/>
      <c r="AT16" s="358">
        <v>13.6</v>
      </c>
      <c r="AU16" s="358"/>
      <c r="AV16" s="358">
        <v>447.23</v>
      </c>
      <c r="AW16" s="358">
        <v>535.08000000000004</v>
      </c>
      <c r="AX16" s="358">
        <v>156.61000000000001</v>
      </c>
      <c r="AY16" s="388"/>
      <c r="AZ16" s="358"/>
      <c r="BA16" s="358">
        <v>6.125</v>
      </c>
      <c r="BB16" s="358">
        <v>229.18100000000001</v>
      </c>
      <c r="BC16" s="358">
        <v>31.125</v>
      </c>
      <c r="BD16" s="363">
        <f t="shared" si="0"/>
        <v>1418.951</v>
      </c>
      <c r="BF16" s="358">
        <v>17.659345099999999</v>
      </c>
      <c r="BG16" s="358"/>
      <c r="BH16" s="358">
        <v>275.97346449999998</v>
      </c>
      <c r="BI16" s="358">
        <v>308.74853560000003</v>
      </c>
      <c r="BJ16" s="358">
        <v>98.349944599999986</v>
      </c>
      <c r="BK16" s="358"/>
      <c r="BL16" s="358"/>
      <c r="BM16" s="358">
        <v>5.3245182999999994</v>
      </c>
      <c r="BN16" s="358">
        <v>79.786973099999997</v>
      </c>
      <c r="BO16" s="358">
        <v>15.8849617</v>
      </c>
      <c r="BP16" s="363">
        <f t="shared" si="1"/>
        <v>801.72774289999984</v>
      </c>
      <c r="BR16" s="358">
        <v>13.6</v>
      </c>
      <c r="BS16" s="358"/>
      <c r="BT16" s="358">
        <v>447.23</v>
      </c>
      <c r="BU16" s="358">
        <v>535.08000000000004</v>
      </c>
      <c r="BV16" s="358">
        <v>156.61000000000001</v>
      </c>
      <c r="BW16" s="388"/>
      <c r="BX16" s="358"/>
      <c r="BY16" s="358">
        <v>6.125</v>
      </c>
      <c r="BZ16" s="358">
        <v>229.18100000000001</v>
      </c>
      <c r="CA16" s="358">
        <v>31.125</v>
      </c>
      <c r="CB16" s="363">
        <f t="shared" si="2"/>
        <v>1418.951</v>
      </c>
      <c r="CD16" s="358">
        <v>17.659345099999999</v>
      </c>
      <c r="CE16" s="358"/>
      <c r="CF16" s="358">
        <v>275.97346449999998</v>
      </c>
      <c r="CG16" s="358">
        <v>308.74853560000003</v>
      </c>
      <c r="CH16" s="358">
        <v>98.349944599999986</v>
      </c>
      <c r="CI16" s="358"/>
      <c r="CJ16" s="358"/>
      <c r="CK16" s="358">
        <v>5.3245182999999994</v>
      </c>
      <c r="CL16" s="358">
        <v>79.786973099999997</v>
      </c>
      <c r="CM16" s="358">
        <v>15.8849617</v>
      </c>
      <c r="CN16" s="363">
        <f t="shared" si="3"/>
        <v>801.72774289999984</v>
      </c>
    </row>
    <row r="17" spans="1:92">
      <c r="A17" s="357">
        <v>40179</v>
      </c>
      <c r="B17" s="396">
        <v>0.125</v>
      </c>
      <c r="C17" s="396">
        <v>0.125</v>
      </c>
      <c r="D17" s="396">
        <v>0.125</v>
      </c>
      <c r="E17" s="396">
        <v>0.125</v>
      </c>
      <c r="F17" s="396">
        <v>0.05</v>
      </c>
      <c r="G17" s="399"/>
      <c r="H17" s="400">
        <v>0</v>
      </c>
      <c r="I17" s="15"/>
      <c r="J17" s="358">
        <v>14.28</v>
      </c>
      <c r="K17" s="358">
        <v>1577.2300000000002</v>
      </c>
      <c r="L17" s="358">
        <v>40.370000000000005</v>
      </c>
      <c r="M17" s="358">
        <v>103.86000000000001</v>
      </c>
      <c r="N17" s="358">
        <v>11.85</v>
      </c>
      <c r="O17" s="358">
        <v>99.55</v>
      </c>
      <c r="P17" s="358">
        <v>5.65</v>
      </c>
      <c r="Q17" s="363">
        <f t="shared" ref="Q17:Q19" si="4">SUM(J17:P17)</f>
        <v>1852.7900000000002</v>
      </c>
      <c r="S17" s="358">
        <v>16.707733333333334</v>
      </c>
      <c r="T17" s="358">
        <v>1029.4659999999999</v>
      </c>
      <c r="U17" s="358">
        <v>23.233333333333334</v>
      </c>
      <c r="V17" s="358">
        <v>77.246533333333346</v>
      </c>
      <c r="W17" s="358">
        <v>7.9804000000000004</v>
      </c>
      <c r="X17" s="358">
        <v>57.259733333333337</v>
      </c>
      <c r="Y17" s="358">
        <v>3.4433333333333338</v>
      </c>
      <c r="Z17" s="363">
        <f t="shared" ref="Z17:Z19" si="5">SUM(S17:Y17)</f>
        <v>1215.3370666666667</v>
      </c>
      <c r="AB17" s="389"/>
      <c r="AC17" s="359">
        <v>612.96999999999991</v>
      </c>
      <c r="AD17" s="359">
        <v>721.26</v>
      </c>
      <c r="AE17" s="359">
        <v>117.46000000000001</v>
      </c>
      <c r="AF17" s="359"/>
      <c r="AG17" s="359">
        <v>27</v>
      </c>
      <c r="AH17" s="359">
        <v>3</v>
      </c>
      <c r="AI17" s="367">
        <f t="shared" ref="AI17:AI19" si="6">SUM(AB17:AH17)</f>
        <v>1481.69</v>
      </c>
      <c r="AK17" s="389"/>
      <c r="AL17" s="359">
        <v>375.82912649999997</v>
      </c>
      <c r="AM17" s="359">
        <v>415.09162149999997</v>
      </c>
      <c r="AN17" s="359">
        <v>68.25189499999999</v>
      </c>
      <c r="AO17" s="359"/>
      <c r="AP17" s="359">
        <v>15.08076</v>
      </c>
      <c r="AQ17" s="359">
        <v>1.86</v>
      </c>
      <c r="AR17" s="367">
        <f t="shared" ref="AR17:AR19" si="7">SUM(AK17:AQ17)</f>
        <v>876.11340300000006</v>
      </c>
      <c r="AT17" s="358">
        <v>13.6</v>
      </c>
      <c r="AU17" s="358"/>
      <c r="AV17" s="358">
        <v>372.08</v>
      </c>
      <c r="AW17" s="358">
        <v>1208.28</v>
      </c>
      <c r="AX17" s="358">
        <v>57.93</v>
      </c>
      <c r="AY17" s="388"/>
      <c r="AZ17" s="358"/>
      <c r="BA17" s="358">
        <v>15</v>
      </c>
      <c r="BB17" s="358">
        <v>194.46799999999999</v>
      </c>
      <c r="BC17" s="358">
        <v>15</v>
      </c>
      <c r="BD17" s="363">
        <f t="shared" si="0"/>
        <v>1876.3580000000002</v>
      </c>
      <c r="BF17" s="358">
        <v>17.829328</v>
      </c>
      <c r="BG17" s="358"/>
      <c r="BH17" s="358">
        <v>228.67961060000002</v>
      </c>
      <c r="BI17" s="358">
        <v>707.58496530000002</v>
      </c>
      <c r="BJ17" s="358">
        <v>36.729798199999998</v>
      </c>
      <c r="BK17" s="358"/>
      <c r="BL17" s="358"/>
      <c r="BM17" s="358">
        <v>9.7965959999999992</v>
      </c>
      <c r="BN17" s="358">
        <v>64.216581500000004</v>
      </c>
      <c r="BO17" s="358">
        <v>8.1519119999999994</v>
      </c>
      <c r="BP17" s="363">
        <f t="shared" si="1"/>
        <v>1072.9887916</v>
      </c>
      <c r="BR17" s="358"/>
      <c r="BS17" s="358"/>
      <c r="BT17" s="358"/>
      <c r="BU17" s="358"/>
      <c r="BV17" s="358"/>
      <c r="BW17" s="388"/>
      <c r="BX17" s="358"/>
      <c r="BY17" s="358"/>
      <c r="BZ17" s="358"/>
      <c r="CA17" s="358"/>
      <c r="CB17" s="363">
        <f t="shared" si="2"/>
        <v>0</v>
      </c>
      <c r="CD17" s="358"/>
      <c r="CE17" s="358"/>
      <c r="CF17" s="358"/>
      <c r="CG17" s="358"/>
      <c r="CH17" s="358"/>
      <c r="CI17" s="358"/>
      <c r="CJ17" s="358"/>
      <c r="CK17" s="358"/>
      <c r="CL17" s="358"/>
      <c r="CM17" s="358"/>
      <c r="CN17" s="363">
        <f t="shared" si="3"/>
        <v>0</v>
      </c>
    </row>
    <row r="18" spans="1:92">
      <c r="A18" s="357">
        <v>40210</v>
      </c>
      <c r="B18" s="396">
        <v>0.125</v>
      </c>
      <c r="C18" s="396">
        <v>0.125</v>
      </c>
      <c r="D18" s="396">
        <v>0.125</v>
      </c>
      <c r="E18" s="396">
        <v>0.125</v>
      </c>
      <c r="F18" s="396">
        <v>0.05</v>
      </c>
      <c r="G18" s="399"/>
      <c r="H18" s="400">
        <v>0</v>
      </c>
      <c r="I18" s="15"/>
      <c r="J18" s="358"/>
      <c r="K18" s="358">
        <v>445.42000000000007</v>
      </c>
      <c r="L18" s="358">
        <v>86.07</v>
      </c>
      <c r="M18" s="358">
        <v>95.6</v>
      </c>
      <c r="N18" s="358">
        <v>19</v>
      </c>
      <c r="O18" s="358">
        <v>129.6</v>
      </c>
      <c r="P18" s="358">
        <v>50</v>
      </c>
      <c r="Q18" s="363">
        <f t="shared" si="4"/>
        <v>825.69</v>
      </c>
      <c r="S18" s="358">
        <v>0</v>
      </c>
      <c r="T18" s="358">
        <v>304.65853333333337</v>
      </c>
      <c r="U18" s="358">
        <v>48.892000000000003</v>
      </c>
      <c r="V18" s="358">
        <v>77.795333333333332</v>
      </c>
      <c r="W18" s="358">
        <v>12.833600000000002</v>
      </c>
      <c r="X18" s="358">
        <v>81.852533333333326</v>
      </c>
      <c r="Y18" s="358">
        <v>31.288266666666665</v>
      </c>
      <c r="Z18" s="363">
        <f t="shared" si="5"/>
        <v>557.32026666666661</v>
      </c>
      <c r="AB18" s="389"/>
      <c r="AC18" s="359">
        <v>154.31</v>
      </c>
      <c r="AD18" s="359">
        <v>360.47</v>
      </c>
      <c r="AE18" s="359">
        <v>213.29999999999998</v>
      </c>
      <c r="AF18" s="359"/>
      <c r="AG18" s="359">
        <v>33</v>
      </c>
      <c r="AH18" s="359">
        <v>49</v>
      </c>
      <c r="AI18" s="367">
        <f t="shared" si="6"/>
        <v>810.07999999999993</v>
      </c>
      <c r="AK18" s="389"/>
      <c r="AL18" s="359">
        <v>102.04669509999999</v>
      </c>
      <c r="AM18" s="359">
        <v>225.15093509999997</v>
      </c>
      <c r="AN18" s="359">
        <v>136.87931180000001</v>
      </c>
      <c r="AO18" s="359"/>
      <c r="AP18" s="359">
        <v>18.696200000000001</v>
      </c>
      <c r="AQ18" s="359">
        <v>29.762499999999999</v>
      </c>
      <c r="AR18" s="367">
        <f t="shared" si="7"/>
        <v>512.53564199999994</v>
      </c>
      <c r="AT18" s="358">
        <v>0</v>
      </c>
      <c r="AU18" s="358"/>
      <c r="AV18" s="358">
        <v>40.799999999999997</v>
      </c>
      <c r="AW18" s="358">
        <v>158.13</v>
      </c>
      <c r="AX18" s="358">
        <v>0</v>
      </c>
      <c r="AY18" s="388"/>
      <c r="AZ18" s="358"/>
      <c r="BA18" s="358">
        <v>13.2</v>
      </c>
      <c r="BB18" s="358">
        <v>0</v>
      </c>
      <c r="BC18" s="358">
        <v>214.8</v>
      </c>
      <c r="BD18" s="363">
        <f t="shared" si="0"/>
        <v>426.93</v>
      </c>
      <c r="BF18" s="358">
        <v>0</v>
      </c>
      <c r="BG18" s="358"/>
      <c r="BH18" s="358">
        <v>31.364782400000003</v>
      </c>
      <c r="BI18" s="358">
        <v>114.6152173</v>
      </c>
      <c r="BJ18" s="358">
        <v>0</v>
      </c>
      <c r="BK18" s="358"/>
      <c r="BL18" s="358"/>
      <c r="BM18" s="358">
        <v>9.3797230000000003</v>
      </c>
      <c r="BN18" s="358">
        <v>0</v>
      </c>
      <c r="BO18" s="358">
        <v>118.43970640000001</v>
      </c>
      <c r="BP18" s="363">
        <f t="shared" si="1"/>
        <v>273.7994291</v>
      </c>
      <c r="BR18" s="358"/>
      <c r="BS18" s="358"/>
      <c r="BT18" s="358"/>
      <c r="BU18" s="358"/>
      <c r="BV18" s="358"/>
      <c r="BW18" s="388"/>
      <c r="BX18" s="358"/>
      <c r="BY18" s="358"/>
      <c r="BZ18" s="358"/>
      <c r="CA18" s="358"/>
      <c r="CB18" s="363">
        <f t="shared" si="2"/>
        <v>0</v>
      </c>
      <c r="CD18" s="358"/>
      <c r="CE18" s="358"/>
      <c r="CF18" s="358"/>
      <c r="CG18" s="358"/>
      <c r="CH18" s="358"/>
      <c r="CI18" s="358"/>
      <c r="CJ18" s="358"/>
      <c r="CK18" s="358"/>
      <c r="CL18" s="358"/>
      <c r="CM18" s="358"/>
      <c r="CN18" s="363">
        <f t="shared" si="3"/>
        <v>0</v>
      </c>
    </row>
    <row r="19" spans="1:92">
      <c r="A19" s="357">
        <v>40238</v>
      </c>
      <c r="B19" s="396">
        <v>0.125</v>
      </c>
      <c r="C19" s="396">
        <v>0.125</v>
      </c>
      <c r="D19" s="396">
        <v>0.125</v>
      </c>
      <c r="E19" s="396">
        <v>0.125</v>
      </c>
      <c r="F19" s="396">
        <v>0.05</v>
      </c>
      <c r="G19" s="399"/>
      <c r="H19" s="400">
        <v>0</v>
      </c>
      <c r="I19" s="15"/>
      <c r="J19" s="358"/>
      <c r="K19" s="358">
        <v>1303.4500000000007</v>
      </c>
      <c r="L19" s="358">
        <v>14.61</v>
      </c>
      <c r="M19" s="358">
        <v>133.29000000000002</v>
      </c>
      <c r="N19" s="358">
        <v>18.849999999999998</v>
      </c>
      <c r="O19" s="358">
        <v>104.9</v>
      </c>
      <c r="P19" s="358">
        <v>19</v>
      </c>
      <c r="Q19" s="363">
        <f t="shared" si="4"/>
        <v>1594.1000000000006</v>
      </c>
      <c r="S19" s="358">
        <v>0</v>
      </c>
      <c r="T19" s="358">
        <v>886.89079999999967</v>
      </c>
      <c r="U19" s="358">
        <v>8.2992000000000008</v>
      </c>
      <c r="V19" s="358">
        <v>107.06053333333334</v>
      </c>
      <c r="W19" s="358">
        <v>12.250266666666665</v>
      </c>
      <c r="X19" s="358">
        <v>65.757866666666672</v>
      </c>
      <c r="Y19" s="358">
        <v>12.110133333333335</v>
      </c>
      <c r="Z19" s="363">
        <f t="shared" si="5"/>
        <v>1092.3687999999997</v>
      </c>
      <c r="AB19" s="389"/>
      <c r="AC19" s="359">
        <v>368.94</v>
      </c>
      <c r="AD19" s="359">
        <v>742.31999999999982</v>
      </c>
      <c r="AE19" s="359">
        <v>100.62</v>
      </c>
      <c r="AF19" s="359"/>
      <c r="AG19" s="359">
        <v>50.1</v>
      </c>
      <c r="AH19" s="359"/>
      <c r="AI19" s="367">
        <f t="shared" si="6"/>
        <v>1261.9799999999996</v>
      </c>
      <c r="AK19" s="389"/>
      <c r="AL19" s="359">
        <v>243.93068340000005</v>
      </c>
      <c r="AM19" s="359">
        <v>465.01851020000009</v>
      </c>
      <c r="AN19" s="359">
        <v>67.380986899999996</v>
      </c>
      <c r="AO19" s="359"/>
      <c r="AP19" s="359">
        <v>28.850100000000001</v>
      </c>
      <c r="AQ19" s="359">
        <v>0</v>
      </c>
      <c r="AR19" s="367">
        <f t="shared" si="7"/>
        <v>805.18028050000021</v>
      </c>
      <c r="AT19" s="358">
        <v>0</v>
      </c>
      <c r="AU19" s="358"/>
      <c r="AV19" s="358">
        <v>345.22</v>
      </c>
      <c r="AW19" s="358">
        <v>239.47</v>
      </c>
      <c r="AX19" s="358">
        <v>94.04</v>
      </c>
      <c r="AY19" s="388"/>
      <c r="AZ19" s="358"/>
      <c r="BA19" s="358">
        <v>13</v>
      </c>
      <c r="BB19" s="358">
        <v>78.111999999999995</v>
      </c>
      <c r="BC19" s="358">
        <v>17.2</v>
      </c>
      <c r="BD19" s="363">
        <f t="shared" si="0"/>
        <v>787.04200000000003</v>
      </c>
      <c r="BF19" s="358">
        <v>0</v>
      </c>
      <c r="BG19" s="358"/>
      <c r="BH19" s="358">
        <v>221.02126769999998</v>
      </c>
      <c r="BI19" s="358">
        <v>140.86647579999999</v>
      </c>
      <c r="BJ19" s="358">
        <v>61.145532099999997</v>
      </c>
      <c r="BK19" s="358"/>
      <c r="BL19" s="358"/>
      <c r="BM19" s="358">
        <v>9.6246530999999997</v>
      </c>
      <c r="BN19" s="358">
        <v>15.8116425</v>
      </c>
      <c r="BO19" s="358">
        <v>10.1064893</v>
      </c>
      <c r="BP19" s="363">
        <f t="shared" si="1"/>
        <v>458.57606049999993</v>
      </c>
      <c r="BR19" s="358"/>
      <c r="BS19" s="358"/>
      <c r="BT19" s="358"/>
      <c r="BU19" s="358"/>
      <c r="BV19" s="358"/>
      <c r="BW19" s="388"/>
      <c r="BX19" s="358"/>
      <c r="BY19" s="358"/>
      <c r="BZ19" s="358"/>
      <c r="CA19" s="358"/>
      <c r="CB19" s="363">
        <f t="shared" si="2"/>
        <v>0</v>
      </c>
      <c r="CD19" s="358"/>
      <c r="CE19" s="358"/>
      <c r="CF19" s="358"/>
      <c r="CG19" s="358"/>
      <c r="CH19" s="358"/>
      <c r="CI19" s="358"/>
      <c r="CJ19" s="358"/>
      <c r="CK19" s="358"/>
      <c r="CL19" s="358"/>
      <c r="CM19" s="358"/>
      <c r="CN19" s="363">
        <f t="shared" si="3"/>
        <v>0</v>
      </c>
    </row>
    <row r="20" spans="1:92">
      <c r="A20" s="353">
        <v>40269</v>
      </c>
      <c r="B20" s="397">
        <v>0.125</v>
      </c>
      <c r="C20" s="397">
        <v>0.125</v>
      </c>
      <c r="D20" s="397">
        <v>0.125</v>
      </c>
      <c r="E20" s="397">
        <v>0.125</v>
      </c>
      <c r="F20" s="397">
        <v>0.05</v>
      </c>
      <c r="G20" s="399"/>
      <c r="H20" s="401">
        <v>0</v>
      </c>
      <c r="I20" s="15"/>
      <c r="J20" s="354">
        <v>0</v>
      </c>
      <c r="K20" s="354">
        <v>564.87</v>
      </c>
      <c r="L20" s="354">
        <v>131.04999999999995</v>
      </c>
      <c r="M20" s="354">
        <v>36.970000000000027</v>
      </c>
      <c r="N20" s="354">
        <v>10</v>
      </c>
      <c r="O20" s="354">
        <v>97.5</v>
      </c>
      <c r="P20" s="354">
        <v>10</v>
      </c>
      <c r="Q20" s="363">
        <f>SUM(J20:P20)</f>
        <v>850.39</v>
      </c>
      <c r="S20" s="354">
        <v>0</v>
      </c>
      <c r="T20" s="354">
        <v>426.50743800000004</v>
      </c>
      <c r="U20" s="354">
        <v>90.985599900001034</v>
      </c>
      <c r="V20" s="354">
        <v>28.560500500000018</v>
      </c>
      <c r="W20" s="354">
        <v>6.8250000000000002</v>
      </c>
      <c r="X20" s="354">
        <v>63.845946600000012</v>
      </c>
      <c r="Y20" s="354">
        <v>6.52</v>
      </c>
      <c r="Z20" s="363">
        <f>SUM(S20:Y20)</f>
        <v>623.24448500000119</v>
      </c>
      <c r="AB20" s="356">
        <v>0</v>
      </c>
      <c r="AC20" s="356">
        <v>284.47000000000003</v>
      </c>
      <c r="AD20" s="356">
        <v>849.36</v>
      </c>
      <c r="AE20" s="356">
        <v>175.39000000000001</v>
      </c>
      <c r="AF20" s="356"/>
      <c r="AG20" s="356">
        <v>117.875</v>
      </c>
      <c r="AH20" s="356"/>
      <c r="AI20" s="367">
        <f>SUM(AB20:AH20)</f>
        <v>1427.095</v>
      </c>
      <c r="AK20" s="356">
        <v>0</v>
      </c>
      <c r="AL20" s="356">
        <v>199.20798250000001</v>
      </c>
      <c r="AM20" s="356">
        <v>566.588076599999</v>
      </c>
      <c r="AN20" s="356">
        <v>122.77807330000002</v>
      </c>
      <c r="AO20" s="356">
        <v>0</v>
      </c>
      <c r="AP20" s="356">
        <v>63.523997999999999</v>
      </c>
      <c r="AQ20" s="356">
        <v>0</v>
      </c>
      <c r="AR20" s="367">
        <f>SUM(AK20:AQ20)</f>
        <v>952.09813039999892</v>
      </c>
      <c r="AT20" s="354">
        <v>27.2</v>
      </c>
      <c r="AU20" s="354"/>
      <c r="AV20" s="354">
        <v>122.25</v>
      </c>
      <c r="AW20" s="354">
        <v>1331.3</v>
      </c>
      <c r="AX20" s="354">
        <v>275.37</v>
      </c>
      <c r="AY20" s="354">
        <v>60.19</v>
      </c>
      <c r="AZ20" s="354"/>
      <c r="BA20" s="354">
        <v>27.5</v>
      </c>
      <c r="BB20" s="354">
        <v>239.75200000000001</v>
      </c>
      <c r="BC20" s="354"/>
      <c r="BD20" s="363">
        <f t="shared" si="0"/>
        <v>2083.5619999999999</v>
      </c>
      <c r="BF20" s="354">
        <v>27.7412256</v>
      </c>
      <c r="BG20" s="354">
        <v>0</v>
      </c>
      <c r="BH20" s="354">
        <v>88.705240199999992</v>
      </c>
      <c r="BI20" s="354">
        <v>883.18795069999987</v>
      </c>
      <c r="BJ20" s="354">
        <v>208.03846949999999</v>
      </c>
      <c r="BK20" s="354">
        <v>48.025600999999995</v>
      </c>
      <c r="BL20" s="355"/>
      <c r="BM20" s="354">
        <v>19.935034599999998</v>
      </c>
      <c r="BN20" s="354">
        <v>66.142474899999996</v>
      </c>
      <c r="BO20" s="354">
        <v>0</v>
      </c>
      <c r="BP20" s="363">
        <f t="shared" si="1"/>
        <v>1341.7759965</v>
      </c>
      <c r="BR20" s="354"/>
      <c r="BS20" s="354"/>
      <c r="BT20" s="354"/>
      <c r="BU20" s="354"/>
      <c r="BV20" s="354"/>
      <c r="BW20" s="354"/>
      <c r="BX20" s="354"/>
      <c r="BY20" s="354"/>
      <c r="BZ20" s="354"/>
      <c r="CA20" s="354"/>
      <c r="CB20" s="363">
        <f t="shared" si="2"/>
        <v>0</v>
      </c>
      <c r="CD20" s="354"/>
      <c r="CE20" s="354"/>
      <c r="CF20" s="354"/>
      <c r="CG20" s="354"/>
      <c r="CH20" s="354"/>
      <c r="CI20" s="354"/>
      <c r="CJ20" s="355"/>
      <c r="CK20" s="354"/>
      <c r="CL20" s="354"/>
      <c r="CM20" s="354"/>
      <c r="CN20" s="363">
        <f t="shared" si="3"/>
        <v>0</v>
      </c>
    </row>
    <row r="21" spans="1:92">
      <c r="A21" s="353">
        <v>40299</v>
      </c>
      <c r="B21" s="397">
        <v>0.125</v>
      </c>
      <c r="C21" s="397">
        <v>0.125</v>
      </c>
      <c r="D21" s="397">
        <v>0.125</v>
      </c>
      <c r="E21" s="397">
        <v>0.125</v>
      </c>
      <c r="F21" s="397">
        <v>0.05</v>
      </c>
      <c r="G21" s="399"/>
      <c r="H21" s="401">
        <v>0</v>
      </c>
      <c r="I21" s="15"/>
      <c r="J21" s="354">
        <v>0</v>
      </c>
      <c r="K21" s="354">
        <v>429.39999999999992</v>
      </c>
      <c r="L21" s="354">
        <v>126.65999999999974</v>
      </c>
      <c r="M21" s="354">
        <v>19.3599999999999</v>
      </c>
      <c r="N21" s="354">
        <v>15.7</v>
      </c>
      <c r="O21" s="354">
        <v>80.725000000000023</v>
      </c>
      <c r="P21" s="354">
        <v>35</v>
      </c>
      <c r="Q21" s="363">
        <f t="shared" ref="Q21:Q84" si="8">SUM(J21:P21)</f>
        <v>706.84499999999969</v>
      </c>
      <c r="S21" s="354">
        <v>0</v>
      </c>
      <c r="T21" s="354">
        <v>328.06120690000012</v>
      </c>
      <c r="U21" s="354">
        <v>101.51712900000126</v>
      </c>
      <c r="V21" s="354">
        <v>17.133600000000001</v>
      </c>
      <c r="W21" s="354">
        <v>10.851423</v>
      </c>
      <c r="X21" s="354">
        <v>52.792587900000001</v>
      </c>
      <c r="Y21" s="354">
        <v>21.234999999999999</v>
      </c>
      <c r="Z21" s="363">
        <f>SUM(S21:Y21)</f>
        <v>531.59094680000135</v>
      </c>
      <c r="AB21" s="356">
        <v>0</v>
      </c>
      <c r="AC21" s="356">
        <v>256.06</v>
      </c>
      <c r="AD21" s="356">
        <v>673.06</v>
      </c>
      <c r="AE21" s="356">
        <v>279.49</v>
      </c>
      <c r="AF21" s="356"/>
      <c r="AG21" s="356">
        <v>69</v>
      </c>
      <c r="AH21" s="356"/>
      <c r="AI21" s="367">
        <f t="shared" ref="AI21:AI84" si="9">SUM(AB21:AH21)</f>
        <v>1277.6099999999999</v>
      </c>
      <c r="AK21" s="356">
        <v>0</v>
      </c>
      <c r="AL21" s="356">
        <v>190.43408969999999</v>
      </c>
      <c r="AM21" s="356">
        <v>443.46625579999903</v>
      </c>
      <c r="AN21" s="356">
        <v>211.58664690000001</v>
      </c>
      <c r="AO21" s="356">
        <v>0</v>
      </c>
      <c r="AP21" s="356">
        <v>35.457498000000001</v>
      </c>
      <c r="AQ21" s="356">
        <v>0</v>
      </c>
      <c r="AR21" s="367">
        <f>SUM(AK21:AQ21)</f>
        <v>880.94449039999904</v>
      </c>
      <c r="AT21" s="354">
        <v>19.02</v>
      </c>
      <c r="AU21" s="354"/>
      <c r="AV21" s="354">
        <v>77.78</v>
      </c>
      <c r="AW21" s="354">
        <v>1285.5000000000002</v>
      </c>
      <c r="AX21" s="354">
        <v>389.25</v>
      </c>
      <c r="AY21" s="354"/>
      <c r="AZ21" s="354"/>
      <c r="BA21" s="354">
        <v>18.7</v>
      </c>
      <c r="BB21" s="354">
        <v>66.567999999999998</v>
      </c>
      <c r="BC21" s="354">
        <v>4.0199999999999996</v>
      </c>
      <c r="BD21" s="363">
        <f t="shared" si="0"/>
        <v>1860.8380000000002</v>
      </c>
      <c r="BF21" s="354">
        <v>21.7359571</v>
      </c>
      <c r="BG21" s="354">
        <v>0</v>
      </c>
      <c r="BH21" s="354">
        <v>61.472383400000005</v>
      </c>
      <c r="BI21" s="354">
        <v>936.94486870000003</v>
      </c>
      <c r="BJ21" s="354">
        <v>283.58629819999999</v>
      </c>
      <c r="BK21" s="354">
        <v>0</v>
      </c>
      <c r="BL21" s="355"/>
      <c r="BM21" s="354">
        <v>13.432373799999999</v>
      </c>
      <c r="BN21" s="354">
        <v>16.094541499999998</v>
      </c>
      <c r="BO21" s="354">
        <v>3.5992606000000005</v>
      </c>
      <c r="BP21" s="363">
        <f t="shared" si="1"/>
        <v>1336.8656833000002</v>
      </c>
      <c r="BR21" s="354"/>
      <c r="BS21" s="354"/>
      <c r="BT21" s="354"/>
      <c r="BU21" s="354"/>
      <c r="BV21" s="354"/>
      <c r="BW21" s="354"/>
      <c r="BX21" s="354"/>
      <c r="BY21" s="354"/>
      <c r="BZ21" s="354"/>
      <c r="CA21" s="354"/>
      <c r="CB21" s="363">
        <f t="shared" si="2"/>
        <v>0</v>
      </c>
      <c r="CD21" s="354"/>
      <c r="CE21" s="354"/>
      <c r="CF21" s="354"/>
      <c r="CG21" s="354"/>
      <c r="CH21" s="354"/>
      <c r="CI21" s="354"/>
      <c r="CJ21" s="355"/>
      <c r="CK21" s="354"/>
      <c r="CL21" s="354"/>
      <c r="CM21" s="354"/>
      <c r="CN21" s="363">
        <f t="shared" si="3"/>
        <v>0</v>
      </c>
    </row>
    <row r="22" spans="1:92">
      <c r="A22" s="353">
        <v>40330</v>
      </c>
      <c r="B22" s="397">
        <v>0.125</v>
      </c>
      <c r="C22" s="397">
        <v>0.125</v>
      </c>
      <c r="D22" s="397">
        <v>0.125</v>
      </c>
      <c r="E22" s="397">
        <v>0.125</v>
      </c>
      <c r="F22" s="397">
        <v>0.05</v>
      </c>
      <c r="G22" s="399"/>
      <c r="H22" s="401">
        <v>0</v>
      </c>
      <c r="I22" s="15"/>
      <c r="J22" s="354">
        <v>0</v>
      </c>
      <c r="K22" s="354">
        <v>1226.0900000000001</v>
      </c>
      <c r="L22" s="354">
        <v>27.17999999999995</v>
      </c>
      <c r="M22" s="354">
        <v>9.1200000000000045</v>
      </c>
      <c r="N22" s="354">
        <v>14.75</v>
      </c>
      <c r="O22" s="354">
        <v>127.82499999999999</v>
      </c>
      <c r="P22" s="354">
        <v>13</v>
      </c>
      <c r="Q22" s="363">
        <f t="shared" si="8"/>
        <v>1417.9649999999999</v>
      </c>
      <c r="S22" s="354">
        <v>0</v>
      </c>
      <c r="T22" s="354">
        <v>980.49554380000029</v>
      </c>
      <c r="U22" s="354">
        <v>23.156476199999986</v>
      </c>
      <c r="V22" s="354">
        <v>8.0711999999999762</v>
      </c>
      <c r="W22" s="354">
        <v>10.772400699999999</v>
      </c>
      <c r="X22" s="354">
        <v>84.140012299999995</v>
      </c>
      <c r="Y22" s="354">
        <v>9.1649999999999991</v>
      </c>
      <c r="Z22" s="363">
        <f t="shared" ref="Z22:Z85" si="10">SUM(S22:Y22)</f>
        <v>1115.8006330000003</v>
      </c>
      <c r="AB22" s="356">
        <v>0</v>
      </c>
      <c r="AC22" s="356">
        <v>413.35</v>
      </c>
      <c r="AD22" s="356">
        <v>696.35</v>
      </c>
      <c r="AE22" s="356">
        <v>140.39999999999998</v>
      </c>
      <c r="AF22" s="356"/>
      <c r="AG22" s="356">
        <v>54</v>
      </c>
      <c r="AH22" s="356"/>
      <c r="AI22" s="367">
        <f t="shared" si="9"/>
        <v>1304.0999999999999</v>
      </c>
      <c r="AK22" s="356">
        <v>0</v>
      </c>
      <c r="AL22" s="356">
        <v>335.94264420000002</v>
      </c>
      <c r="AM22" s="356">
        <v>506.96530999999999</v>
      </c>
      <c r="AN22" s="356">
        <v>105.65919359999999</v>
      </c>
      <c r="AO22" s="356">
        <v>0</v>
      </c>
      <c r="AP22" s="356">
        <v>30.080672999999997</v>
      </c>
      <c r="AQ22" s="356">
        <v>0</v>
      </c>
      <c r="AR22" s="367">
        <f t="shared" ref="AR22:AR85" si="11">SUM(AK22:AQ22)</f>
        <v>978.64782079999998</v>
      </c>
      <c r="AT22" s="354"/>
      <c r="AU22" s="354"/>
      <c r="AV22" s="354">
        <v>40.799999999999997</v>
      </c>
      <c r="AW22" s="354">
        <v>950.54000000000008</v>
      </c>
      <c r="AX22" s="354">
        <v>174.28</v>
      </c>
      <c r="AY22" s="354"/>
      <c r="AZ22" s="354"/>
      <c r="BA22" s="354"/>
      <c r="BB22" s="354">
        <v>168</v>
      </c>
      <c r="BC22" s="354">
        <v>192.88</v>
      </c>
      <c r="BD22" s="363">
        <f t="shared" si="0"/>
        <v>1526.5</v>
      </c>
      <c r="BF22" s="354">
        <v>0</v>
      </c>
      <c r="BG22" s="354">
        <v>0</v>
      </c>
      <c r="BH22" s="354">
        <v>36.208872100000001</v>
      </c>
      <c r="BI22" s="354">
        <v>740.67655049999996</v>
      </c>
      <c r="BJ22" s="354">
        <v>135.83701160000001</v>
      </c>
      <c r="BK22" s="354">
        <v>0</v>
      </c>
      <c r="BL22" s="355"/>
      <c r="BM22" s="354">
        <v>0</v>
      </c>
      <c r="BN22" s="354">
        <v>100.01486420000002</v>
      </c>
      <c r="BO22" s="354">
        <v>109.6584397</v>
      </c>
      <c r="BP22" s="363">
        <f t="shared" si="1"/>
        <v>1122.3957381</v>
      </c>
      <c r="BR22" s="354"/>
      <c r="BS22" s="354"/>
      <c r="BT22" s="354"/>
      <c r="BU22" s="354"/>
      <c r="BV22" s="354"/>
      <c r="BW22" s="354"/>
      <c r="BX22" s="354"/>
      <c r="BY22" s="354"/>
      <c r="BZ22" s="354"/>
      <c r="CA22" s="354"/>
      <c r="CB22" s="363">
        <f t="shared" si="2"/>
        <v>0</v>
      </c>
      <c r="CD22" s="354"/>
      <c r="CE22" s="354"/>
      <c r="CF22" s="354"/>
      <c r="CG22" s="354"/>
      <c r="CH22" s="354"/>
      <c r="CI22" s="354"/>
      <c r="CJ22" s="355"/>
      <c r="CK22" s="354"/>
      <c r="CL22" s="354"/>
      <c r="CM22" s="354"/>
      <c r="CN22" s="363">
        <f t="shared" si="3"/>
        <v>0</v>
      </c>
    </row>
    <row r="23" spans="1:92">
      <c r="A23" s="353">
        <v>40360</v>
      </c>
      <c r="B23" s="397">
        <v>0.125</v>
      </c>
      <c r="C23" s="397">
        <v>0.125</v>
      </c>
      <c r="D23" s="397">
        <v>0.125</v>
      </c>
      <c r="E23" s="397">
        <v>0.125</v>
      </c>
      <c r="F23" s="397">
        <v>0.05</v>
      </c>
      <c r="G23" s="399"/>
      <c r="H23" s="401">
        <v>0</v>
      </c>
      <c r="I23" s="15"/>
      <c r="J23" s="354">
        <v>0</v>
      </c>
      <c r="K23" s="354">
        <v>1363.73</v>
      </c>
      <c r="L23" s="354">
        <v>61.080000000000041</v>
      </c>
      <c r="M23" s="354">
        <v>46.649999999999977</v>
      </c>
      <c r="N23" s="354">
        <v>10.55</v>
      </c>
      <c r="O23" s="354">
        <v>100.5</v>
      </c>
      <c r="P23" s="354">
        <v>65.5</v>
      </c>
      <c r="Q23" s="363">
        <f t="shared" si="8"/>
        <v>1648.01</v>
      </c>
      <c r="S23" s="354">
        <v>0</v>
      </c>
      <c r="T23" s="354">
        <v>1107.2325671999999</v>
      </c>
      <c r="U23" s="354">
        <v>52.634391599999844</v>
      </c>
      <c r="V23" s="354">
        <v>47.583000000000069</v>
      </c>
      <c r="W23" s="354">
        <v>7.4904999999999999</v>
      </c>
      <c r="X23" s="354">
        <v>69.076504499999999</v>
      </c>
      <c r="Y23" s="354">
        <v>43.568002699999994</v>
      </c>
      <c r="Z23" s="363">
        <f t="shared" si="10"/>
        <v>1327.5849660000001</v>
      </c>
      <c r="AB23" s="356">
        <v>0</v>
      </c>
      <c r="AC23" s="356">
        <v>578.62</v>
      </c>
      <c r="AD23" s="356">
        <v>874.17</v>
      </c>
      <c r="AE23" s="356">
        <v>148.15</v>
      </c>
      <c r="AF23" s="356"/>
      <c r="AG23" s="356">
        <v>51.5</v>
      </c>
      <c r="AH23" s="356">
        <v>5</v>
      </c>
      <c r="AI23" s="367">
        <f t="shared" si="9"/>
        <v>1657.44</v>
      </c>
      <c r="AK23" s="356">
        <v>0</v>
      </c>
      <c r="AL23" s="356">
        <v>483.01640750000001</v>
      </c>
      <c r="AM23" s="356">
        <v>664.96111740000003</v>
      </c>
      <c r="AN23" s="356">
        <v>114.38867059999991</v>
      </c>
      <c r="AO23" s="356">
        <v>0</v>
      </c>
      <c r="AP23" s="356">
        <v>29.217524999999998</v>
      </c>
      <c r="AQ23" s="356">
        <v>3.5</v>
      </c>
      <c r="AR23" s="367">
        <f t="shared" si="11"/>
        <v>1295.0837204999998</v>
      </c>
      <c r="AT23" s="354">
        <v>27.2</v>
      </c>
      <c r="AU23" s="354">
        <v>18.89</v>
      </c>
      <c r="AV23" s="354">
        <v>40.800339999999998</v>
      </c>
      <c r="AW23" s="354">
        <v>791.5100000000001</v>
      </c>
      <c r="AX23" s="354">
        <v>375.38000000000005</v>
      </c>
      <c r="AY23" s="354"/>
      <c r="AZ23" s="354"/>
      <c r="BA23" s="354">
        <v>6</v>
      </c>
      <c r="BB23" s="354">
        <v>9.15</v>
      </c>
      <c r="BC23" s="354">
        <v>126</v>
      </c>
      <c r="BD23" s="363">
        <f t="shared" si="0"/>
        <v>1394.9303400000003</v>
      </c>
      <c r="BF23" s="354">
        <v>24.489630099999999</v>
      </c>
      <c r="BG23" s="354">
        <v>19.608062799999999</v>
      </c>
      <c r="BH23" s="354">
        <v>37.599585499999996</v>
      </c>
      <c r="BI23" s="354">
        <v>663.89204289999998</v>
      </c>
      <c r="BJ23" s="354">
        <v>316.59083849999996</v>
      </c>
      <c r="BK23" s="354">
        <v>0</v>
      </c>
      <c r="BL23" s="355"/>
      <c r="BM23" s="354">
        <v>6.1959316000000006</v>
      </c>
      <c r="BN23" s="354">
        <v>6.2318707000000009</v>
      </c>
      <c r="BO23" s="354">
        <v>71.043895000000006</v>
      </c>
      <c r="BP23" s="363">
        <f t="shared" si="1"/>
        <v>1145.6518570999999</v>
      </c>
      <c r="BR23" s="354"/>
      <c r="BS23" s="354"/>
      <c r="BT23" s="354"/>
      <c r="BU23" s="354"/>
      <c r="BV23" s="354"/>
      <c r="BW23" s="354"/>
      <c r="BX23" s="354"/>
      <c r="BY23" s="354"/>
      <c r="BZ23" s="354"/>
      <c r="CA23" s="354"/>
      <c r="CB23" s="363">
        <f t="shared" si="2"/>
        <v>0</v>
      </c>
      <c r="CD23" s="354"/>
      <c r="CE23" s="354"/>
      <c r="CF23" s="354"/>
      <c r="CG23" s="354"/>
      <c r="CH23" s="354"/>
      <c r="CI23" s="354"/>
      <c r="CJ23" s="355"/>
      <c r="CK23" s="354"/>
      <c r="CL23" s="354"/>
      <c r="CM23" s="354"/>
      <c r="CN23" s="363">
        <f t="shared" si="3"/>
        <v>0</v>
      </c>
    </row>
    <row r="24" spans="1:92">
      <c r="A24" s="353">
        <v>40391</v>
      </c>
      <c r="B24" s="397">
        <v>0.125</v>
      </c>
      <c r="C24" s="397">
        <v>0.125</v>
      </c>
      <c r="D24" s="397">
        <v>0.125</v>
      </c>
      <c r="E24" s="397">
        <v>0.125</v>
      </c>
      <c r="F24" s="397">
        <v>0.05</v>
      </c>
      <c r="G24" s="399"/>
      <c r="H24" s="401">
        <v>0</v>
      </c>
      <c r="I24" s="15"/>
      <c r="J24" s="354">
        <v>0</v>
      </c>
      <c r="K24" s="354">
        <v>1431.0199999999993</v>
      </c>
      <c r="L24" s="354">
        <v>27.959999999999923</v>
      </c>
      <c r="M24" s="354">
        <v>72.28</v>
      </c>
      <c r="N24" s="354">
        <v>3.2750000000000004</v>
      </c>
      <c r="O24" s="354">
        <v>62.999999999999993</v>
      </c>
      <c r="P24" s="354">
        <v>0</v>
      </c>
      <c r="Q24" s="363">
        <f t="shared" si="8"/>
        <v>1597.5349999999992</v>
      </c>
      <c r="S24" s="354">
        <v>0</v>
      </c>
      <c r="T24" s="354">
        <v>1165.4997588999991</v>
      </c>
      <c r="U24" s="354">
        <v>24.254168599999957</v>
      </c>
      <c r="V24" s="354">
        <v>71.569600000000108</v>
      </c>
      <c r="W24" s="354">
        <v>2.3776499999999992</v>
      </c>
      <c r="X24" s="354">
        <v>45.502418999999989</v>
      </c>
      <c r="Y24" s="354">
        <v>0</v>
      </c>
      <c r="Z24" s="363">
        <f t="shared" si="10"/>
        <v>1309.2035964999989</v>
      </c>
      <c r="AB24" s="356">
        <v>0</v>
      </c>
      <c r="AC24" s="356">
        <v>654.03</v>
      </c>
      <c r="AD24" s="356">
        <v>352.21</v>
      </c>
      <c r="AE24" s="356">
        <v>156.04</v>
      </c>
      <c r="AF24" s="356">
        <v>12</v>
      </c>
      <c r="AG24" s="356">
        <v>28.725000000000001</v>
      </c>
      <c r="AH24" s="356">
        <v>16</v>
      </c>
      <c r="AI24" s="367">
        <f t="shared" si="9"/>
        <v>1219.0049999999999</v>
      </c>
      <c r="AK24" s="356">
        <v>0</v>
      </c>
      <c r="AL24" s="356">
        <v>519.14296909999996</v>
      </c>
      <c r="AM24" s="356">
        <v>261.22841620000003</v>
      </c>
      <c r="AN24" s="356">
        <v>121.27552219999991</v>
      </c>
      <c r="AO24" s="356">
        <v>8.9184000000000001</v>
      </c>
      <c r="AP24" s="356">
        <v>16.58371</v>
      </c>
      <c r="AQ24" s="356">
        <v>11.44</v>
      </c>
      <c r="AR24" s="367">
        <f t="shared" si="11"/>
        <v>938.58901749999995</v>
      </c>
      <c r="AT24" s="354">
        <v>13.6</v>
      </c>
      <c r="AU24" s="354"/>
      <c r="AV24" s="354">
        <v>93.81</v>
      </c>
      <c r="AW24" s="354">
        <v>499.93000000000006</v>
      </c>
      <c r="AX24" s="354">
        <v>529.04</v>
      </c>
      <c r="AY24" s="354"/>
      <c r="AZ24" s="354"/>
      <c r="BA24" s="354">
        <v>7</v>
      </c>
      <c r="BB24" s="354">
        <v>58.32</v>
      </c>
      <c r="BC24" s="354">
        <v>1.96</v>
      </c>
      <c r="BD24" s="363">
        <f t="shared" si="0"/>
        <v>1203.6600000000001</v>
      </c>
      <c r="BF24" s="354">
        <v>14.503911199999999</v>
      </c>
      <c r="BG24" s="354">
        <v>0</v>
      </c>
      <c r="BH24" s="354">
        <v>88.502286799999993</v>
      </c>
      <c r="BI24" s="354">
        <v>433.45945910000006</v>
      </c>
      <c r="BJ24" s="354">
        <v>463.75763109999991</v>
      </c>
      <c r="BK24" s="354">
        <v>0</v>
      </c>
      <c r="BL24" s="355"/>
      <c r="BM24" s="354">
        <v>7.1493763000000001</v>
      </c>
      <c r="BN24" s="354">
        <v>21.522296699999998</v>
      </c>
      <c r="BO24" s="354">
        <v>1.8311592000000001</v>
      </c>
      <c r="BP24" s="363">
        <f t="shared" si="1"/>
        <v>1030.7261203999999</v>
      </c>
      <c r="BR24" s="354"/>
      <c r="BS24" s="354"/>
      <c r="BT24" s="354"/>
      <c r="BU24" s="354"/>
      <c r="BV24" s="354"/>
      <c r="BW24" s="354"/>
      <c r="BX24" s="354"/>
      <c r="BY24" s="354"/>
      <c r="BZ24" s="354"/>
      <c r="CA24" s="354"/>
      <c r="CB24" s="363">
        <f t="shared" si="2"/>
        <v>0</v>
      </c>
      <c r="CD24" s="354"/>
      <c r="CE24" s="354"/>
      <c r="CF24" s="354"/>
      <c r="CG24" s="354"/>
      <c r="CH24" s="354"/>
      <c r="CI24" s="354"/>
      <c r="CJ24" s="355"/>
      <c r="CK24" s="354"/>
      <c r="CL24" s="354"/>
      <c r="CM24" s="354"/>
      <c r="CN24" s="363">
        <f t="shared" si="3"/>
        <v>0</v>
      </c>
    </row>
    <row r="25" spans="1:92">
      <c r="A25" s="353">
        <v>40422</v>
      </c>
      <c r="B25" s="397">
        <v>0.125</v>
      </c>
      <c r="C25" s="397">
        <v>0.125</v>
      </c>
      <c r="D25" s="397">
        <v>0.125</v>
      </c>
      <c r="E25" s="397">
        <v>0.125</v>
      </c>
      <c r="F25" s="397">
        <v>0.05</v>
      </c>
      <c r="G25" s="399"/>
      <c r="H25" s="401">
        <v>0</v>
      </c>
      <c r="I25" s="15"/>
      <c r="J25" s="354">
        <v>0</v>
      </c>
      <c r="K25" s="354">
        <v>1453.8100000000006</v>
      </c>
      <c r="L25" s="354">
        <v>50.810000000000031</v>
      </c>
      <c r="M25" s="354">
        <v>77.190000000000012</v>
      </c>
      <c r="N25" s="354">
        <v>13.976000000000001</v>
      </c>
      <c r="O25" s="354">
        <v>62.3</v>
      </c>
      <c r="P25" s="354">
        <v>5</v>
      </c>
      <c r="Q25" s="363">
        <f t="shared" si="8"/>
        <v>1663.0860000000007</v>
      </c>
      <c r="S25" s="354">
        <v>0</v>
      </c>
      <c r="T25" s="354">
        <v>1310.7859041999995</v>
      </c>
      <c r="U25" s="354">
        <v>42.490112700000964</v>
      </c>
      <c r="V25" s="354">
        <v>75.285159500000006</v>
      </c>
      <c r="W25" s="354">
        <v>10.666576000000001</v>
      </c>
      <c r="X25" s="354">
        <v>45.589326700000001</v>
      </c>
      <c r="Y25" s="354">
        <v>3.745000000000001</v>
      </c>
      <c r="Z25" s="363">
        <f t="shared" si="10"/>
        <v>1488.5620791000003</v>
      </c>
      <c r="AB25" s="356">
        <v>0</v>
      </c>
      <c r="AC25" s="356">
        <v>706.47</v>
      </c>
      <c r="AD25" s="356">
        <v>254.35</v>
      </c>
      <c r="AE25" s="356">
        <v>51.2</v>
      </c>
      <c r="AF25" s="356"/>
      <c r="AG25" s="356">
        <v>39</v>
      </c>
      <c r="AH25" s="356">
        <v>24.125</v>
      </c>
      <c r="AI25" s="367">
        <f t="shared" si="9"/>
        <v>1075.145</v>
      </c>
      <c r="AK25" s="356">
        <v>0</v>
      </c>
      <c r="AL25" s="356">
        <v>597.60504109999999</v>
      </c>
      <c r="AM25" s="356">
        <v>194.56756969999898</v>
      </c>
      <c r="AN25" s="356">
        <v>40.545107000000002</v>
      </c>
      <c r="AO25" s="356">
        <v>0</v>
      </c>
      <c r="AP25" s="356">
        <v>21.396750000000001</v>
      </c>
      <c r="AQ25" s="356">
        <v>17.249375000000001</v>
      </c>
      <c r="AR25" s="367">
        <f t="shared" si="11"/>
        <v>871.36384279999902</v>
      </c>
      <c r="AT25" s="354">
        <v>51</v>
      </c>
      <c r="AU25" s="354">
        <v>14.4</v>
      </c>
      <c r="AV25" s="354">
        <v>237.54</v>
      </c>
      <c r="AW25" s="354">
        <v>866.92</v>
      </c>
      <c r="AX25" s="354">
        <v>432.63</v>
      </c>
      <c r="AY25" s="354"/>
      <c r="AZ25" s="354"/>
      <c r="BA25" s="354">
        <v>12</v>
      </c>
      <c r="BB25" s="354">
        <v>16.399999999999999</v>
      </c>
      <c r="BC25" s="354">
        <v>221</v>
      </c>
      <c r="BD25" s="363">
        <f t="shared" si="0"/>
        <v>1851.8899999999999</v>
      </c>
      <c r="BF25" s="354">
        <v>53.907618800000009</v>
      </c>
      <c r="BG25" s="354">
        <v>16.554744400000001</v>
      </c>
      <c r="BH25" s="354">
        <v>227.30408540000002</v>
      </c>
      <c r="BI25" s="354">
        <v>792.81230240000014</v>
      </c>
      <c r="BJ25" s="354">
        <v>379.09799559999993</v>
      </c>
      <c r="BK25" s="354">
        <v>0</v>
      </c>
      <c r="BL25" s="355"/>
      <c r="BM25" s="354">
        <v>12.831811</v>
      </c>
      <c r="BN25" s="354">
        <v>11.2749179</v>
      </c>
      <c r="BO25" s="354">
        <v>126.69464750000002</v>
      </c>
      <c r="BP25" s="363">
        <f t="shared" si="1"/>
        <v>1620.4781230000001</v>
      </c>
      <c r="BR25" s="354"/>
      <c r="BS25" s="354"/>
      <c r="BT25" s="354"/>
      <c r="BU25" s="354"/>
      <c r="BV25" s="354"/>
      <c r="BW25" s="354"/>
      <c r="BX25" s="354"/>
      <c r="BY25" s="354"/>
      <c r="BZ25" s="354"/>
      <c r="CA25" s="354"/>
      <c r="CB25" s="363">
        <f t="shared" si="2"/>
        <v>0</v>
      </c>
      <c r="CD25" s="354"/>
      <c r="CE25" s="354"/>
      <c r="CF25" s="354"/>
      <c r="CG25" s="354"/>
      <c r="CH25" s="354"/>
      <c r="CI25" s="354"/>
      <c r="CJ25" s="355"/>
      <c r="CK25" s="354"/>
      <c r="CL25" s="354"/>
      <c r="CM25" s="354"/>
      <c r="CN25" s="363">
        <f t="shared" si="3"/>
        <v>0</v>
      </c>
    </row>
    <row r="26" spans="1:92">
      <c r="A26" s="353">
        <v>40452</v>
      </c>
      <c r="B26" s="397">
        <v>0.125</v>
      </c>
      <c r="C26" s="397">
        <v>0.125</v>
      </c>
      <c r="D26" s="397">
        <v>0.125</v>
      </c>
      <c r="E26" s="397">
        <v>0.125</v>
      </c>
      <c r="F26" s="397">
        <v>0.05</v>
      </c>
      <c r="G26" s="399"/>
      <c r="H26" s="401">
        <v>0</v>
      </c>
      <c r="I26" s="15"/>
      <c r="J26" s="354">
        <v>0</v>
      </c>
      <c r="K26" s="354">
        <v>1440.4699999999998</v>
      </c>
      <c r="L26" s="354">
        <v>40.299999999999955</v>
      </c>
      <c r="M26" s="354">
        <v>59</v>
      </c>
      <c r="N26" s="354">
        <v>23.492000000000001</v>
      </c>
      <c r="O26" s="354">
        <v>70.525000000000006</v>
      </c>
      <c r="P26" s="354">
        <v>5</v>
      </c>
      <c r="Q26" s="363">
        <f t="shared" si="8"/>
        <v>1638.7869999999998</v>
      </c>
      <c r="S26" s="354">
        <v>0</v>
      </c>
      <c r="T26" s="354">
        <v>1344.8263169000015</v>
      </c>
      <c r="U26" s="354">
        <v>43.868812799999944</v>
      </c>
      <c r="V26" s="354">
        <v>61.821495199999958</v>
      </c>
      <c r="W26" s="354">
        <v>18.148866999999999</v>
      </c>
      <c r="X26" s="354">
        <v>54.331417999999999</v>
      </c>
      <c r="Y26" s="354">
        <v>3.745000000000001</v>
      </c>
      <c r="Z26" s="363">
        <f t="shared" si="10"/>
        <v>1526.7419099000012</v>
      </c>
      <c r="AB26" s="356">
        <v>0</v>
      </c>
      <c r="AC26" s="356">
        <v>549.40000000000009</v>
      </c>
      <c r="AD26" s="356">
        <v>361.33</v>
      </c>
      <c r="AE26" s="356">
        <v>207.3</v>
      </c>
      <c r="AF26" s="356"/>
      <c r="AG26" s="356">
        <v>36.5</v>
      </c>
      <c r="AH26" s="356">
        <v>23.875</v>
      </c>
      <c r="AI26" s="367">
        <f t="shared" si="9"/>
        <v>1178.405</v>
      </c>
      <c r="AK26" s="356">
        <v>0</v>
      </c>
      <c r="AL26" s="356">
        <v>540.46849359999908</v>
      </c>
      <c r="AM26" s="356">
        <v>303.44721029999999</v>
      </c>
      <c r="AN26" s="356">
        <v>169.60821650000003</v>
      </c>
      <c r="AO26" s="356">
        <v>0</v>
      </c>
      <c r="AP26" s="356">
        <v>21.526634999999999</v>
      </c>
      <c r="AQ26" s="356">
        <v>17.070625</v>
      </c>
      <c r="AR26" s="367">
        <f t="shared" si="11"/>
        <v>1052.121180399999</v>
      </c>
      <c r="AT26" s="354"/>
      <c r="AU26" s="354"/>
      <c r="AV26" s="354">
        <v>442.28</v>
      </c>
      <c r="AW26" s="354">
        <v>447.6099999999999</v>
      </c>
      <c r="AX26" s="354">
        <v>175.21</v>
      </c>
      <c r="AY26" s="354">
        <v>38.959999999999994</v>
      </c>
      <c r="AZ26" s="354"/>
      <c r="BA26" s="354">
        <v>17.7</v>
      </c>
      <c r="BB26" s="354">
        <v>84.11</v>
      </c>
      <c r="BC26" s="354">
        <v>126</v>
      </c>
      <c r="BD26" s="363">
        <f t="shared" si="0"/>
        <v>1331.87</v>
      </c>
      <c r="BF26" s="354">
        <v>0</v>
      </c>
      <c r="BG26" s="354">
        <v>0</v>
      </c>
      <c r="BH26" s="354">
        <v>441.31523699999997</v>
      </c>
      <c r="BI26" s="354">
        <v>422.61990099999991</v>
      </c>
      <c r="BJ26" s="354">
        <v>173.8118437</v>
      </c>
      <c r="BK26" s="354">
        <v>38.129762400000004</v>
      </c>
      <c r="BL26" s="355"/>
      <c r="BM26" s="354">
        <v>14.4896782</v>
      </c>
      <c r="BN26" s="354">
        <v>19.9051677</v>
      </c>
      <c r="BO26" s="354">
        <v>83.576902099999998</v>
      </c>
      <c r="BP26" s="363">
        <f t="shared" si="1"/>
        <v>1193.8484921000002</v>
      </c>
      <c r="BR26" s="354"/>
      <c r="BS26" s="354"/>
      <c r="BT26" s="354"/>
      <c r="BU26" s="354"/>
      <c r="BV26" s="354"/>
      <c r="BW26" s="354"/>
      <c r="BX26" s="354"/>
      <c r="BY26" s="354"/>
      <c r="BZ26" s="354"/>
      <c r="CA26" s="354"/>
      <c r="CB26" s="363">
        <f t="shared" si="2"/>
        <v>0</v>
      </c>
      <c r="CD26" s="354"/>
      <c r="CE26" s="354"/>
      <c r="CF26" s="354"/>
      <c r="CG26" s="354"/>
      <c r="CH26" s="354"/>
      <c r="CI26" s="354"/>
      <c r="CJ26" s="355"/>
      <c r="CK26" s="354"/>
      <c r="CL26" s="354"/>
      <c r="CM26" s="354"/>
      <c r="CN26" s="363">
        <f t="shared" si="3"/>
        <v>0</v>
      </c>
    </row>
    <row r="27" spans="1:92">
      <c r="A27" s="353">
        <v>40483</v>
      </c>
      <c r="B27" s="397">
        <v>0.125</v>
      </c>
      <c r="C27" s="397">
        <v>0.125</v>
      </c>
      <c r="D27" s="397">
        <v>0.125</v>
      </c>
      <c r="E27" s="397">
        <v>0.125</v>
      </c>
      <c r="F27" s="397">
        <v>0.05</v>
      </c>
      <c r="G27" s="399"/>
      <c r="H27" s="401">
        <v>0</v>
      </c>
      <c r="I27" s="15"/>
      <c r="J27" s="354">
        <v>0</v>
      </c>
      <c r="K27" s="354">
        <v>1485.8000000000009</v>
      </c>
      <c r="L27" s="354">
        <v>58.42</v>
      </c>
      <c r="M27" s="354">
        <v>17.53</v>
      </c>
      <c r="N27" s="354">
        <v>11.475</v>
      </c>
      <c r="O27" s="354">
        <v>118.02500000000001</v>
      </c>
      <c r="P27" s="354">
        <v>10</v>
      </c>
      <c r="Q27" s="363">
        <f t="shared" si="8"/>
        <v>1701.2500000000009</v>
      </c>
      <c r="S27" s="354">
        <v>0</v>
      </c>
      <c r="T27" s="354">
        <v>1496.9613753999993</v>
      </c>
      <c r="U27" s="354">
        <v>58.689581200000077</v>
      </c>
      <c r="V27" s="354">
        <v>14.612114000001014</v>
      </c>
      <c r="W27" s="354">
        <v>9.4498499999999996</v>
      </c>
      <c r="X27" s="354">
        <v>93.647187500000001</v>
      </c>
      <c r="Y27" s="354">
        <v>8.0640000000000001</v>
      </c>
      <c r="Z27" s="363">
        <f t="shared" si="10"/>
        <v>1681.4241081000002</v>
      </c>
      <c r="AB27" s="356">
        <v>0</v>
      </c>
      <c r="AC27" s="356">
        <v>822.33999999999992</v>
      </c>
      <c r="AD27" s="356">
        <v>80.64</v>
      </c>
      <c r="AE27" s="356">
        <v>163.01</v>
      </c>
      <c r="AF27" s="356"/>
      <c r="AG27" s="356">
        <v>63</v>
      </c>
      <c r="AH27" s="356"/>
      <c r="AI27" s="367">
        <f t="shared" si="9"/>
        <v>1128.9899999999998</v>
      </c>
      <c r="AK27" s="356">
        <v>0</v>
      </c>
      <c r="AL27" s="356">
        <v>908.21008140000004</v>
      </c>
      <c r="AM27" s="356">
        <v>67.721980099999911</v>
      </c>
      <c r="AN27" s="356">
        <v>171.76963539999898</v>
      </c>
      <c r="AO27" s="356">
        <v>0</v>
      </c>
      <c r="AP27" s="356">
        <v>42.247016999999992</v>
      </c>
      <c r="AQ27" s="356">
        <v>0</v>
      </c>
      <c r="AR27" s="367">
        <f t="shared" si="11"/>
        <v>1189.9487138999989</v>
      </c>
      <c r="AT27" s="354"/>
      <c r="AU27" s="354">
        <v>18.91</v>
      </c>
      <c r="AV27" s="354">
        <v>138.97</v>
      </c>
      <c r="AW27" s="354">
        <v>903.04</v>
      </c>
      <c r="AX27" s="354">
        <v>607.16999999999996</v>
      </c>
      <c r="AY27" s="354"/>
      <c r="AZ27" s="354"/>
      <c r="BA27" s="354">
        <v>22.2</v>
      </c>
      <c r="BB27" s="354">
        <v>36.32</v>
      </c>
      <c r="BC27" s="354">
        <v>160</v>
      </c>
      <c r="BD27" s="363">
        <f t="shared" si="0"/>
        <v>1886.6100000000001</v>
      </c>
      <c r="BF27" s="354">
        <v>0</v>
      </c>
      <c r="BG27" s="354">
        <v>21.224352400000001</v>
      </c>
      <c r="BH27" s="354">
        <v>146.26358339999999</v>
      </c>
      <c r="BI27" s="354">
        <v>867.78848689999995</v>
      </c>
      <c r="BJ27" s="354">
        <v>626.1010824</v>
      </c>
      <c r="BK27" s="354">
        <v>0</v>
      </c>
      <c r="BL27" s="355"/>
      <c r="BM27" s="354">
        <v>19.9300137</v>
      </c>
      <c r="BN27" s="354">
        <v>6.7914662000000003</v>
      </c>
      <c r="BO27" s="354">
        <v>103.43199919999998</v>
      </c>
      <c r="BP27" s="363">
        <f t="shared" si="1"/>
        <v>1791.5309842000001</v>
      </c>
      <c r="BR27" s="354"/>
      <c r="BS27" s="354"/>
      <c r="BT27" s="354"/>
      <c r="BU27" s="354"/>
      <c r="BV27" s="354"/>
      <c r="BW27" s="354"/>
      <c r="BX27" s="354"/>
      <c r="BY27" s="354"/>
      <c r="BZ27" s="354"/>
      <c r="CA27" s="354"/>
      <c r="CB27" s="363">
        <f t="shared" si="2"/>
        <v>0</v>
      </c>
      <c r="CD27" s="354"/>
      <c r="CE27" s="354"/>
      <c r="CF27" s="354"/>
      <c r="CG27" s="354"/>
      <c r="CH27" s="354"/>
      <c r="CI27" s="354"/>
      <c r="CJ27" s="355"/>
      <c r="CK27" s="354"/>
      <c r="CL27" s="354"/>
      <c r="CM27" s="354"/>
      <c r="CN27" s="363">
        <f t="shared" si="3"/>
        <v>0</v>
      </c>
    </row>
    <row r="28" spans="1:92">
      <c r="A28" s="353">
        <v>40513</v>
      </c>
      <c r="B28" s="397">
        <v>0.125</v>
      </c>
      <c r="C28" s="397">
        <v>0.125</v>
      </c>
      <c r="D28" s="397">
        <v>0.125</v>
      </c>
      <c r="E28" s="397">
        <v>0.125</v>
      </c>
      <c r="F28" s="397">
        <v>0.05</v>
      </c>
      <c r="G28" s="399"/>
      <c r="H28" s="401">
        <v>0</v>
      </c>
      <c r="I28" s="15"/>
      <c r="J28" s="354">
        <v>12.24</v>
      </c>
      <c r="K28" s="354">
        <v>1052.7999999999997</v>
      </c>
      <c r="L28" s="354">
        <v>57.120000000000005</v>
      </c>
      <c r="M28" s="354">
        <v>9.64</v>
      </c>
      <c r="N28" s="354">
        <v>30.542999999999999</v>
      </c>
      <c r="O28" s="354">
        <v>139.19999999999999</v>
      </c>
      <c r="P28" s="354">
        <v>5.25</v>
      </c>
      <c r="Q28" s="363">
        <f t="shared" si="8"/>
        <v>1306.7929999999999</v>
      </c>
      <c r="S28" s="354">
        <v>11.491340499999998</v>
      </c>
      <c r="T28" s="354">
        <v>1125.4483997000011</v>
      </c>
      <c r="U28" s="354">
        <v>55.988155999999947</v>
      </c>
      <c r="V28" s="354">
        <v>8.0354123999999985</v>
      </c>
      <c r="W28" s="354">
        <v>29.029142499999999</v>
      </c>
      <c r="X28" s="354">
        <v>115.50719160000001</v>
      </c>
      <c r="Y28" s="354">
        <v>4.6900443999999997</v>
      </c>
      <c r="Z28" s="363">
        <f t="shared" si="10"/>
        <v>1350.189687100001</v>
      </c>
      <c r="AB28" s="356">
        <v>0</v>
      </c>
      <c r="AC28" s="356">
        <v>549.83000000000004</v>
      </c>
      <c r="AD28" s="356">
        <v>282.83999999999997</v>
      </c>
      <c r="AE28" s="356">
        <v>93.75</v>
      </c>
      <c r="AF28" s="356"/>
      <c r="AG28" s="356">
        <v>27</v>
      </c>
      <c r="AH28" s="356"/>
      <c r="AI28" s="367">
        <f t="shared" si="9"/>
        <v>953.42000000000007</v>
      </c>
      <c r="AK28" s="356">
        <v>0</v>
      </c>
      <c r="AL28" s="356">
        <v>563.89146079999898</v>
      </c>
      <c r="AM28" s="356">
        <v>248.53040670000001</v>
      </c>
      <c r="AN28" s="356">
        <v>80.305312499999999</v>
      </c>
      <c r="AO28" s="356">
        <v>0</v>
      </c>
      <c r="AP28" s="356">
        <v>20.737016999999991</v>
      </c>
      <c r="AQ28" s="356">
        <v>0</v>
      </c>
      <c r="AR28" s="367">
        <f t="shared" si="11"/>
        <v>913.4641969999991</v>
      </c>
      <c r="AT28" s="354">
        <v>13.6</v>
      </c>
      <c r="AU28" s="354">
        <v>18.93</v>
      </c>
      <c r="AV28" s="354">
        <v>133.25</v>
      </c>
      <c r="AW28" s="354">
        <v>1269.42</v>
      </c>
      <c r="AX28" s="354">
        <v>392.07000000000005</v>
      </c>
      <c r="AY28" s="354">
        <v>58.23</v>
      </c>
      <c r="AZ28" s="354"/>
      <c r="BA28" s="354">
        <v>17.2</v>
      </c>
      <c r="BB28" s="354">
        <v>12</v>
      </c>
      <c r="BC28" s="354">
        <v>145</v>
      </c>
      <c r="BD28" s="363">
        <f t="shared" si="0"/>
        <v>2059.6999999999998</v>
      </c>
      <c r="BF28" s="354">
        <v>11.1886245</v>
      </c>
      <c r="BG28" s="354">
        <v>21.838303500000002</v>
      </c>
      <c r="BH28" s="354">
        <v>141.5703421</v>
      </c>
      <c r="BI28" s="354">
        <v>1408.8627353000004</v>
      </c>
      <c r="BJ28" s="354">
        <v>432.98459460000009</v>
      </c>
      <c r="BK28" s="354">
        <v>57.676487399999999</v>
      </c>
      <c r="BL28" s="355"/>
      <c r="BM28" s="354">
        <v>15.406033000000001</v>
      </c>
      <c r="BN28" s="354">
        <v>10.0252713</v>
      </c>
      <c r="BO28" s="354">
        <v>98.148437200000004</v>
      </c>
      <c r="BP28" s="363">
        <f t="shared" si="1"/>
        <v>2197.7008289000005</v>
      </c>
      <c r="BR28" s="354"/>
      <c r="BS28" s="354"/>
      <c r="BT28" s="354"/>
      <c r="BU28" s="354"/>
      <c r="BV28" s="354"/>
      <c r="BW28" s="354"/>
      <c r="BX28" s="354"/>
      <c r="BY28" s="354"/>
      <c r="BZ28" s="354"/>
      <c r="CA28" s="354"/>
      <c r="CB28" s="363">
        <f t="shared" si="2"/>
        <v>0</v>
      </c>
      <c r="CD28" s="354"/>
      <c r="CE28" s="354"/>
      <c r="CF28" s="354"/>
      <c r="CG28" s="354"/>
      <c r="CH28" s="354"/>
      <c r="CI28" s="354"/>
      <c r="CJ28" s="355"/>
      <c r="CK28" s="354"/>
      <c r="CL28" s="354"/>
      <c r="CM28" s="354"/>
      <c r="CN28" s="363">
        <f t="shared" si="3"/>
        <v>0</v>
      </c>
    </row>
    <row r="29" spans="1:92">
      <c r="A29" s="353">
        <v>40544</v>
      </c>
      <c r="B29" s="397">
        <v>0.1</v>
      </c>
      <c r="C29" s="397">
        <v>0.1</v>
      </c>
      <c r="D29" s="397">
        <v>0.1</v>
      </c>
      <c r="E29" s="397">
        <v>0.1</v>
      </c>
      <c r="F29" s="397">
        <v>0.05</v>
      </c>
      <c r="G29" s="399"/>
      <c r="H29" s="401">
        <v>0</v>
      </c>
      <c r="I29" s="15"/>
      <c r="J29" s="354">
        <v>0</v>
      </c>
      <c r="K29" s="354">
        <v>1128.19</v>
      </c>
      <c r="L29" s="354">
        <v>73.519999999999754</v>
      </c>
      <c r="M29" s="354">
        <v>61.019999999999996</v>
      </c>
      <c r="N29" s="354">
        <v>24</v>
      </c>
      <c r="O29" s="354">
        <v>144.9</v>
      </c>
      <c r="P29" s="354">
        <v>19.977</v>
      </c>
      <c r="Q29" s="363">
        <f t="shared" si="8"/>
        <v>1451.607</v>
      </c>
      <c r="S29" s="354">
        <v>0</v>
      </c>
      <c r="T29" s="354">
        <v>1282.3699532000001</v>
      </c>
      <c r="U29" s="354">
        <v>77.312014500000146</v>
      </c>
      <c r="V29" s="354">
        <v>76.530933000000104</v>
      </c>
      <c r="W29" s="354">
        <v>22.799316400000002</v>
      </c>
      <c r="X29" s="354">
        <v>131.31358629999997</v>
      </c>
      <c r="Y29" s="354">
        <v>20.230116599999999</v>
      </c>
      <c r="Z29" s="363">
        <f t="shared" si="10"/>
        <v>1610.5559200000002</v>
      </c>
      <c r="AB29" s="356">
        <v>0</v>
      </c>
      <c r="AC29" s="356">
        <v>328.15</v>
      </c>
      <c r="AD29" s="356">
        <v>833.41</v>
      </c>
      <c r="AE29" s="356">
        <v>94.64</v>
      </c>
      <c r="AF29" s="356">
        <v>15</v>
      </c>
      <c r="AG29" s="356">
        <v>89</v>
      </c>
      <c r="AH29" s="356"/>
      <c r="AI29" s="367">
        <f t="shared" si="9"/>
        <v>1360.2</v>
      </c>
      <c r="AK29" s="356">
        <v>0</v>
      </c>
      <c r="AL29" s="356">
        <v>338.26549549999902</v>
      </c>
      <c r="AM29" s="356">
        <v>979.3564662</v>
      </c>
      <c r="AN29" s="356">
        <v>84.225662899999904</v>
      </c>
      <c r="AO29" s="356">
        <v>10.728</v>
      </c>
      <c r="AP29" s="356">
        <v>71.574275999999998</v>
      </c>
      <c r="AQ29" s="356">
        <v>0</v>
      </c>
      <c r="AR29" s="367">
        <f t="shared" si="11"/>
        <v>1484.149900599999</v>
      </c>
      <c r="AT29" s="354"/>
      <c r="AU29" s="354"/>
      <c r="AV29" s="354">
        <v>66.08</v>
      </c>
      <c r="AW29" s="354">
        <v>902.93000000000018</v>
      </c>
      <c r="AX29" s="354">
        <v>219.31</v>
      </c>
      <c r="AY29" s="354"/>
      <c r="AZ29" s="354"/>
      <c r="BA29" s="354">
        <v>24.2</v>
      </c>
      <c r="BB29" s="354">
        <v>29.052</v>
      </c>
      <c r="BC29" s="354">
        <v>257</v>
      </c>
      <c r="BD29" s="363">
        <f t="shared" si="0"/>
        <v>1498.5720000000001</v>
      </c>
      <c r="BF29" s="354">
        <v>0</v>
      </c>
      <c r="BG29" s="354">
        <v>0</v>
      </c>
      <c r="BH29" s="354">
        <v>72.843404899999996</v>
      </c>
      <c r="BI29" s="354">
        <v>1049.2885578</v>
      </c>
      <c r="BJ29" s="354">
        <v>262.54798499999998</v>
      </c>
      <c r="BK29" s="354">
        <v>0</v>
      </c>
      <c r="BL29" s="355"/>
      <c r="BM29" s="354">
        <v>22.989595499999997</v>
      </c>
      <c r="BN29" s="354">
        <v>12.6910071</v>
      </c>
      <c r="BO29" s="354">
        <v>180.43589399999999</v>
      </c>
      <c r="BP29" s="363">
        <f t="shared" si="1"/>
        <v>1600.7964442999998</v>
      </c>
      <c r="BR29" s="354"/>
      <c r="BS29" s="354"/>
      <c r="BT29" s="354"/>
      <c r="BU29" s="354"/>
      <c r="BV29" s="354"/>
      <c r="BW29" s="354"/>
      <c r="BX29" s="354"/>
      <c r="BY29" s="354"/>
      <c r="BZ29" s="354"/>
      <c r="CA29" s="354"/>
      <c r="CB29" s="363">
        <f t="shared" si="2"/>
        <v>0</v>
      </c>
      <c r="CD29" s="354"/>
      <c r="CE29" s="354"/>
      <c r="CF29" s="354"/>
      <c r="CG29" s="354"/>
      <c r="CH29" s="354"/>
      <c r="CI29" s="354"/>
      <c r="CJ29" s="355"/>
      <c r="CK29" s="354"/>
      <c r="CL29" s="354"/>
      <c r="CM29" s="354"/>
      <c r="CN29" s="363">
        <f t="shared" si="3"/>
        <v>0</v>
      </c>
    </row>
    <row r="30" spans="1:92">
      <c r="A30" s="353">
        <v>40575</v>
      </c>
      <c r="B30" s="397">
        <v>0.1</v>
      </c>
      <c r="C30" s="397">
        <v>0.1</v>
      </c>
      <c r="D30" s="397">
        <v>0.1</v>
      </c>
      <c r="E30" s="397">
        <v>0.1</v>
      </c>
      <c r="F30" s="397">
        <v>0.05</v>
      </c>
      <c r="G30" s="399"/>
      <c r="H30" s="401">
        <v>0</v>
      </c>
      <c r="I30" s="15"/>
      <c r="J30" s="354">
        <v>0</v>
      </c>
      <c r="K30" s="354">
        <v>911.55999999999972</v>
      </c>
      <c r="L30" s="354">
        <v>69.56</v>
      </c>
      <c r="M30" s="354">
        <v>31.239999999999995</v>
      </c>
      <c r="N30" s="354">
        <v>35.25</v>
      </c>
      <c r="O30" s="354">
        <v>138.47500000000002</v>
      </c>
      <c r="P30" s="354">
        <v>4.0999999999999996</v>
      </c>
      <c r="Q30" s="363">
        <f t="shared" si="8"/>
        <v>1190.1849999999995</v>
      </c>
      <c r="S30" s="354">
        <v>0</v>
      </c>
      <c r="T30" s="354">
        <v>1071.9958222</v>
      </c>
      <c r="U30" s="354">
        <v>82.414001699999972</v>
      </c>
      <c r="V30" s="354">
        <v>59.356000000000108</v>
      </c>
      <c r="W30" s="354">
        <v>35.047513700000003</v>
      </c>
      <c r="X30" s="354">
        <v>133.04733009999998</v>
      </c>
      <c r="Y30" s="354">
        <v>4.4586293000000001</v>
      </c>
      <c r="Z30" s="363">
        <f t="shared" si="10"/>
        <v>1386.3192970000002</v>
      </c>
      <c r="AB30" s="356">
        <v>0</v>
      </c>
      <c r="AC30" s="356">
        <v>116.77</v>
      </c>
      <c r="AD30" s="356">
        <v>349.38</v>
      </c>
      <c r="AE30" s="356">
        <v>69.89</v>
      </c>
      <c r="AF30" s="356"/>
      <c r="AG30" s="356">
        <v>198</v>
      </c>
      <c r="AH30" s="356"/>
      <c r="AI30" s="367">
        <f t="shared" si="9"/>
        <v>734.04</v>
      </c>
      <c r="AK30" s="356">
        <v>0</v>
      </c>
      <c r="AL30" s="356">
        <v>134.13611650000001</v>
      </c>
      <c r="AM30" s="356">
        <v>373.0113139</v>
      </c>
      <c r="AN30" s="356">
        <v>77.91381219999991</v>
      </c>
      <c r="AO30" s="356">
        <v>0</v>
      </c>
      <c r="AP30" s="356">
        <v>156.38827499999999</v>
      </c>
      <c r="AQ30" s="356">
        <v>0</v>
      </c>
      <c r="AR30" s="367">
        <f t="shared" si="11"/>
        <v>741.44951759999992</v>
      </c>
      <c r="AT30" s="354"/>
      <c r="AU30" s="354"/>
      <c r="AV30" s="354">
        <v>77.569999999999993</v>
      </c>
      <c r="AW30" s="354">
        <v>1317.4500000000003</v>
      </c>
      <c r="AX30" s="354">
        <v>303.72000000000003</v>
      </c>
      <c r="AY30" s="354"/>
      <c r="AZ30" s="354"/>
      <c r="BA30" s="354">
        <v>6</v>
      </c>
      <c r="BB30" s="354">
        <v>34</v>
      </c>
      <c r="BC30" s="354">
        <v>16.2</v>
      </c>
      <c r="BD30" s="363">
        <f t="shared" si="0"/>
        <v>1754.9400000000003</v>
      </c>
      <c r="BF30" s="354">
        <v>0</v>
      </c>
      <c r="BG30" s="354">
        <v>0</v>
      </c>
      <c r="BH30" s="354">
        <v>116.76911059999999</v>
      </c>
      <c r="BI30" s="354">
        <v>1726.5336458999998</v>
      </c>
      <c r="BJ30" s="354">
        <v>358.02553090000004</v>
      </c>
      <c r="BK30" s="354">
        <v>0</v>
      </c>
      <c r="BL30" s="355"/>
      <c r="BM30" s="354">
        <v>6.6373306000000003</v>
      </c>
      <c r="BN30" s="354">
        <v>32.327908300000004</v>
      </c>
      <c r="BO30" s="354">
        <v>15.7885119</v>
      </c>
      <c r="BP30" s="363">
        <f t="shared" si="1"/>
        <v>2256.0820381999997</v>
      </c>
      <c r="BR30" s="354"/>
      <c r="BS30" s="354"/>
      <c r="BT30" s="354"/>
      <c r="BU30" s="354"/>
      <c r="BV30" s="354"/>
      <c r="BW30" s="354"/>
      <c r="BX30" s="354"/>
      <c r="BY30" s="354"/>
      <c r="BZ30" s="354"/>
      <c r="CA30" s="354"/>
      <c r="CB30" s="363">
        <f t="shared" si="2"/>
        <v>0</v>
      </c>
      <c r="CD30" s="354"/>
      <c r="CE30" s="354"/>
      <c r="CF30" s="354"/>
      <c r="CG30" s="354"/>
      <c r="CH30" s="354"/>
      <c r="CI30" s="354"/>
      <c r="CJ30" s="355"/>
      <c r="CK30" s="354"/>
      <c r="CL30" s="354"/>
      <c r="CM30" s="354"/>
      <c r="CN30" s="363">
        <f t="shared" si="3"/>
        <v>0</v>
      </c>
    </row>
    <row r="31" spans="1:92">
      <c r="A31" s="353">
        <v>40603</v>
      </c>
      <c r="B31" s="397">
        <v>0.1</v>
      </c>
      <c r="C31" s="397">
        <v>0.1</v>
      </c>
      <c r="D31" s="397">
        <v>0.1</v>
      </c>
      <c r="E31" s="397">
        <v>0.1</v>
      </c>
      <c r="F31" s="397">
        <v>0.05</v>
      </c>
      <c r="G31" s="399"/>
      <c r="H31" s="401">
        <v>0</v>
      </c>
      <c r="I31" s="15"/>
      <c r="J31" s="354">
        <v>0</v>
      </c>
      <c r="K31" s="354">
        <v>1369.6699999999996</v>
      </c>
      <c r="L31" s="354">
        <v>9.680000000000291</v>
      </c>
      <c r="M31" s="354">
        <v>31.659999999999997</v>
      </c>
      <c r="N31" s="354">
        <v>14.25</v>
      </c>
      <c r="O31" s="354">
        <v>151.608</v>
      </c>
      <c r="P31" s="354">
        <v>17.3</v>
      </c>
      <c r="Q31" s="363">
        <f t="shared" si="8"/>
        <v>1594.1679999999999</v>
      </c>
      <c r="R31" s="13">
        <f>SUM(Q20:Q31)</f>
        <v>16766.621000000003</v>
      </c>
      <c r="S31" s="354">
        <v>0</v>
      </c>
      <c r="T31" s="354">
        <v>1839.2062742000001</v>
      </c>
      <c r="U31" s="354">
        <v>16.746399999999994</v>
      </c>
      <c r="V31" s="354">
        <v>60.15400000000011</v>
      </c>
      <c r="W31" s="354">
        <v>14.314167599999999</v>
      </c>
      <c r="X31" s="354">
        <v>145.15370710000002</v>
      </c>
      <c r="Y31" s="354">
        <v>19.608370099999995</v>
      </c>
      <c r="Z31" s="363">
        <f t="shared" si="10"/>
        <v>2095.1829189999999</v>
      </c>
      <c r="AA31" s="13">
        <f>SUM(Z20:Z31)</f>
        <v>16046.400547500005</v>
      </c>
      <c r="AB31" s="356">
        <v>0</v>
      </c>
      <c r="AC31" s="356">
        <v>191.47000000000003</v>
      </c>
      <c r="AD31" s="356">
        <v>800.81</v>
      </c>
      <c r="AE31" s="356">
        <v>89.42</v>
      </c>
      <c r="AF31" s="356"/>
      <c r="AG31" s="356">
        <v>107</v>
      </c>
      <c r="AH31" s="356">
        <v>3</v>
      </c>
      <c r="AI31" s="367">
        <f t="shared" si="9"/>
        <v>1191.7</v>
      </c>
      <c r="AJ31" s="13">
        <f>SUM(AI20:AI31)</f>
        <v>14507.150000000001</v>
      </c>
      <c r="AK31" s="356">
        <v>0</v>
      </c>
      <c r="AL31" s="356">
        <v>191.9136982</v>
      </c>
      <c r="AM31" s="356">
        <v>1030.7310545</v>
      </c>
      <c r="AN31" s="356">
        <v>95.909983399999902</v>
      </c>
      <c r="AO31" s="356">
        <v>0</v>
      </c>
      <c r="AP31" s="356">
        <v>85.384537499999993</v>
      </c>
      <c r="AQ31" s="356">
        <v>2.0137499999999999</v>
      </c>
      <c r="AR31" s="367">
        <f t="shared" si="11"/>
        <v>1405.9530236000001</v>
      </c>
      <c r="AS31" s="368">
        <f>SUM(AR20:AR31)</f>
        <v>12703.813555499994</v>
      </c>
      <c r="AT31" s="354"/>
      <c r="AU31" s="354"/>
      <c r="AV31" s="354">
        <v>19.77</v>
      </c>
      <c r="AW31" s="354">
        <v>1013.0899999999999</v>
      </c>
      <c r="AX31" s="354">
        <v>175.53</v>
      </c>
      <c r="AY31" s="354"/>
      <c r="AZ31" s="354"/>
      <c r="BA31" s="354">
        <v>6</v>
      </c>
      <c r="BB31" s="354"/>
      <c r="BC31" s="354"/>
      <c r="BD31" s="363">
        <f t="shared" si="0"/>
        <v>1214.3899999999999</v>
      </c>
      <c r="BF31" s="354">
        <v>0</v>
      </c>
      <c r="BG31" s="354">
        <v>0</v>
      </c>
      <c r="BH31" s="354">
        <v>30.980186100000005</v>
      </c>
      <c r="BI31" s="354">
        <v>1457.1142813999998</v>
      </c>
      <c r="BJ31" s="354">
        <v>205.7892306</v>
      </c>
      <c r="BK31" s="354">
        <v>0</v>
      </c>
      <c r="BL31" s="355"/>
      <c r="BM31" s="354">
        <v>6.6005077000000005</v>
      </c>
      <c r="BN31" s="354">
        <v>0</v>
      </c>
      <c r="BO31" s="354">
        <v>0</v>
      </c>
      <c r="BP31" s="363">
        <f t="shared" si="1"/>
        <v>1700.4842057999999</v>
      </c>
      <c r="BR31" s="354"/>
      <c r="BS31" s="354"/>
      <c r="BT31" s="354"/>
      <c r="BU31" s="354"/>
      <c r="BV31" s="354"/>
      <c r="BW31" s="354"/>
      <c r="BX31" s="354"/>
      <c r="BY31" s="354"/>
      <c r="BZ31" s="354"/>
      <c r="CA31" s="354"/>
      <c r="CB31" s="363">
        <f t="shared" si="2"/>
        <v>0</v>
      </c>
      <c r="CD31" s="354"/>
      <c r="CE31" s="354"/>
      <c r="CF31" s="354"/>
      <c r="CG31" s="354"/>
      <c r="CH31" s="354"/>
      <c r="CI31" s="354"/>
      <c r="CJ31" s="355"/>
      <c r="CK31" s="354"/>
      <c r="CL31" s="354"/>
      <c r="CM31" s="354"/>
      <c r="CN31" s="363">
        <f t="shared" si="3"/>
        <v>0</v>
      </c>
    </row>
    <row r="32" spans="1:92">
      <c r="A32" s="357">
        <v>40634</v>
      </c>
      <c r="B32" s="396">
        <v>0.1</v>
      </c>
      <c r="C32" s="396">
        <v>0.1</v>
      </c>
      <c r="D32" s="396">
        <v>0.1</v>
      </c>
      <c r="E32" s="396">
        <v>0.1</v>
      </c>
      <c r="F32" s="396">
        <v>0.05</v>
      </c>
      <c r="G32" s="399"/>
      <c r="H32" s="400">
        <v>0</v>
      </c>
      <c r="I32" s="15"/>
      <c r="J32" s="358">
        <v>0</v>
      </c>
      <c r="K32" s="358">
        <v>1276.4700000000003</v>
      </c>
      <c r="L32" s="358">
        <v>34.69</v>
      </c>
      <c r="M32" s="358">
        <v>29.28</v>
      </c>
      <c r="N32" s="358">
        <v>17.399999999999999</v>
      </c>
      <c r="O32" s="358">
        <v>109.34999999999997</v>
      </c>
      <c r="P32" s="358">
        <v>3</v>
      </c>
      <c r="Q32" s="363">
        <f t="shared" si="8"/>
        <v>1470.1900000000003</v>
      </c>
      <c r="S32" s="358">
        <v>0</v>
      </c>
      <c r="T32" s="358">
        <v>1799.4680705000001</v>
      </c>
      <c r="U32" s="358">
        <v>60.774902500000053</v>
      </c>
      <c r="V32" s="358">
        <v>50.584413900001095</v>
      </c>
      <c r="W32" s="358">
        <v>17.709732899999999</v>
      </c>
      <c r="X32" s="358">
        <v>104.56672989999998</v>
      </c>
      <c r="Y32" s="358">
        <v>3.4843539000000021</v>
      </c>
      <c r="Z32" s="363">
        <f t="shared" si="10"/>
        <v>2036.5882036000014</v>
      </c>
      <c r="AB32" s="359">
        <v>0</v>
      </c>
      <c r="AC32" s="359">
        <v>478.33</v>
      </c>
      <c r="AD32" s="359">
        <v>480.05</v>
      </c>
      <c r="AE32" s="359">
        <v>139.30000000000001</v>
      </c>
      <c r="AF32" s="359"/>
      <c r="AG32" s="359">
        <v>164.8</v>
      </c>
      <c r="AH32" s="359">
        <v>29.978999999999999</v>
      </c>
      <c r="AI32" s="367">
        <f t="shared" si="9"/>
        <v>1292.4590000000001</v>
      </c>
      <c r="AK32" s="359">
        <v>0</v>
      </c>
      <c r="AL32" s="359">
        <v>666.50178799999901</v>
      </c>
      <c r="AM32" s="359">
        <v>627.99300419999997</v>
      </c>
      <c r="AN32" s="359">
        <v>198.85201459999888</v>
      </c>
      <c r="AO32" s="359">
        <v>0</v>
      </c>
      <c r="AP32" s="359">
        <v>140.0583</v>
      </c>
      <c r="AQ32" s="359">
        <v>34.475850000000001</v>
      </c>
      <c r="AR32" s="367">
        <f t="shared" si="11"/>
        <v>1667.8809567999979</v>
      </c>
      <c r="AT32" s="358">
        <v>13.6</v>
      </c>
      <c r="AU32" s="358"/>
      <c r="AV32" s="358">
        <v>191.59</v>
      </c>
      <c r="AW32" s="358">
        <v>295.26</v>
      </c>
      <c r="AX32" s="358">
        <v>94.76</v>
      </c>
      <c r="AY32" s="358">
        <v>19.37</v>
      </c>
      <c r="AZ32" s="358"/>
      <c r="BA32" s="358">
        <v>12.6</v>
      </c>
      <c r="BB32" s="358">
        <v>43.366</v>
      </c>
      <c r="BC32" s="358">
        <v>1.2</v>
      </c>
      <c r="BD32" s="363">
        <f t="shared" si="0"/>
        <v>671.74600000000009</v>
      </c>
      <c r="BF32" s="358">
        <v>10.2275454</v>
      </c>
      <c r="BG32" s="358">
        <v>0</v>
      </c>
      <c r="BH32" s="358">
        <v>323.59964769999999</v>
      </c>
      <c r="BI32" s="358">
        <v>351.84307810000001</v>
      </c>
      <c r="BJ32" s="358">
        <v>164.8199721</v>
      </c>
      <c r="BK32" s="358">
        <v>29.056985400000002</v>
      </c>
      <c r="BL32" s="358"/>
      <c r="BM32" s="358">
        <v>14.469914100000002</v>
      </c>
      <c r="BN32" s="358">
        <v>29.841675800000001</v>
      </c>
      <c r="BO32" s="358">
        <v>2.0593680000000001</v>
      </c>
      <c r="BP32" s="363">
        <f t="shared" si="1"/>
        <v>925.9181865999999</v>
      </c>
      <c r="BR32" s="358"/>
      <c r="BS32" s="358"/>
      <c r="BT32" s="358"/>
      <c r="BU32" s="358"/>
      <c r="BV32" s="358"/>
      <c r="BW32" s="358"/>
      <c r="BX32" s="358"/>
      <c r="BY32" s="358"/>
      <c r="BZ32" s="358"/>
      <c r="CA32" s="358"/>
      <c r="CB32" s="363">
        <f t="shared" si="2"/>
        <v>0</v>
      </c>
      <c r="CD32" s="358"/>
      <c r="CE32" s="358"/>
      <c r="CF32" s="358"/>
      <c r="CG32" s="358"/>
      <c r="CH32" s="358"/>
      <c r="CI32" s="358"/>
      <c r="CJ32" s="358"/>
      <c r="CK32" s="358"/>
      <c r="CL32" s="358"/>
      <c r="CM32" s="358"/>
      <c r="CN32" s="363">
        <f t="shared" si="3"/>
        <v>0</v>
      </c>
    </row>
    <row r="33" spans="1:92">
      <c r="A33" s="357">
        <v>40664</v>
      </c>
      <c r="B33" s="396">
        <v>0.1</v>
      </c>
      <c r="C33" s="396">
        <v>0.1</v>
      </c>
      <c r="D33" s="396">
        <v>0.1</v>
      </c>
      <c r="E33" s="396">
        <v>0.1</v>
      </c>
      <c r="F33" s="396">
        <v>0.05</v>
      </c>
      <c r="G33" s="399"/>
      <c r="H33" s="400">
        <v>0</v>
      </c>
      <c r="I33" s="15"/>
      <c r="J33" s="358">
        <v>0</v>
      </c>
      <c r="K33" s="358">
        <v>857.2800000000002</v>
      </c>
      <c r="L33" s="358">
        <v>0</v>
      </c>
      <c r="M33" s="358">
        <v>30.439999999999991</v>
      </c>
      <c r="N33" s="358">
        <v>22</v>
      </c>
      <c r="O33" s="358">
        <v>123.5</v>
      </c>
      <c r="P33" s="358">
        <v>2</v>
      </c>
      <c r="Q33" s="363">
        <f t="shared" si="8"/>
        <v>1035.2200000000003</v>
      </c>
      <c r="S33" s="358">
        <v>0</v>
      </c>
      <c r="T33" s="358">
        <v>1378.571898500001</v>
      </c>
      <c r="U33" s="358">
        <v>0</v>
      </c>
      <c r="V33" s="358">
        <v>52.661200000000107</v>
      </c>
      <c r="W33" s="358">
        <v>22.377420000000001</v>
      </c>
      <c r="X33" s="358">
        <v>117.45706789999998</v>
      </c>
      <c r="Y33" s="358">
        <v>2.3421002</v>
      </c>
      <c r="Z33" s="363">
        <f t="shared" si="10"/>
        <v>1573.4096866000011</v>
      </c>
      <c r="AB33" s="359">
        <v>0</v>
      </c>
      <c r="AC33" s="359">
        <v>651.25</v>
      </c>
      <c r="AD33" s="359">
        <v>524.70000000000005</v>
      </c>
      <c r="AE33" s="359">
        <v>54.12</v>
      </c>
      <c r="AF33" s="359"/>
      <c r="AG33" s="359">
        <v>78</v>
      </c>
      <c r="AH33" s="359"/>
      <c r="AI33" s="367">
        <f t="shared" si="9"/>
        <v>1308.07</v>
      </c>
      <c r="AK33" s="359">
        <v>0</v>
      </c>
      <c r="AL33" s="359">
        <v>972.09454479999999</v>
      </c>
      <c r="AM33" s="359">
        <v>515.7172544000008</v>
      </c>
      <c r="AN33" s="359">
        <v>83.856488799999894</v>
      </c>
      <c r="AO33" s="359">
        <v>0</v>
      </c>
      <c r="AP33" s="359">
        <v>65.564117499999995</v>
      </c>
      <c r="AQ33" s="359">
        <v>0</v>
      </c>
      <c r="AR33" s="367">
        <f t="shared" si="11"/>
        <v>1637.2324055000006</v>
      </c>
      <c r="AT33" s="358"/>
      <c r="AU33" s="358"/>
      <c r="AV33" s="358">
        <v>138.47</v>
      </c>
      <c r="AW33" s="358">
        <v>813.70999999999992</v>
      </c>
      <c r="AX33" s="358">
        <v>494.43</v>
      </c>
      <c r="AY33" s="358"/>
      <c r="AZ33" s="358"/>
      <c r="BA33" s="358">
        <v>2.6</v>
      </c>
      <c r="BB33" s="358">
        <v>56.724000000000004</v>
      </c>
      <c r="BC33" s="358">
        <v>14.2</v>
      </c>
      <c r="BD33" s="363">
        <f t="shared" si="0"/>
        <v>1520.1339999999998</v>
      </c>
      <c r="BF33" s="358">
        <v>0</v>
      </c>
      <c r="BG33" s="358">
        <v>0</v>
      </c>
      <c r="BH33" s="358">
        <v>213.7469596</v>
      </c>
      <c r="BI33" s="358">
        <v>1233.6519842999999</v>
      </c>
      <c r="BJ33" s="358">
        <v>856.17723740000008</v>
      </c>
      <c r="BK33" s="358">
        <v>0</v>
      </c>
      <c r="BL33" s="358"/>
      <c r="BM33" s="358">
        <v>2.6408647999999997</v>
      </c>
      <c r="BN33" s="358">
        <v>27.581928399999999</v>
      </c>
      <c r="BO33" s="358">
        <v>16.6397792</v>
      </c>
      <c r="BP33" s="363">
        <f t="shared" si="1"/>
        <v>2350.4387536999998</v>
      </c>
      <c r="BR33" s="358"/>
      <c r="BS33" s="358"/>
      <c r="BT33" s="358"/>
      <c r="BU33" s="358"/>
      <c r="BV33" s="358"/>
      <c r="BW33" s="358"/>
      <c r="BX33" s="358"/>
      <c r="BY33" s="358"/>
      <c r="BZ33" s="358"/>
      <c r="CA33" s="358"/>
      <c r="CB33" s="363">
        <f t="shared" si="2"/>
        <v>0</v>
      </c>
      <c r="CD33" s="358"/>
      <c r="CE33" s="358"/>
      <c r="CF33" s="358"/>
      <c r="CG33" s="358"/>
      <c r="CH33" s="358"/>
      <c r="CI33" s="358"/>
      <c r="CJ33" s="358"/>
      <c r="CK33" s="358"/>
      <c r="CL33" s="358"/>
      <c r="CM33" s="358"/>
      <c r="CN33" s="363">
        <f t="shared" si="3"/>
        <v>0</v>
      </c>
    </row>
    <row r="34" spans="1:92">
      <c r="A34" s="357">
        <v>40695</v>
      </c>
      <c r="B34" s="396">
        <v>0.1</v>
      </c>
      <c r="C34" s="396">
        <v>0.1</v>
      </c>
      <c r="D34" s="396">
        <v>0.1</v>
      </c>
      <c r="E34" s="396">
        <v>0.1</v>
      </c>
      <c r="F34" s="396">
        <v>0.05</v>
      </c>
      <c r="G34" s="399"/>
      <c r="H34" s="400">
        <v>0</v>
      </c>
      <c r="I34" s="15"/>
      <c r="J34" s="358">
        <v>0</v>
      </c>
      <c r="K34" s="358">
        <v>905.2399999999999</v>
      </c>
      <c r="L34" s="358">
        <v>37.100000000000023</v>
      </c>
      <c r="M34" s="358">
        <v>30.010000000000005</v>
      </c>
      <c r="N34" s="358">
        <v>9</v>
      </c>
      <c r="O34" s="358">
        <v>157</v>
      </c>
      <c r="P34" s="358">
        <v>0.5</v>
      </c>
      <c r="Q34" s="363">
        <f t="shared" si="8"/>
        <v>1138.8499999999999</v>
      </c>
      <c r="S34" s="358">
        <v>0</v>
      </c>
      <c r="T34" s="358">
        <v>1471.924842800001</v>
      </c>
      <c r="U34" s="358">
        <v>68.987802500000839</v>
      </c>
      <c r="V34" s="358">
        <v>54.318100000000001</v>
      </c>
      <c r="W34" s="358">
        <v>9.3749567999999996</v>
      </c>
      <c r="X34" s="358">
        <v>152.723477</v>
      </c>
      <c r="Y34" s="358">
        <v>0.61432140000000002</v>
      </c>
      <c r="Z34" s="363">
        <f t="shared" si="10"/>
        <v>1757.9435005000018</v>
      </c>
      <c r="AB34" s="359">
        <v>0</v>
      </c>
      <c r="AC34" s="359">
        <v>157.34</v>
      </c>
      <c r="AD34" s="359">
        <v>390.53</v>
      </c>
      <c r="AE34" s="359">
        <v>88.23</v>
      </c>
      <c r="AF34" s="359"/>
      <c r="AG34" s="359">
        <v>129</v>
      </c>
      <c r="AH34" s="359"/>
      <c r="AI34" s="367">
        <f t="shared" si="9"/>
        <v>765.1</v>
      </c>
      <c r="AK34" s="359">
        <v>0</v>
      </c>
      <c r="AL34" s="359">
        <v>218.881596099999</v>
      </c>
      <c r="AM34" s="359">
        <v>575.61085189999903</v>
      </c>
      <c r="AN34" s="359">
        <v>115.08104160000001</v>
      </c>
      <c r="AO34" s="359">
        <v>0</v>
      </c>
      <c r="AP34" s="359">
        <v>104.7355225</v>
      </c>
      <c r="AQ34" s="359">
        <v>0</v>
      </c>
      <c r="AR34" s="367">
        <f t="shared" si="11"/>
        <v>1014.3090120999981</v>
      </c>
      <c r="AT34" s="358"/>
      <c r="AU34" s="358">
        <v>19.03</v>
      </c>
      <c r="AV34" s="358">
        <v>53.86</v>
      </c>
      <c r="AW34" s="358">
        <v>1874.5600000000004</v>
      </c>
      <c r="AX34" s="358">
        <v>512.99</v>
      </c>
      <c r="AY34" s="358">
        <v>19.329999999999998</v>
      </c>
      <c r="AZ34" s="358"/>
      <c r="BA34" s="358">
        <v>26</v>
      </c>
      <c r="BB34" s="358">
        <v>16</v>
      </c>
      <c r="BC34" s="358">
        <v>12</v>
      </c>
      <c r="BD34" s="363">
        <f t="shared" si="0"/>
        <v>2533.7700000000004</v>
      </c>
      <c r="BF34" s="358">
        <v>0</v>
      </c>
      <c r="BG34" s="358">
        <v>17.1094306</v>
      </c>
      <c r="BH34" s="358">
        <v>88.565726900000016</v>
      </c>
      <c r="BI34" s="358">
        <v>2756.1423108999998</v>
      </c>
      <c r="BJ34" s="358">
        <v>860.38127049999991</v>
      </c>
      <c r="BK34" s="358">
        <v>28.728536000000002</v>
      </c>
      <c r="BL34" s="358"/>
      <c r="BM34" s="358">
        <v>25.8360214</v>
      </c>
      <c r="BN34" s="358">
        <v>16.303258400000001</v>
      </c>
      <c r="BO34" s="358">
        <v>14.122739099999999</v>
      </c>
      <c r="BP34" s="363">
        <f t="shared" si="1"/>
        <v>3807.1892937999996</v>
      </c>
      <c r="BR34" s="358"/>
      <c r="BS34" s="358"/>
      <c r="BT34" s="358"/>
      <c r="BU34" s="358"/>
      <c r="BV34" s="358"/>
      <c r="BW34" s="358"/>
      <c r="BX34" s="358"/>
      <c r="BY34" s="358"/>
      <c r="BZ34" s="358"/>
      <c r="CA34" s="358"/>
      <c r="CB34" s="363">
        <f t="shared" si="2"/>
        <v>0</v>
      </c>
      <c r="CD34" s="358"/>
      <c r="CE34" s="358"/>
      <c r="CF34" s="358"/>
      <c r="CG34" s="358"/>
      <c r="CH34" s="358"/>
      <c r="CI34" s="358"/>
      <c r="CJ34" s="358"/>
      <c r="CK34" s="358"/>
      <c r="CL34" s="358"/>
      <c r="CM34" s="358"/>
      <c r="CN34" s="363">
        <f t="shared" si="3"/>
        <v>0</v>
      </c>
    </row>
    <row r="35" spans="1:92">
      <c r="A35" s="357">
        <v>40725</v>
      </c>
      <c r="B35" s="396">
        <v>0.1</v>
      </c>
      <c r="C35" s="396">
        <v>0.1</v>
      </c>
      <c r="D35" s="396">
        <v>0.1</v>
      </c>
      <c r="E35" s="396">
        <v>0.1</v>
      </c>
      <c r="F35" s="396">
        <v>0.05</v>
      </c>
      <c r="G35" s="399"/>
      <c r="H35" s="400">
        <v>0</v>
      </c>
      <c r="I35" s="15"/>
      <c r="J35" s="358">
        <v>0</v>
      </c>
      <c r="K35" s="358">
        <v>966.33999999999958</v>
      </c>
      <c r="L35" s="358">
        <v>140.81999999999994</v>
      </c>
      <c r="M35" s="358">
        <v>26.97999999999999</v>
      </c>
      <c r="N35" s="358">
        <v>4</v>
      </c>
      <c r="O35" s="358">
        <v>171.43</v>
      </c>
      <c r="P35" s="358">
        <v>1.2</v>
      </c>
      <c r="Q35" s="363">
        <f t="shared" si="8"/>
        <v>1310.7699999999995</v>
      </c>
      <c r="S35" s="358">
        <v>0</v>
      </c>
      <c r="T35" s="358">
        <v>1489.3672301000001</v>
      </c>
      <c r="U35" s="358">
        <v>225.28436260000001</v>
      </c>
      <c r="V35" s="358">
        <v>38.900769800000006</v>
      </c>
      <c r="W35" s="358">
        <v>4.2426569999999995</v>
      </c>
      <c r="X35" s="358">
        <v>171.93042050000003</v>
      </c>
      <c r="Y35" s="358">
        <v>1.4974083999999999</v>
      </c>
      <c r="Z35" s="363">
        <f t="shared" si="10"/>
        <v>1931.2228484000002</v>
      </c>
      <c r="AB35" s="359">
        <v>0</v>
      </c>
      <c r="AC35" s="359"/>
      <c r="AD35" s="359">
        <v>800.91</v>
      </c>
      <c r="AE35" s="359">
        <v>147.96</v>
      </c>
      <c r="AF35" s="359"/>
      <c r="AG35" s="359">
        <v>60.65</v>
      </c>
      <c r="AH35" s="359"/>
      <c r="AI35" s="367">
        <f t="shared" si="9"/>
        <v>1009.52</v>
      </c>
      <c r="AK35" s="359">
        <v>0</v>
      </c>
      <c r="AL35" s="359">
        <v>0</v>
      </c>
      <c r="AM35" s="359">
        <v>977.41972950000002</v>
      </c>
      <c r="AN35" s="359">
        <v>210.87549179999999</v>
      </c>
      <c r="AO35" s="359">
        <v>0</v>
      </c>
      <c r="AP35" s="359">
        <v>51.040824999999998</v>
      </c>
      <c r="AQ35" s="359">
        <v>0</v>
      </c>
      <c r="AR35" s="367">
        <f t="shared" si="11"/>
        <v>1239.3360463000001</v>
      </c>
      <c r="AT35" s="358"/>
      <c r="AU35" s="358"/>
      <c r="AV35" s="358">
        <v>33.479999999999997</v>
      </c>
      <c r="AW35" s="358">
        <v>1810.4199999999996</v>
      </c>
      <c r="AX35" s="358">
        <v>397.54000000000008</v>
      </c>
      <c r="AY35" s="358">
        <v>77.56</v>
      </c>
      <c r="AZ35" s="358"/>
      <c r="BA35" s="358">
        <v>20.6</v>
      </c>
      <c r="BB35" s="358">
        <v>63.2</v>
      </c>
      <c r="BC35" s="358">
        <v>334.40000000000009</v>
      </c>
      <c r="BD35" s="363">
        <f t="shared" si="0"/>
        <v>2737.1999999999994</v>
      </c>
      <c r="BF35" s="358">
        <v>0</v>
      </c>
      <c r="BG35" s="358">
        <v>0</v>
      </c>
      <c r="BH35" s="358">
        <v>52.121374199999998</v>
      </c>
      <c r="BI35" s="358">
        <v>2674.7349322999994</v>
      </c>
      <c r="BJ35" s="358">
        <v>713.40252469999996</v>
      </c>
      <c r="BK35" s="358">
        <v>116.5516226</v>
      </c>
      <c r="BL35" s="358"/>
      <c r="BM35" s="358">
        <v>21.794536099999998</v>
      </c>
      <c r="BN35" s="358">
        <v>50.243965899999999</v>
      </c>
      <c r="BO35" s="358">
        <v>294.36690010000001</v>
      </c>
      <c r="BP35" s="363">
        <f t="shared" si="1"/>
        <v>3923.2158558999995</v>
      </c>
      <c r="BR35" s="358"/>
      <c r="BS35" s="358"/>
      <c r="BT35" s="358"/>
      <c r="BU35" s="358"/>
      <c r="BV35" s="358"/>
      <c r="BW35" s="358"/>
      <c r="BX35" s="358"/>
      <c r="BY35" s="358"/>
      <c r="BZ35" s="358"/>
      <c r="CA35" s="358"/>
      <c r="CB35" s="363">
        <f t="shared" si="2"/>
        <v>0</v>
      </c>
      <c r="CD35" s="358"/>
      <c r="CE35" s="358"/>
      <c r="CF35" s="358"/>
      <c r="CG35" s="358"/>
      <c r="CH35" s="358"/>
      <c r="CI35" s="358"/>
      <c r="CJ35" s="358"/>
      <c r="CK35" s="358"/>
      <c r="CL35" s="358"/>
      <c r="CM35" s="358"/>
      <c r="CN35" s="363">
        <f t="shared" si="3"/>
        <v>0</v>
      </c>
    </row>
    <row r="36" spans="1:92">
      <c r="A36" s="357">
        <v>40756</v>
      </c>
      <c r="B36" s="396">
        <v>0.1</v>
      </c>
      <c r="C36" s="396">
        <v>0.1</v>
      </c>
      <c r="D36" s="396">
        <v>0.1</v>
      </c>
      <c r="E36" s="396">
        <v>0.1</v>
      </c>
      <c r="F36" s="396">
        <v>0.05</v>
      </c>
      <c r="G36" s="399"/>
      <c r="H36" s="400">
        <v>0</v>
      </c>
      <c r="I36" s="15"/>
      <c r="J36" s="358">
        <v>0</v>
      </c>
      <c r="K36" s="358">
        <v>1129.5600000000002</v>
      </c>
      <c r="L36" s="358">
        <v>0</v>
      </c>
      <c r="M36" s="358">
        <v>47.789999999999992</v>
      </c>
      <c r="N36" s="358">
        <v>3</v>
      </c>
      <c r="O36" s="358">
        <v>196.99999999999997</v>
      </c>
      <c r="P36" s="358">
        <v>1</v>
      </c>
      <c r="Q36" s="363">
        <f t="shared" si="8"/>
        <v>1378.3500000000001</v>
      </c>
      <c r="S36" s="358">
        <v>0</v>
      </c>
      <c r="T36" s="358">
        <v>1542.9467073000001</v>
      </c>
      <c r="U36" s="358">
        <v>0</v>
      </c>
      <c r="V36" s="358">
        <v>73.036999999999978</v>
      </c>
      <c r="W36" s="358">
        <v>3.2078709999999999</v>
      </c>
      <c r="X36" s="358">
        <v>197.72818179999999</v>
      </c>
      <c r="Y36" s="358">
        <v>1.2670378</v>
      </c>
      <c r="Z36" s="363">
        <f t="shared" si="10"/>
        <v>1818.1867979000001</v>
      </c>
      <c r="AB36" s="359">
        <v>0</v>
      </c>
      <c r="AC36" s="359">
        <v>56.37</v>
      </c>
      <c r="AD36" s="359">
        <v>694.33</v>
      </c>
      <c r="AE36" s="359">
        <v>238.17</v>
      </c>
      <c r="AF36" s="359">
        <v>4</v>
      </c>
      <c r="AG36" s="359">
        <v>116.52000000000001</v>
      </c>
      <c r="AH36" s="359"/>
      <c r="AI36" s="367">
        <f t="shared" si="9"/>
        <v>1109.3900000000001</v>
      </c>
      <c r="AK36" s="359">
        <v>0</v>
      </c>
      <c r="AL36" s="359">
        <v>56.37</v>
      </c>
      <c r="AM36" s="359">
        <v>694.33</v>
      </c>
      <c r="AN36" s="359">
        <v>238.17</v>
      </c>
      <c r="AO36" s="359">
        <v>4</v>
      </c>
      <c r="AP36" s="359">
        <v>116.52000000000001</v>
      </c>
      <c r="AQ36" s="359"/>
      <c r="AR36" s="367">
        <f t="shared" si="11"/>
        <v>1109.3900000000001</v>
      </c>
      <c r="AT36" s="358">
        <v>6.8</v>
      </c>
      <c r="AU36" s="358"/>
      <c r="AV36" s="358">
        <v>139.72</v>
      </c>
      <c r="AW36" s="358">
        <v>2111.58</v>
      </c>
      <c r="AX36" s="358">
        <v>113.75</v>
      </c>
      <c r="AY36" s="358"/>
      <c r="AZ36" s="358"/>
      <c r="BA36" s="358">
        <v>6.6499999999999995</v>
      </c>
      <c r="BB36" s="358">
        <v>24</v>
      </c>
      <c r="BC36" s="358">
        <v>58.6</v>
      </c>
      <c r="BD36" s="363">
        <f t="shared" si="0"/>
        <v>2461.1</v>
      </c>
      <c r="BF36" s="358">
        <v>6.5083915000000001</v>
      </c>
      <c r="BG36" s="358">
        <v>0</v>
      </c>
      <c r="BH36" s="358">
        <v>190.80337299999999</v>
      </c>
      <c r="BI36" s="358">
        <v>3084.7103841000007</v>
      </c>
      <c r="BJ36" s="358">
        <v>200.54015230000002</v>
      </c>
      <c r="BK36" s="358">
        <v>0</v>
      </c>
      <c r="BL36" s="358"/>
      <c r="BM36" s="358">
        <v>8.6080216000000007</v>
      </c>
      <c r="BN36" s="358">
        <v>23.404204799999999</v>
      </c>
      <c r="BO36" s="358">
        <v>68.426848200000009</v>
      </c>
      <c r="BP36" s="363">
        <f t="shared" si="1"/>
        <v>3583.0013755000014</v>
      </c>
      <c r="BR36" s="358"/>
      <c r="BS36" s="358"/>
      <c r="BT36" s="358"/>
      <c r="BU36" s="358"/>
      <c r="BV36" s="358"/>
      <c r="BW36" s="358"/>
      <c r="BX36" s="358"/>
      <c r="BY36" s="358"/>
      <c r="BZ36" s="358"/>
      <c r="CA36" s="358"/>
      <c r="CB36" s="363">
        <f t="shared" si="2"/>
        <v>0</v>
      </c>
      <c r="CD36" s="358"/>
      <c r="CE36" s="358"/>
      <c r="CF36" s="358"/>
      <c r="CG36" s="358"/>
      <c r="CH36" s="358"/>
      <c r="CI36" s="358"/>
      <c r="CJ36" s="358"/>
      <c r="CK36" s="358"/>
      <c r="CL36" s="358"/>
      <c r="CM36" s="358"/>
      <c r="CN36" s="363">
        <f t="shared" si="3"/>
        <v>0</v>
      </c>
    </row>
    <row r="37" spans="1:92">
      <c r="A37" s="357">
        <v>40787</v>
      </c>
      <c r="B37" s="396">
        <v>0.1</v>
      </c>
      <c r="C37" s="396">
        <v>0.1</v>
      </c>
      <c r="D37" s="396">
        <v>0.1</v>
      </c>
      <c r="E37" s="396">
        <v>0.1</v>
      </c>
      <c r="F37" s="396">
        <v>0.05</v>
      </c>
      <c r="G37" s="399"/>
      <c r="H37" s="400">
        <v>0</v>
      </c>
      <c r="I37" s="15"/>
      <c r="J37" s="358">
        <v>0</v>
      </c>
      <c r="K37" s="358">
        <v>1070.1299999999999</v>
      </c>
      <c r="L37" s="358">
        <v>62.350000000000023</v>
      </c>
      <c r="M37" s="358">
        <v>128.23000000000005</v>
      </c>
      <c r="N37" s="358">
        <v>9</v>
      </c>
      <c r="O37" s="358">
        <v>198.00000000000003</v>
      </c>
      <c r="P37" s="358">
        <v>0</v>
      </c>
      <c r="Q37" s="363">
        <f t="shared" si="8"/>
        <v>1467.71</v>
      </c>
      <c r="S37" s="358">
        <v>0</v>
      </c>
      <c r="T37" s="358">
        <v>1526.4480899999996</v>
      </c>
      <c r="U37" s="358">
        <v>81.892859200001226</v>
      </c>
      <c r="V37" s="358">
        <v>169.11082459999994</v>
      </c>
      <c r="W37" s="358">
        <v>8.8980612000000008</v>
      </c>
      <c r="X37" s="358">
        <v>199.71792239999996</v>
      </c>
      <c r="Y37" s="358">
        <v>0</v>
      </c>
      <c r="Z37" s="363">
        <f t="shared" si="10"/>
        <v>1986.0677574000008</v>
      </c>
      <c r="AB37" s="359">
        <v>0</v>
      </c>
      <c r="AC37" s="359">
        <v>168.79</v>
      </c>
      <c r="AD37" s="359">
        <v>806.76</v>
      </c>
      <c r="AE37" s="359">
        <v>157.47</v>
      </c>
      <c r="AF37" s="359"/>
      <c r="AG37" s="359">
        <v>92.289999999999992</v>
      </c>
      <c r="AH37" s="359"/>
      <c r="AI37" s="367">
        <f t="shared" si="9"/>
        <v>1225.31</v>
      </c>
      <c r="AK37" s="359">
        <v>0</v>
      </c>
      <c r="AL37" s="359">
        <v>183.58479850000001</v>
      </c>
      <c r="AM37" s="359">
        <v>845.22713909999902</v>
      </c>
      <c r="AN37" s="359">
        <v>149.1533202</v>
      </c>
      <c r="AO37" s="359">
        <v>0</v>
      </c>
      <c r="AP37" s="359">
        <v>83.950872500000003</v>
      </c>
      <c r="AQ37" s="359">
        <v>0</v>
      </c>
      <c r="AR37" s="367">
        <f t="shared" si="11"/>
        <v>1261.9161302999992</v>
      </c>
      <c r="AT37" s="358"/>
      <c r="AU37" s="358">
        <v>18.95</v>
      </c>
      <c r="AV37" s="358">
        <v>77.72</v>
      </c>
      <c r="AW37" s="358">
        <v>1850.9000000000003</v>
      </c>
      <c r="AX37" s="358">
        <v>434.85</v>
      </c>
      <c r="AY37" s="358">
        <v>53.68</v>
      </c>
      <c r="AZ37" s="358"/>
      <c r="BA37" s="358">
        <v>118.96</v>
      </c>
      <c r="BB37" s="358">
        <v>16.68</v>
      </c>
      <c r="BC37" s="358">
        <v>31</v>
      </c>
      <c r="BD37" s="363">
        <f t="shared" si="0"/>
        <v>2602.7400000000002</v>
      </c>
      <c r="BF37" s="358">
        <v>0</v>
      </c>
      <c r="BG37" s="358">
        <v>16.838836399999998</v>
      </c>
      <c r="BH37" s="358">
        <v>93.752715300000006</v>
      </c>
      <c r="BI37" s="358">
        <v>2363.4312094999996</v>
      </c>
      <c r="BJ37" s="358">
        <v>780.36616360000005</v>
      </c>
      <c r="BK37" s="358">
        <v>73.079634299999995</v>
      </c>
      <c r="BL37" s="358"/>
      <c r="BM37" s="358">
        <v>161.23564970000001</v>
      </c>
      <c r="BN37" s="358">
        <v>2.3526555999999998</v>
      </c>
      <c r="BO37" s="358">
        <v>33.307199299999994</v>
      </c>
      <c r="BP37" s="363">
        <f t="shared" si="1"/>
        <v>3524.3640636999999</v>
      </c>
      <c r="BR37" s="358"/>
      <c r="BS37" s="358"/>
      <c r="BT37" s="358"/>
      <c r="BU37" s="358"/>
      <c r="BV37" s="358"/>
      <c r="BW37" s="358"/>
      <c r="BX37" s="358"/>
      <c r="BY37" s="358"/>
      <c r="BZ37" s="358"/>
      <c r="CA37" s="358"/>
      <c r="CB37" s="363">
        <f t="shared" si="2"/>
        <v>0</v>
      </c>
      <c r="CD37" s="358"/>
      <c r="CE37" s="358"/>
      <c r="CF37" s="358"/>
      <c r="CG37" s="358"/>
      <c r="CH37" s="358"/>
      <c r="CI37" s="358"/>
      <c r="CJ37" s="358"/>
      <c r="CK37" s="358"/>
      <c r="CL37" s="358"/>
      <c r="CM37" s="358"/>
      <c r="CN37" s="363">
        <f t="shared" si="3"/>
        <v>0</v>
      </c>
    </row>
    <row r="38" spans="1:92">
      <c r="A38" s="357">
        <v>40817</v>
      </c>
      <c r="B38" s="396">
        <v>0.1</v>
      </c>
      <c r="C38" s="396">
        <v>0.1</v>
      </c>
      <c r="D38" s="396">
        <v>0.1</v>
      </c>
      <c r="E38" s="396">
        <v>0.1</v>
      </c>
      <c r="F38" s="396">
        <v>0.05</v>
      </c>
      <c r="G38" s="399"/>
      <c r="H38" s="400">
        <v>0</v>
      </c>
      <c r="I38" s="15"/>
      <c r="J38" s="358">
        <v>0</v>
      </c>
      <c r="K38" s="358">
        <v>1200.73</v>
      </c>
      <c r="L38" s="358">
        <v>86.1700000000003</v>
      </c>
      <c r="M38" s="358">
        <v>140.96000000000004</v>
      </c>
      <c r="N38" s="358">
        <v>11</v>
      </c>
      <c r="O38" s="358">
        <v>195.70000000000002</v>
      </c>
      <c r="P38" s="358">
        <v>0</v>
      </c>
      <c r="Q38" s="363">
        <f t="shared" si="8"/>
        <v>1634.5600000000004</v>
      </c>
      <c r="S38" s="358">
        <v>0</v>
      </c>
      <c r="T38" s="358">
        <v>1537.5267362999998</v>
      </c>
      <c r="U38" s="358">
        <v>104.77973260000101</v>
      </c>
      <c r="V38" s="358">
        <v>174.27366419999996</v>
      </c>
      <c r="W38" s="358">
        <v>11.163371399999999</v>
      </c>
      <c r="X38" s="358">
        <v>199.00697480000005</v>
      </c>
      <c r="Y38" s="358">
        <v>0</v>
      </c>
      <c r="Z38" s="363">
        <f t="shared" si="10"/>
        <v>2026.7504793000007</v>
      </c>
      <c r="AB38" s="359">
        <v>0</v>
      </c>
      <c r="AC38" s="359">
        <v>74.41</v>
      </c>
      <c r="AD38" s="359">
        <v>722.81</v>
      </c>
      <c r="AE38" s="359">
        <v>151.55000000000001</v>
      </c>
      <c r="AF38" s="359"/>
      <c r="AG38" s="359">
        <v>151.715</v>
      </c>
      <c r="AH38" s="359"/>
      <c r="AI38" s="367">
        <f t="shared" si="9"/>
        <v>1100.4849999999999</v>
      </c>
      <c r="AK38" s="359">
        <v>0</v>
      </c>
      <c r="AL38" s="359">
        <v>79.541506399999889</v>
      </c>
      <c r="AM38" s="359">
        <v>772.23037349999902</v>
      </c>
      <c r="AN38" s="359">
        <v>165.6399117</v>
      </c>
      <c r="AO38" s="359">
        <v>0</v>
      </c>
      <c r="AP38" s="359">
        <v>143.51566</v>
      </c>
      <c r="AQ38" s="359">
        <v>0</v>
      </c>
      <c r="AR38" s="367">
        <f t="shared" si="11"/>
        <v>1160.9274515999989</v>
      </c>
      <c r="AT38" s="358"/>
      <c r="AU38" s="358"/>
      <c r="AV38" s="358">
        <v>360.06</v>
      </c>
      <c r="AW38" s="358">
        <v>1625.7800000000002</v>
      </c>
      <c r="AX38" s="358">
        <v>264.58</v>
      </c>
      <c r="AY38" s="358">
        <v>39.709999999999994</v>
      </c>
      <c r="AZ38" s="358"/>
      <c r="BA38" s="358">
        <v>16.8</v>
      </c>
      <c r="BB38" s="358">
        <v>47.614000000000004</v>
      </c>
      <c r="BC38" s="358">
        <v>16.600000000000001</v>
      </c>
      <c r="BD38" s="363">
        <f t="shared" si="0"/>
        <v>2371.1440000000002</v>
      </c>
      <c r="BF38" s="358">
        <v>0</v>
      </c>
      <c r="BG38" s="358">
        <v>0</v>
      </c>
      <c r="BH38" s="358">
        <v>412.86291679999999</v>
      </c>
      <c r="BI38" s="358">
        <v>2103.7154347999999</v>
      </c>
      <c r="BJ38" s="358">
        <v>318.10559230000001</v>
      </c>
      <c r="BK38" s="358">
        <v>42.410125199999996</v>
      </c>
      <c r="BL38" s="358"/>
      <c r="BM38" s="358">
        <v>17.1861535</v>
      </c>
      <c r="BN38" s="358">
        <v>20.104834</v>
      </c>
      <c r="BO38" s="358">
        <v>18.081753299999999</v>
      </c>
      <c r="BP38" s="363">
        <f t="shared" si="1"/>
        <v>2932.4668099</v>
      </c>
      <c r="BR38" s="358"/>
      <c r="BS38" s="358"/>
      <c r="BT38" s="358"/>
      <c r="BU38" s="358"/>
      <c r="BV38" s="358"/>
      <c r="BW38" s="358"/>
      <c r="BX38" s="358"/>
      <c r="BY38" s="358"/>
      <c r="BZ38" s="358"/>
      <c r="CA38" s="358"/>
      <c r="CB38" s="363">
        <f t="shared" si="2"/>
        <v>0</v>
      </c>
      <c r="CD38" s="358"/>
      <c r="CE38" s="358"/>
      <c r="CF38" s="358"/>
      <c r="CG38" s="358"/>
      <c r="CH38" s="358"/>
      <c r="CI38" s="358"/>
      <c r="CJ38" s="358"/>
      <c r="CK38" s="358"/>
      <c r="CL38" s="358"/>
      <c r="CM38" s="358"/>
      <c r="CN38" s="363">
        <f t="shared" si="3"/>
        <v>0</v>
      </c>
    </row>
    <row r="39" spans="1:92">
      <c r="A39" s="357">
        <v>40848</v>
      </c>
      <c r="B39" s="396">
        <v>0.1</v>
      </c>
      <c r="C39" s="396">
        <v>0.1</v>
      </c>
      <c r="D39" s="396">
        <v>0.1</v>
      </c>
      <c r="E39" s="396">
        <v>0.1</v>
      </c>
      <c r="F39" s="396">
        <v>0.05</v>
      </c>
      <c r="G39" s="399"/>
      <c r="H39" s="400">
        <v>0</v>
      </c>
      <c r="I39" s="15"/>
      <c r="J39" s="358">
        <v>0</v>
      </c>
      <c r="K39" s="358">
        <v>1499.6599999999992</v>
      </c>
      <c r="L39" s="358">
        <v>9.5999999999999091</v>
      </c>
      <c r="M39" s="358">
        <v>79.859999999999985</v>
      </c>
      <c r="N39" s="358">
        <v>2</v>
      </c>
      <c r="O39" s="358">
        <v>163.71</v>
      </c>
      <c r="P39" s="358">
        <v>0</v>
      </c>
      <c r="Q39" s="363">
        <f t="shared" si="8"/>
        <v>1754.829999999999</v>
      </c>
      <c r="S39" s="358">
        <v>0</v>
      </c>
      <c r="T39" s="358">
        <v>1708.4921563999997</v>
      </c>
      <c r="U39" s="358">
        <v>10.315872000001036</v>
      </c>
      <c r="V39" s="358">
        <v>105.79711389999997</v>
      </c>
      <c r="W39" s="358">
        <v>2.18852</v>
      </c>
      <c r="X39" s="358">
        <v>173.26354399999997</v>
      </c>
      <c r="Y39" s="358">
        <v>0</v>
      </c>
      <c r="Z39" s="363">
        <f t="shared" si="10"/>
        <v>2000.0572063000004</v>
      </c>
      <c r="AB39" s="359">
        <v>0</v>
      </c>
      <c r="AC39" s="359"/>
      <c r="AD39" s="359">
        <v>519.09</v>
      </c>
      <c r="AE39" s="359">
        <v>67.81</v>
      </c>
      <c r="AF39" s="359"/>
      <c r="AG39" s="359">
        <v>15</v>
      </c>
      <c r="AH39" s="359"/>
      <c r="AI39" s="367">
        <f t="shared" si="9"/>
        <v>601.90000000000009</v>
      </c>
      <c r="AK39" s="359">
        <v>0</v>
      </c>
      <c r="AL39" s="359">
        <v>0</v>
      </c>
      <c r="AM39" s="359">
        <v>532.61014659999898</v>
      </c>
      <c r="AN39" s="359">
        <v>67.36287440000001</v>
      </c>
      <c r="AO39" s="359">
        <v>0</v>
      </c>
      <c r="AP39" s="359">
        <v>15.209065000000001</v>
      </c>
      <c r="AQ39" s="359">
        <v>0</v>
      </c>
      <c r="AR39" s="367">
        <f t="shared" si="11"/>
        <v>615.182085999999</v>
      </c>
      <c r="AT39" s="358">
        <v>27.2</v>
      </c>
      <c r="AU39" s="358"/>
      <c r="AV39" s="358">
        <v>232.84</v>
      </c>
      <c r="AW39" s="358">
        <v>2680.68</v>
      </c>
      <c r="AX39" s="358">
        <v>450.03999999999996</v>
      </c>
      <c r="AY39" s="358">
        <v>59.89</v>
      </c>
      <c r="AZ39" s="358"/>
      <c r="BA39" s="358">
        <v>21.004999999999999</v>
      </c>
      <c r="BB39" s="358">
        <v>106.06399999999999</v>
      </c>
      <c r="BC39" s="358">
        <v>15.755000000000001</v>
      </c>
      <c r="BD39" s="363">
        <f t="shared" si="0"/>
        <v>3593.4739999999997</v>
      </c>
      <c r="BF39" s="358">
        <v>21.461126400000001</v>
      </c>
      <c r="BG39" s="358">
        <v>0</v>
      </c>
      <c r="BH39" s="358">
        <v>258.58478209999998</v>
      </c>
      <c r="BI39" s="358">
        <v>3085.6594833999998</v>
      </c>
      <c r="BJ39" s="358">
        <v>544.27231889999996</v>
      </c>
      <c r="BK39" s="358">
        <v>58.278786799999999</v>
      </c>
      <c r="BL39" s="358"/>
      <c r="BM39" s="358">
        <v>23.730611999999997</v>
      </c>
      <c r="BN39" s="358">
        <v>75.163630300000008</v>
      </c>
      <c r="BO39" s="358">
        <v>19.381344500000001</v>
      </c>
      <c r="BP39" s="363">
        <f t="shared" si="1"/>
        <v>4086.5320843999998</v>
      </c>
      <c r="BR39" s="358"/>
      <c r="BS39" s="358"/>
      <c r="BT39" s="358"/>
      <c r="BU39" s="358"/>
      <c r="BV39" s="358"/>
      <c r="BW39" s="358"/>
      <c r="BX39" s="358"/>
      <c r="BY39" s="358"/>
      <c r="BZ39" s="358"/>
      <c r="CA39" s="358"/>
      <c r="CB39" s="363">
        <f t="shared" si="2"/>
        <v>0</v>
      </c>
      <c r="CD39" s="358"/>
      <c r="CE39" s="358"/>
      <c r="CF39" s="358"/>
      <c r="CG39" s="358"/>
      <c r="CH39" s="358"/>
      <c r="CI39" s="358"/>
      <c r="CJ39" s="358"/>
      <c r="CK39" s="358"/>
      <c r="CL39" s="358"/>
      <c r="CM39" s="358"/>
      <c r="CN39" s="363">
        <f t="shared" si="3"/>
        <v>0</v>
      </c>
    </row>
    <row r="40" spans="1:92">
      <c r="A40" s="357">
        <v>40878</v>
      </c>
      <c r="B40" s="396">
        <v>0.1</v>
      </c>
      <c r="C40" s="396">
        <v>0.1</v>
      </c>
      <c r="D40" s="396">
        <v>0.1</v>
      </c>
      <c r="E40" s="396">
        <v>0.1</v>
      </c>
      <c r="F40" s="396">
        <v>0.05</v>
      </c>
      <c r="G40" s="399"/>
      <c r="H40" s="400">
        <v>0</v>
      </c>
      <c r="I40" s="15"/>
      <c r="J40" s="358">
        <v>0</v>
      </c>
      <c r="K40" s="358">
        <v>623.15</v>
      </c>
      <c r="L40" s="358">
        <v>0</v>
      </c>
      <c r="M40" s="358">
        <v>10.07</v>
      </c>
      <c r="N40" s="358">
        <v>20</v>
      </c>
      <c r="O40" s="358">
        <v>100.5</v>
      </c>
      <c r="P40" s="358">
        <v>0</v>
      </c>
      <c r="Q40" s="363">
        <f t="shared" si="8"/>
        <v>753.72</v>
      </c>
      <c r="S40" s="358">
        <v>0</v>
      </c>
      <c r="T40" s="358">
        <v>707.67681549999986</v>
      </c>
      <c r="U40" s="358">
        <v>9.6633812063373625E-13</v>
      </c>
      <c r="V40" s="358">
        <v>13.393100000000103</v>
      </c>
      <c r="W40" s="358">
        <v>22.179055299999998</v>
      </c>
      <c r="X40" s="358">
        <v>108.4754418</v>
      </c>
      <c r="Y40" s="358">
        <v>0</v>
      </c>
      <c r="Z40" s="363">
        <f t="shared" si="10"/>
        <v>851.72441260000096</v>
      </c>
      <c r="AB40" s="359">
        <v>0</v>
      </c>
      <c r="AC40" s="359">
        <v>55.410000000000004</v>
      </c>
      <c r="AD40" s="359">
        <v>369.4</v>
      </c>
      <c r="AE40" s="359">
        <v>32.51</v>
      </c>
      <c r="AF40" s="359"/>
      <c r="AG40" s="359">
        <v>9</v>
      </c>
      <c r="AH40" s="359"/>
      <c r="AI40" s="367">
        <f t="shared" si="9"/>
        <v>466.32</v>
      </c>
      <c r="AK40" s="359">
        <v>0</v>
      </c>
      <c r="AL40" s="359">
        <v>57.389090999999993</v>
      </c>
      <c r="AM40" s="359">
        <v>434.461744799999</v>
      </c>
      <c r="AN40" s="359">
        <v>36.261356499999899</v>
      </c>
      <c r="AO40" s="359">
        <v>0</v>
      </c>
      <c r="AP40" s="359">
        <v>8.8990650000000002</v>
      </c>
      <c r="AQ40" s="359">
        <v>0</v>
      </c>
      <c r="AR40" s="367">
        <f t="shared" si="11"/>
        <v>537.01125729999887</v>
      </c>
      <c r="AT40" s="358">
        <v>81.599999999999994</v>
      </c>
      <c r="AU40" s="358">
        <v>19.21</v>
      </c>
      <c r="AV40" s="358">
        <v>294.07</v>
      </c>
      <c r="AW40" s="358">
        <v>2758.6699999999996</v>
      </c>
      <c r="AX40" s="358">
        <v>364.18999999999994</v>
      </c>
      <c r="AY40" s="358"/>
      <c r="AZ40" s="358"/>
      <c r="BA40" s="358">
        <v>22.2</v>
      </c>
      <c r="BB40" s="358">
        <v>46.954000000000001</v>
      </c>
      <c r="BC40" s="358">
        <v>106</v>
      </c>
      <c r="BD40" s="363">
        <f t="shared" si="0"/>
        <v>3692.8939999999998</v>
      </c>
      <c r="BF40" s="358">
        <v>73.754490500000003</v>
      </c>
      <c r="BG40" s="358">
        <v>19.227287099999998</v>
      </c>
      <c r="BH40" s="358">
        <v>306.43237850000003</v>
      </c>
      <c r="BI40" s="358">
        <v>3133.6591854999988</v>
      </c>
      <c r="BJ40" s="358">
        <v>464.35099049999997</v>
      </c>
      <c r="BK40" s="358">
        <v>0</v>
      </c>
      <c r="BL40" s="358"/>
      <c r="BM40" s="358">
        <v>25.554873999999998</v>
      </c>
      <c r="BN40" s="358">
        <v>32.599985999999994</v>
      </c>
      <c r="BO40" s="358">
        <v>128.3131927</v>
      </c>
      <c r="BP40" s="363">
        <f t="shared" si="1"/>
        <v>4183.8923847999995</v>
      </c>
      <c r="BR40" s="358"/>
      <c r="BS40" s="358"/>
      <c r="BT40" s="358"/>
      <c r="BU40" s="358"/>
      <c r="BV40" s="358"/>
      <c r="BW40" s="358"/>
      <c r="BX40" s="358"/>
      <c r="BY40" s="358"/>
      <c r="BZ40" s="358"/>
      <c r="CA40" s="358"/>
      <c r="CB40" s="363">
        <f t="shared" si="2"/>
        <v>0</v>
      </c>
      <c r="CD40" s="358"/>
      <c r="CE40" s="358"/>
      <c r="CF40" s="358"/>
      <c r="CG40" s="358"/>
      <c r="CH40" s="358"/>
      <c r="CI40" s="358"/>
      <c r="CJ40" s="358"/>
      <c r="CK40" s="358"/>
      <c r="CL40" s="358"/>
      <c r="CM40" s="358"/>
      <c r="CN40" s="363">
        <f t="shared" si="3"/>
        <v>0</v>
      </c>
    </row>
    <row r="41" spans="1:92">
      <c r="A41" s="357">
        <v>40909</v>
      </c>
      <c r="B41" s="396">
        <v>7.4999999999999997E-2</v>
      </c>
      <c r="C41" s="396">
        <v>7.4999999999999997E-2</v>
      </c>
      <c r="D41" s="396">
        <v>7.4999999999999997E-2</v>
      </c>
      <c r="E41" s="396">
        <v>7.4999999999999997E-2</v>
      </c>
      <c r="F41" s="396">
        <v>2.5000000000000001E-2</v>
      </c>
      <c r="G41" s="399"/>
      <c r="H41" s="400">
        <v>0</v>
      </c>
      <c r="I41" s="15"/>
      <c r="J41" s="358">
        <v>0</v>
      </c>
      <c r="K41" s="358">
        <v>431.72000000000048</v>
      </c>
      <c r="L41" s="358">
        <v>15.369999999999663</v>
      </c>
      <c r="M41" s="358">
        <v>54.14</v>
      </c>
      <c r="N41" s="358">
        <v>1</v>
      </c>
      <c r="O41" s="358">
        <v>168.6</v>
      </c>
      <c r="P41" s="358">
        <v>0.9</v>
      </c>
      <c r="Q41" s="363">
        <f t="shared" si="8"/>
        <v>671.73000000000013</v>
      </c>
      <c r="S41" s="358">
        <v>0</v>
      </c>
      <c r="T41" s="358">
        <v>493.7855789000007</v>
      </c>
      <c r="U41" s="358">
        <v>15.029785100001163</v>
      </c>
      <c r="V41" s="358">
        <v>65.980008400000003</v>
      </c>
      <c r="W41" s="358">
        <v>1.1599999999999999</v>
      </c>
      <c r="X41" s="358">
        <v>178.6231535</v>
      </c>
      <c r="Y41" s="358">
        <v>1.0418506000000001</v>
      </c>
      <c r="Z41" s="363">
        <f t="shared" si="10"/>
        <v>755.62037650000173</v>
      </c>
      <c r="AB41" s="359">
        <v>0</v>
      </c>
      <c r="AC41" s="359">
        <v>775.94</v>
      </c>
      <c r="AD41" s="359">
        <v>795.12</v>
      </c>
      <c r="AE41" s="359"/>
      <c r="AF41" s="359"/>
      <c r="AG41" s="359">
        <v>57</v>
      </c>
      <c r="AH41" s="359"/>
      <c r="AI41" s="367">
        <f t="shared" si="9"/>
        <v>1628.06</v>
      </c>
      <c r="AK41" s="359">
        <v>0</v>
      </c>
      <c r="AL41" s="359">
        <v>798.64212569999904</v>
      </c>
      <c r="AM41" s="359">
        <v>641.44085899999902</v>
      </c>
      <c r="AN41" s="359">
        <v>0</v>
      </c>
      <c r="AO41" s="359">
        <v>0</v>
      </c>
      <c r="AP41" s="359">
        <v>56.391255000000001</v>
      </c>
      <c r="AQ41" s="359">
        <v>0</v>
      </c>
      <c r="AR41" s="367">
        <f t="shared" si="11"/>
        <v>1496.4742396999982</v>
      </c>
      <c r="AT41" s="358">
        <v>13.6</v>
      </c>
      <c r="AU41" s="358"/>
      <c r="AV41" s="358">
        <v>489.40000000000003</v>
      </c>
      <c r="AW41" s="358">
        <v>3018.7899999999995</v>
      </c>
      <c r="AX41" s="358"/>
      <c r="AY41" s="358">
        <v>139.01999999999998</v>
      </c>
      <c r="AZ41" s="358"/>
      <c r="BA41" s="358">
        <v>12</v>
      </c>
      <c r="BB41" s="358">
        <v>67</v>
      </c>
      <c r="BC41" s="358"/>
      <c r="BD41" s="363">
        <f t="shared" si="0"/>
        <v>3739.8099999999995</v>
      </c>
      <c r="BF41" s="358">
        <v>14.450272</v>
      </c>
      <c r="BG41" s="358">
        <v>0</v>
      </c>
      <c r="BH41" s="358">
        <v>534.81987279999998</v>
      </c>
      <c r="BI41" s="358">
        <v>3282.0572176000001</v>
      </c>
      <c r="BJ41" s="358">
        <v>0</v>
      </c>
      <c r="BK41" s="358">
        <v>152.98988489999999</v>
      </c>
      <c r="BL41" s="358"/>
      <c r="BM41" s="358">
        <v>16.514242999999997</v>
      </c>
      <c r="BN41" s="358">
        <v>71.671994399999988</v>
      </c>
      <c r="BO41" s="358">
        <v>0</v>
      </c>
      <c r="BP41" s="363">
        <f t="shared" si="1"/>
        <v>4072.5034847000006</v>
      </c>
      <c r="BR41" s="358"/>
      <c r="BS41" s="358"/>
      <c r="BT41" s="358"/>
      <c r="BU41" s="358"/>
      <c r="BV41" s="358"/>
      <c r="BW41" s="358"/>
      <c r="BX41" s="358"/>
      <c r="BY41" s="358"/>
      <c r="BZ41" s="358"/>
      <c r="CA41" s="358"/>
      <c r="CB41" s="363">
        <f t="shared" si="2"/>
        <v>0</v>
      </c>
      <c r="CD41" s="358"/>
      <c r="CE41" s="358"/>
      <c r="CF41" s="358"/>
      <c r="CG41" s="358"/>
      <c r="CH41" s="358"/>
      <c r="CI41" s="358"/>
      <c r="CJ41" s="358"/>
      <c r="CK41" s="358"/>
      <c r="CL41" s="358"/>
      <c r="CM41" s="358"/>
      <c r="CN41" s="363">
        <f t="shared" si="3"/>
        <v>0</v>
      </c>
    </row>
    <row r="42" spans="1:92">
      <c r="A42" s="357">
        <v>40940</v>
      </c>
      <c r="B42" s="396">
        <v>7.4999999999999997E-2</v>
      </c>
      <c r="C42" s="396">
        <v>7.4999999999999997E-2</v>
      </c>
      <c r="D42" s="396">
        <v>7.4999999999999997E-2</v>
      </c>
      <c r="E42" s="396">
        <v>7.4999999999999997E-2</v>
      </c>
      <c r="F42" s="396">
        <v>2.5000000000000001E-2</v>
      </c>
      <c r="G42" s="399"/>
      <c r="H42" s="400">
        <v>0</v>
      </c>
      <c r="I42" s="15"/>
      <c r="J42" s="358">
        <v>0</v>
      </c>
      <c r="K42" s="358">
        <v>382.11</v>
      </c>
      <c r="L42" s="358">
        <v>219.51000000000045</v>
      </c>
      <c r="M42" s="358">
        <v>218.29</v>
      </c>
      <c r="N42" s="358">
        <v>6</v>
      </c>
      <c r="O42" s="358">
        <v>120</v>
      </c>
      <c r="P42" s="358">
        <v>0</v>
      </c>
      <c r="Q42" s="363">
        <f t="shared" si="8"/>
        <v>945.91000000000042</v>
      </c>
      <c r="S42" s="358">
        <v>0</v>
      </c>
      <c r="T42" s="358">
        <v>477.13966470000037</v>
      </c>
      <c r="U42" s="358">
        <v>255.30842340000004</v>
      </c>
      <c r="V42" s="358">
        <v>269.87286230000097</v>
      </c>
      <c r="W42" s="358">
        <v>6.6231521999999998</v>
      </c>
      <c r="X42" s="358">
        <v>122.98599999999999</v>
      </c>
      <c r="Y42" s="358">
        <v>0</v>
      </c>
      <c r="Z42" s="363">
        <f t="shared" si="10"/>
        <v>1131.9301026000014</v>
      </c>
      <c r="AB42" s="359">
        <v>0</v>
      </c>
      <c r="AC42" s="359">
        <v>625.14</v>
      </c>
      <c r="AD42" s="359">
        <v>1064.51</v>
      </c>
      <c r="AE42" s="359">
        <v>249.23</v>
      </c>
      <c r="AF42" s="359"/>
      <c r="AG42" s="359">
        <v>32</v>
      </c>
      <c r="AH42" s="359"/>
      <c r="AI42" s="367">
        <f t="shared" si="9"/>
        <v>1970.88</v>
      </c>
      <c r="AK42" s="359">
        <v>0</v>
      </c>
      <c r="AL42" s="359">
        <v>669.87284030000001</v>
      </c>
      <c r="AM42" s="359">
        <v>1079.8615515000001</v>
      </c>
      <c r="AN42" s="359">
        <v>248.42761359999898</v>
      </c>
      <c r="AO42" s="359">
        <v>0</v>
      </c>
      <c r="AP42" s="359">
        <v>32.378129999999999</v>
      </c>
      <c r="AQ42" s="359">
        <v>0</v>
      </c>
      <c r="AR42" s="367">
        <f t="shared" si="11"/>
        <v>2030.5401353999991</v>
      </c>
      <c r="AT42" s="358"/>
      <c r="AU42" s="358"/>
      <c r="AV42" s="358">
        <v>104.45</v>
      </c>
      <c r="AW42" s="358">
        <v>3346.7000000000003</v>
      </c>
      <c r="AX42" s="358">
        <v>149.68</v>
      </c>
      <c r="AY42" s="358">
        <v>19.36</v>
      </c>
      <c r="AZ42" s="358"/>
      <c r="BA42" s="358">
        <v>25.2</v>
      </c>
      <c r="BB42" s="358">
        <v>36.744</v>
      </c>
      <c r="BC42" s="358">
        <v>17</v>
      </c>
      <c r="BD42" s="363">
        <f t="shared" si="0"/>
        <v>3699.134</v>
      </c>
      <c r="BF42" s="358">
        <v>0</v>
      </c>
      <c r="BG42" s="358">
        <v>0</v>
      </c>
      <c r="BH42" s="358">
        <v>110.79053080000001</v>
      </c>
      <c r="BI42" s="358">
        <v>3475.9514044000007</v>
      </c>
      <c r="BJ42" s="358">
        <v>164.3034815</v>
      </c>
      <c r="BK42" s="358">
        <v>20.613405100000001</v>
      </c>
      <c r="BL42" s="358"/>
      <c r="BM42" s="358">
        <v>28.179515499999997</v>
      </c>
      <c r="BN42" s="358">
        <v>24.959285899999998</v>
      </c>
      <c r="BO42" s="358">
        <v>20.025768899999999</v>
      </c>
      <c r="BP42" s="363">
        <f t="shared" si="1"/>
        <v>3844.8233921000005</v>
      </c>
      <c r="BR42" s="358"/>
      <c r="BS42" s="358"/>
      <c r="BT42" s="358"/>
      <c r="BU42" s="358"/>
      <c r="BV42" s="358"/>
      <c r="BW42" s="358"/>
      <c r="BX42" s="358"/>
      <c r="BY42" s="358"/>
      <c r="BZ42" s="358"/>
      <c r="CA42" s="358"/>
      <c r="CB42" s="363">
        <f t="shared" si="2"/>
        <v>0</v>
      </c>
      <c r="CD42" s="358"/>
      <c r="CE42" s="358"/>
      <c r="CF42" s="358"/>
      <c r="CG42" s="358"/>
      <c r="CH42" s="358"/>
      <c r="CI42" s="358"/>
      <c r="CJ42" s="358"/>
      <c r="CK42" s="358"/>
      <c r="CL42" s="358"/>
      <c r="CM42" s="358"/>
      <c r="CN42" s="363">
        <f t="shared" si="3"/>
        <v>0</v>
      </c>
    </row>
    <row r="43" spans="1:92">
      <c r="A43" s="357">
        <v>40969</v>
      </c>
      <c r="B43" s="396">
        <v>7.4999999999999997E-2</v>
      </c>
      <c r="C43" s="396">
        <v>7.4999999999999997E-2</v>
      </c>
      <c r="D43" s="396">
        <v>7.4999999999999997E-2</v>
      </c>
      <c r="E43" s="396">
        <v>7.4999999999999997E-2</v>
      </c>
      <c r="F43" s="396">
        <v>2.5000000000000001E-2</v>
      </c>
      <c r="G43" s="399"/>
      <c r="H43" s="400">
        <v>0</v>
      </c>
      <c r="I43" s="15"/>
      <c r="J43" s="358">
        <v>0</v>
      </c>
      <c r="K43" s="358">
        <v>523.70000000000005</v>
      </c>
      <c r="L43" s="358">
        <v>195.58999999999992</v>
      </c>
      <c r="M43" s="358">
        <v>110.94999999999999</v>
      </c>
      <c r="N43" s="358">
        <v>3</v>
      </c>
      <c r="O43" s="358">
        <v>66</v>
      </c>
      <c r="P43" s="358">
        <v>2.8</v>
      </c>
      <c r="Q43" s="363">
        <f t="shared" si="8"/>
        <v>902.04</v>
      </c>
      <c r="R43" s="13">
        <f>SUM(Q32:Q43)</f>
        <v>14463.879999999997</v>
      </c>
      <c r="S43" s="358">
        <v>0</v>
      </c>
      <c r="T43" s="358">
        <v>659.61069730000008</v>
      </c>
      <c r="U43" s="358">
        <v>255.86647939999966</v>
      </c>
      <c r="V43" s="358">
        <v>143.1381806</v>
      </c>
      <c r="W43" s="358">
        <v>3.8227877000000001</v>
      </c>
      <c r="X43" s="358">
        <v>67.785958300000004</v>
      </c>
      <c r="Y43" s="358">
        <v>3.2234544000000001</v>
      </c>
      <c r="Z43" s="363">
        <f t="shared" si="10"/>
        <v>1133.4475576999996</v>
      </c>
      <c r="AA43" s="13">
        <f>SUM(Z32:Z43)</f>
        <v>19002.948929400012</v>
      </c>
      <c r="AB43" s="359">
        <v>0</v>
      </c>
      <c r="AC43" s="359">
        <v>352.66999999999996</v>
      </c>
      <c r="AD43" s="359">
        <v>919.7</v>
      </c>
      <c r="AE43" s="359">
        <v>381.18</v>
      </c>
      <c r="AF43" s="359"/>
      <c r="AG43" s="359">
        <v>45</v>
      </c>
      <c r="AH43" s="359"/>
      <c r="AI43" s="367">
        <f t="shared" si="9"/>
        <v>1698.55</v>
      </c>
      <c r="AJ43" s="13">
        <f>SUM(AI32:AI43)</f>
        <v>14176.043999999998</v>
      </c>
      <c r="AK43" s="359">
        <v>0</v>
      </c>
      <c r="AL43" s="359">
        <v>387.56926019999997</v>
      </c>
      <c r="AM43" s="359">
        <v>1064.1632844000001</v>
      </c>
      <c r="AN43" s="359">
        <v>435.83555310000003</v>
      </c>
      <c r="AO43" s="359">
        <v>0</v>
      </c>
      <c r="AP43" s="359">
        <v>41.006250000000001</v>
      </c>
      <c r="AQ43" s="359">
        <v>0</v>
      </c>
      <c r="AR43" s="367">
        <f t="shared" si="11"/>
        <v>1928.5743476999999</v>
      </c>
      <c r="AS43" s="368">
        <f>SUM(AR32:AR43)</f>
        <v>15698.77406869999</v>
      </c>
      <c r="AT43" s="358">
        <v>33.35</v>
      </c>
      <c r="AU43" s="358"/>
      <c r="AV43" s="358">
        <v>695.67</v>
      </c>
      <c r="AW43" s="358">
        <v>3149.7000000000003</v>
      </c>
      <c r="AX43" s="358">
        <v>227.8</v>
      </c>
      <c r="AY43" s="358">
        <v>19.559999999999999</v>
      </c>
      <c r="AZ43" s="358"/>
      <c r="BA43" s="358">
        <v>26.2</v>
      </c>
      <c r="BB43" s="358">
        <v>147.50299999999999</v>
      </c>
      <c r="BC43" s="358">
        <v>4</v>
      </c>
      <c r="BD43" s="363">
        <f t="shared" si="0"/>
        <v>4303.7830000000004</v>
      </c>
      <c r="BF43" s="358">
        <v>33.9520105</v>
      </c>
      <c r="BG43" s="358">
        <v>0</v>
      </c>
      <c r="BH43" s="358">
        <v>746.48839240000029</v>
      </c>
      <c r="BI43" s="358">
        <v>3314.5696609999995</v>
      </c>
      <c r="BJ43" s="358">
        <v>247.70686079999999</v>
      </c>
      <c r="BK43" s="358">
        <v>22.055942099999999</v>
      </c>
      <c r="BL43" s="358"/>
      <c r="BM43" s="358">
        <v>26.815481000000002</v>
      </c>
      <c r="BN43" s="358">
        <v>114.67608350000002</v>
      </c>
      <c r="BO43" s="358">
        <v>4.6355136999999997</v>
      </c>
      <c r="BP43" s="363">
        <f t="shared" si="1"/>
        <v>4510.8999450000001</v>
      </c>
      <c r="BR43" s="358"/>
      <c r="BS43" s="358"/>
      <c r="BT43" s="358"/>
      <c r="BU43" s="358"/>
      <c r="BV43" s="358"/>
      <c r="BW43" s="358"/>
      <c r="BX43" s="358"/>
      <c r="BY43" s="358"/>
      <c r="BZ43" s="358"/>
      <c r="CA43" s="358"/>
      <c r="CB43" s="363">
        <f t="shared" si="2"/>
        <v>0</v>
      </c>
      <c r="CD43" s="358"/>
      <c r="CE43" s="358"/>
      <c r="CF43" s="358"/>
      <c r="CG43" s="358"/>
      <c r="CH43" s="358"/>
      <c r="CI43" s="358"/>
      <c r="CJ43" s="358"/>
      <c r="CK43" s="358"/>
      <c r="CL43" s="358"/>
      <c r="CM43" s="358"/>
      <c r="CN43" s="363">
        <f t="shared" si="3"/>
        <v>0</v>
      </c>
    </row>
    <row r="44" spans="1:92">
      <c r="A44" s="353">
        <v>41000</v>
      </c>
      <c r="B44" s="397">
        <v>7.4999999999999997E-2</v>
      </c>
      <c r="C44" s="397">
        <v>7.4999999999999997E-2</v>
      </c>
      <c r="D44" s="397">
        <v>7.4999999999999997E-2</v>
      </c>
      <c r="E44" s="397">
        <v>7.4999999999999997E-2</v>
      </c>
      <c r="F44" s="397">
        <v>2.5000000000000001E-2</v>
      </c>
      <c r="G44" s="399"/>
      <c r="H44" s="401">
        <v>0</v>
      </c>
      <c r="I44" s="15"/>
      <c r="J44" s="354">
        <v>0</v>
      </c>
      <c r="K44" s="354">
        <v>630.90000000000009</v>
      </c>
      <c r="L44" s="354">
        <v>168.80999999999818</v>
      </c>
      <c r="M44" s="354">
        <v>44.59</v>
      </c>
      <c r="N44" s="354">
        <v>0.75</v>
      </c>
      <c r="O44" s="354">
        <v>83.5</v>
      </c>
      <c r="P44" s="354">
        <v>2</v>
      </c>
      <c r="Q44" s="363">
        <f t="shared" si="8"/>
        <v>930.54999999999825</v>
      </c>
      <c r="S44" s="354">
        <v>0</v>
      </c>
      <c r="T44" s="354">
        <v>731.68125000000009</v>
      </c>
      <c r="U44" s="354">
        <v>229.59363650000137</v>
      </c>
      <c r="V44" s="354">
        <v>61.045348999999987</v>
      </c>
      <c r="W44" s="354">
        <v>0.82020000000000004</v>
      </c>
      <c r="X44" s="354">
        <v>84.389764999999997</v>
      </c>
      <c r="Y44" s="354">
        <v>2.3044337000000001</v>
      </c>
      <c r="Z44" s="363">
        <f t="shared" si="10"/>
        <v>1109.8346342000013</v>
      </c>
      <c r="AB44" s="356">
        <v>0</v>
      </c>
      <c r="AC44" s="356">
        <v>99.559999999999988</v>
      </c>
      <c r="AD44" s="356">
        <v>438.44</v>
      </c>
      <c r="AE44" s="356">
        <v>113.02000000000001</v>
      </c>
      <c r="AF44" s="356"/>
      <c r="AG44" s="356">
        <v>9</v>
      </c>
      <c r="AH44" s="356"/>
      <c r="AI44" s="367">
        <f t="shared" si="9"/>
        <v>660.02</v>
      </c>
      <c r="AK44" s="356">
        <v>0</v>
      </c>
      <c r="AL44" s="356">
        <v>112.2656266</v>
      </c>
      <c r="AM44" s="356">
        <v>522.68843890000005</v>
      </c>
      <c r="AN44" s="356">
        <v>135.44762890000001</v>
      </c>
      <c r="AO44" s="356">
        <v>0</v>
      </c>
      <c r="AP44" s="356">
        <v>9.09</v>
      </c>
      <c r="AQ44" s="356">
        <v>0</v>
      </c>
      <c r="AR44" s="367">
        <f t="shared" si="11"/>
        <v>779.49169440000014</v>
      </c>
      <c r="AT44" s="354">
        <v>18.68</v>
      </c>
      <c r="AU44" s="354"/>
      <c r="AV44" s="354">
        <v>95.73</v>
      </c>
      <c r="AW44" s="354">
        <v>2406.9399999999996</v>
      </c>
      <c r="AX44" s="354">
        <v>651.85</v>
      </c>
      <c r="AY44" s="354">
        <v>19.77</v>
      </c>
      <c r="AZ44" s="354">
        <v>0.85</v>
      </c>
      <c r="BA44" s="354">
        <v>0.75</v>
      </c>
      <c r="BB44" s="354">
        <v>84</v>
      </c>
      <c r="BC44" s="354"/>
      <c r="BD44" s="363">
        <f t="shared" si="0"/>
        <v>3278.5699999999993</v>
      </c>
      <c r="BF44" s="354">
        <v>15.5462452</v>
      </c>
      <c r="BG44" s="354">
        <v>0</v>
      </c>
      <c r="BH44" s="354">
        <v>98.677069500000016</v>
      </c>
      <c r="BI44" s="354">
        <v>2651.1672918999998</v>
      </c>
      <c r="BJ44" s="354">
        <v>736.91699889999995</v>
      </c>
      <c r="BK44" s="354">
        <v>22.292738999999997</v>
      </c>
      <c r="BL44" s="354">
        <v>1.0546047000000001</v>
      </c>
      <c r="BM44" s="354">
        <v>0.89030789999999993</v>
      </c>
      <c r="BN44" s="354">
        <v>80.066647199999991</v>
      </c>
      <c r="BO44" s="354">
        <v>0</v>
      </c>
      <c r="BP44" s="363">
        <f t="shared" si="1"/>
        <v>3606.6119042999999</v>
      </c>
      <c r="BR44" s="354"/>
      <c r="BS44" s="354"/>
      <c r="BT44" s="354">
        <v>4.93</v>
      </c>
      <c r="BU44" s="354"/>
      <c r="BV44" s="354">
        <v>2102.5099999999998</v>
      </c>
      <c r="BW44" s="354"/>
      <c r="BX44" s="354"/>
      <c r="BY44" s="354">
        <v>1298.2650000000001</v>
      </c>
      <c r="BZ44" s="354">
        <v>2497.62</v>
      </c>
      <c r="CA44" s="354">
        <v>592.18999999999994</v>
      </c>
      <c r="CB44" s="363">
        <f t="shared" si="2"/>
        <v>6495.5149999999994</v>
      </c>
      <c r="CD44" s="354">
        <v>0</v>
      </c>
      <c r="CE44" s="354"/>
      <c r="CF44" s="354">
        <v>8.1041922999999993</v>
      </c>
      <c r="CG44" s="354">
        <v>0</v>
      </c>
      <c r="CH44" s="354">
        <v>2504.6834082999999</v>
      </c>
      <c r="CI44" s="354">
        <v>0</v>
      </c>
      <c r="CJ44" s="354"/>
      <c r="CK44" s="354">
        <v>1273.0222420000002</v>
      </c>
      <c r="CL44" s="354">
        <v>2339.4221201999999</v>
      </c>
      <c r="CM44" s="354">
        <v>634.70063400000004</v>
      </c>
      <c r="CN44" s="363">
        <f t="shared" si="3"/>
        <v>6759.9325967999994</v>
      </c>
    </row>
    <row r="45" spans="1:92">
      <c r="A45" s="353">
        <v>41030</v>
      </c>
      <c r="B45" s="397">
        <v>7.4999999999999997E-2</v>
      </c>
      <c r="C45" s="397">
        <v>7.4999999999999997E-2</v>
      </c>
      <c r="D45" s="397">
        <v>7.4999999999999997E-2</v>
      </c>
      <c r="E45" s="397">
        <v>7.4999999999999997E-2</v>
      </c>
      <c r="F45" s="397">
        <v>2.5000000000000001E-2</v>
      </c>
      <c r="G45" s="399"/>
      <c r="H45" s="401">
        <v>0</v>
      </c>
      <c r="I45" s="15"/>
      <c r="J45" s="354">
        <v>14.28</v>
      </c>
      <c r="K45" s="354">
        <v>630.55000000000018</v>
      </c>
      <c r="L45" s="354">
        <v>385.16999999999979</v>
      </c>
      <c r="M45" s="354">
        <v>42.300000000000011</v>
      </c>
      <c r="N45" s="354">
        <v>9.7680000000000007</v>
      </c>
      <c r="O45" s="354">
        <v>111.69999999999999</v>
      </c>
      <c r="P45" s="354">
        <v>1</v>
      </c>
      <c r="Q45" s="363">
        <f t="shared" si="8"/>
        <v>1194.768</v>
      </c>
      <c r="R45" s="13"/>
      <c r="S45" s="354">
        <v>11.7393024</v>
      </c>
      <c r="T45" s="354">
        <v>801.94224999999994</v>
      </c>
      <c r="U45" s="354">
        <v>533.17950299999984</v>
      </c>
      <c r="V45" s="354">
        <v>57.916835600000013</v>
      </c>
      <c r="W45" s="354">
        <v>10.6774983</v>
      </c>
      <c r="X45" s="354">
        <v>113.138116</v>
      </c>
      <c r="Y45" s="354">
        <v>1.1512336999999999</v>
      </c>
      <c r="Z45" s="363">
        <f t="shared" si="10"/>
        <v>1529.7447389999998</v>
      </c>
      <c r="AA45" s="13"/>
      <c r="AB45" s="356">
        <v>0</v>
      </c>
      <c r="AC45" s="356"/>
      <c r="AD45" s="356">
        <v>301.07</v>
      </c>
      <c r="AE45" s="356">
        <v>206.2</v>
      </c>
      <c r="AF45" s="356"/>
      <c r="AG45" s="356">
        <v>37</v>
      </c>
      <c r="AH45" s="356"/>
      <c r="AI45" s="367">
        <f t="shared" si="9"/>
        <v>544.27</v>
      </c>
      <c r="AJ45" s="13"/>
      <c r="AK45" s="356">
        <v>0</v>
      </c>
      <c r="AL45" s="356">
        <v>0</v>
      </c>
      <c r="AM45" s="356">
        <v>367.9429154</v>
      </c>
      <c r="AN45" s="356">
        <v>254.28540570000001</v>
      </c>
      <c r="AO45" s="356">
        <v>0</v>
      </c>
      <c r="AP45" s="356">
        <v>33.717500000000001</v>
      </c>
      <c r="AQ45" s="356">
        <v>0</v>
      </c>
      <c r="AR45" s="367">
        <f t="shared" si="11"/>
        <v>655.94582109999999</v>
      </c>
      <c r="AS45" s="368"/>
      <c r="AT45" s="354"/>
      <c r="AU45" s="354">
        <v>38.950000000000003</v>
      </c>
      <c r="AV45" s="354">
        <v>119.24</v>
      </c>
      <c r="AW45" s="354">
        <v>2610.4900000000002</v>
      </c>
      <c r="AX45" s="354">
        <v>805.39</v>
      </c>
      <c r="AY45" s="354">
        <v>33.239999999999995</v>
      </c>
      <c r="AZ45" s="354">
        <v>3.06</v>
      </c>
      <c r="BA45" s="354">
        <v>12.25</v>
      </c>
      <c r="BB45" s="354">
        <v>89.908000000000001</v>
      </c>
      <c r="BC45" s="354">
        <v>6</v>
      </c>
      <c r="BD45" s="363">
        <f t="shared" si="0"/>
        <v>3718.5279999999998</v>
      </c>
      <c r="BF45" s="354">
        <v>0</v>
      </c>
      <c r="BG45" s="354">
        <v>42.823012699999992</v>
      </c>
      <c r="BH45" s="354">
        <v>141.4554876</v>
      </c>
      <c r="BI45" s="354">
        <v>3157.3118098</v>
      </c>
      <c r="BJ45" s="354">
        <v>996.03872849999982</v>
      </c>
      <c r="BK45" s="354">
        <v>52.348855500000006</v>
      </c>
      <c r="BL45" s="354">
        <v>6.3182681000000009</v>
      </c>
      <c r="BM45" s="354">
        <v>14.739694300000002</v>
      </c>
      <c r="BN45" s="354">
        <v>60.524835799999998</v>
      </c>
      <c r="BO45" s="354">
        <v>6.4453920999999994</v>
      </c>
      <c r="BP45" s="363">
        <f t="shared" si="1"/>
        <v>4478.0060844000009</v>
      </c>
      <c r="BR45" s="354"/>
      <c r="BS45" s="354"/>
      <c r="BT45" s="354">
        <v>7.48</v>
      </c>
      <c r="BU45" s="354"/>
      <c r="BV45" s="354">
        <v>3611.16</v>
      </c>
      <c r="BW45" s="354"/>
      <c r="BX45" s="354"/>
      <c r="BY45" s="354">
        <v>1446.9850000000004</v>
      </c>
      <c r="BZ45" s="354">
        <v>2327.0100000000002</v>
      </c>
      <c r="CA45" s="354">
        <v>575.9</v>
      </c>
      <c r="CB45" s="363">
        <f t="shared" si="2"/>
        <v>7968.5349999999999</v>
      </c>
      <c r="CD45" s="354">
        <v>0</v>
      </c>
      <c r="CE45" s="354"/>
      <c r="CF45" s="354">
        <v>13.151429499999999</v>
      </c>
      <c r="CG45" s="354">
        <v>0</v>
      </c>
      <c r="CH45" s="354">
        <v>4587.3053857999994</v>
      </c>
      <c r="CI45" s="354">
        <v>0</v>
      </c>
      <c r="CJ45" s="354"/>
      <c r="CK45" s="354">
        <v>1550.8111017000001</v>
      </c>
      <c r="CL45" s="354">
        <v>2291.3334212999998</v>
      </c>
      <c r="CM45" s="354">
        <v>666.8893475000001</v>
      </c>
      <c r="CN45" s="363">
        <f t="shared" si="3"/>
        <v>9109.4906857999995</v>
      </c>
    </row>
    <row r="46" spans="1:92">
      <c r="A46" s="353">
        <v>41061</v>
      </c>
      <c r="B46" s="397">
        <v>7.4999999999999997E-2</v>
      </c>
      <c r="C46" s="397">
        <v>7.4999999999999997E-2</v>
      </c>
      <c r="D46" s="397">
        <v>7.4999999999999997E-2</v>
      </c>
      <c r="E46" s="397">
        <v>7.4999999999999997E-2</v>
      </c>
      <c r="F46" s="397">
        <v>2.5000000000000001E-2</v>
      </c>
      <c r="G46" s="399"/>
      <c r="H46" s="401">
        <v>0</v>
      </c>
      <c r="I46" s="15"/>
      <c r="J46" s="354">
        <v>0</v>
      </c>
      <c r="K46" s="354">
        <v>369.94999999999993</v>
      </c>
      <c r="L46" s="354">
        <v>230.93</v>
      </c>
      <c r="M46" s="354">
        <v>36.840000000000032</v>
      </c>
      <c r="N46" s="354">
        <v>10</v>
      </c>
      <c r="O46" s="354">
        <v>176.70000000000002</v>
      </c>
      <c r="P46" s="354">
        <v>3.5</v>
      </c>
      <c r="Q46" s="363">
        <f t="shared" si="8"/>
        <v>827.92</v>
      </c>
      <c r="S46" s="354">
        <v>0</v>
      </c>
      <c r="T46" s="354">
        <v>505.71385000000015</v>
      </c>
      <c r="U46" s="354">
        <v>321.29287800000003</v>
      </c>
      <c r="V46" s="354">
        <v>50.397646399999985</v>
      </c>
      <c r="W46" s="354">
        <v>10.667692699999996</v>
      </c>
      <c r="X46" s="354">
        <v>175.3197729</v>
      </c>
      <c r="Y46" s="354">
        <v>4.0120316000000003</v>
      </c>
      <c r="Z46" s="363">
        <f t="shared" si="10"/>
        <v>1067.4038716000002</v>
      </c>
      <c r="AB46" s="356">
        <v>0</v>
      </c>
      <c r="AC46" s="356">
        <v>294.93000000000006</v>
      </c>
      <c r="AD46" s="356"/>
      <c r="AE46" s="356">
        <v>183.86</v>
      </c>
      <c r="AF46" s="356">
        <v>5</v>
      </c>
      <c r="AG46" s="356">
        <v>78</v>
      </c>
      <c r="AH46" s="356"/>
      <c r="AI46" s="367">
        <f t="shared" si="9"/>
        <v>561.79000000000008</v>
      </c>
      <c r="AK46" s="356">
        <v>0</v>
      </c>
      <c r="AL46" s="356">
        <v>364.72471439999998</v>
      </c>
      <c r="AM46" s="356">
        <v>0</v>
      </c>
      <c r="AN46" s="356">
        <v>228.51637359999995</v>
      </c>
      <c r="AO46" s="356">
        <v>5.5149999999999997</v>
      </c>
      <c r="AP46" s="356">
        <v>77.88</v>
      </c>
      <c r="AQ46" s="356">
        <v>0</v>
      </c>
      <c r="AR46" s="367">
        <f t="shared" si="11"/>
        <v>676.63608799999997</v>
      </c>
      <c r="AT46" s="354">
        <v>19.579999999999998</v>
      </c>
      <c r="AU46" s="354"/>
      <c r="AV46" s="354">
        <v>156.55000000000001</v>
      </c>
      <c r="AW46" s="354">
        <v>3552.9800000000009</v>
      </c>
      <c r="AX46" s="354">
        <v>863.99</v>
      </c>
      <c r="AY46" s="354">
        <v>39.43</v>
      </c>
      <c r="AZ46" s="354"/>
      <c r="BA46" s="354">
        <v>6.5</v>
      </c>
      <c r="BB46" s="354">
        <v>16.856000000000002</v>
      </c>
      <c r="BC46" s="354">
        <v>0.6</v>
      </c>
      <c r="BD46" s="363">
        <f t="shared" si="0"/>
        <v>4656.4860000000017</v>
      </c>
      <c r="BF46" s="354">
        <v>20.469435199999999</v>
      </c>
      <c r="BG46" s="354">
        <v>0</v>
      </c>
      <c r="BH46" s="354">
        <v>210.56658089999999</v>
      </c>
      <c r="BI46" s="354">
        <v>4538.7603472000001</v>
      </c>
      <c r="BJ46" s="354">
        <v>1120.1613252999998</v>
      </c>
      <c r="BK46" s="354">
        <v>51.431138699999998</v>
      </c>
      <c r="BL46" s="354">
        <v>0</v>
      </c>
      <c r="BM46" s="354">
        <v>8.8458769000000004</v>
      </c>
      <c r="BN46" s="354">
        <v>2.8575724</v>
      </c>
      <c r="BO46" s="354">
        <v>0.95150219999999996</v>
      </c>
      <c r="BP46" s="363">
        <f t="shared" si="1"/>
        <v>5954.043778799999</v>
      </c>
      <c r="BR46" s="354"/>
      <c r="BS46" s="354"/>
      <c r="BT46" s="354"/>
      <c r="BU46" s="354">
        <v>3194.79</v>
      </c>
      <c r="BV46" s="354"/>
      <c r="BW46" s="354"/>
      <c r="BX46" s="354"/>
      <c r="BY46" s="354">
        <v>1020.2099999999998</v>
      </c>
      <c r="BZ46" s="354">
        <v>2895.3199999999993</v>
      </c>
      <c r="CA46" s="354">
        <v>338.8</v>
      </c>
      <c r="CB46" s="363">
        <f t="shared" si="2"/>
        <v>7449.12</v>
      </c>
      <c r="CD46" s="354">
        <v>0</v>
      </c>
      <c r="CE46" s="354"/>
      <c r="CF46" s="354">
        <v>0</v>
      </c>
      <c r="CG46" s="354">
        <v>4054.2767112000001</v>
      </c>
      <c r="CH46" s="354">
        <v>0</v>
      </c>
      <c r="CI46" s="354">
        <v>0</v>
      </c>
      <c r="CJ46" s="354"/>
      <c r="CK46" s="354">
        <v>1075.3043362999997</v>
      </c>
      <c r="CL46" s="354">
        <v>2868.1848858999992</v>
      </c>
      <c r="CM46" s="354">
        <v>372.44473299999987</v>
      </c>
      <c r="CN46" s="363">
        <f t="shared" si="3"/>
        <v>8370.2106663999984</v>
      </c>
    </row>
    <row r="47" spans="1:92">
      <c r="A47" s="353">
        <v>41091</v>
      </c>
      <c r="B47" s="397">
        <v>7.4999999999999997E-2</v>
      </c>
      <c r="C47" s="397">
        <v>7.4999999999999997E-2</v>
      </c>
      <c r="D47" s="397">
        <v>7.4999999999999997E-2</v>
      </c>
      <c r="E47" s="397">
        <v>7.4999999999999997E-2</v>
      </c>
      <c r="F47" s="397">
        <v>2.5000000000000001E-2</v>
      </c>
      <c r="G47" s="399"/>
      <c r="H47" s="401">
        <v>0</v>
      </c>
      <c r="I47" s="15"/>
      <c r="J47" s="354">
        <v>12.58</v>
      </c>
      <c r="K47" s="354">
        <v>142.63000000000011</v>
      </c>
      <c r="L47" s="354">
        <v>0</v>
      </c>
      <c r="M47" s="354">
        <v>0</v>
      </c>
      <c r="N47" s="354">
        <v>1</v>
      </c>
      <c r="O47" s="354">
        <v>78.550000000000011</v>
      </c>
      <c r="P47" s="354">
        <v>41.575000000000003</v>
      </c>
      <c r="Q47" s="363">
        <f t="shared" si="8"/>
        <v>276.33500000000015</v>
      </c>
      <c r="S47" s="354">
        <v>10.5144269</v>
      </c>
      <c r="T47" s="354">
        <v>168.17535000000009</v>
      </c>
      <c r="U47" s="354">
        <v>0</v>
      </c>
      <c r="V47" s="354">
        <v>0</v>
      </c>
      <c r="W47" s="354">
        <v>1.1032200000000001</v>
      </c>
      <c r="X47" s="354">
        <v>79.483080000000001</v>
      </c>
      <c r="Y47" s="354">
        <v>44.460298399999999</v>
      </c>
      <c r="Z47" s="363">
        <f t="shared" si="10"/>
        <v>303.73637530000008</v>
      </c>
      <c r="AB47" s="356">
        <v>0</v>
      </c>
      <c r="AC47" s="356">
        <v>575.16</v>
      </c>
      <c r="AD47" s="356"/>
      <c r="AE47" s="356"/>
      <c r="AF47" s="356"/>
      <c r="AG47" s="356">
        <v>9</v>
      </c>
      <c r="AH47" s="356"/>
      <c r="AI47" s="367">
        <f t="shared" si="9"/>
        <v>584.16</v>
      </c>
      <c r="AK47" s="356">
        <v>0</v>
      </c>
      <c r="AL47" s="356">
        <v>695.46799999999996</v>
      </c>
      <c r="AM47" s="356">
        <v>0</v>
      </c>
      <c r="AN47" s="356">
        <v>0</v>
      </c>
      <c r="AO47" s="356">
        <v>0</v>
      </c>
      <c r="AP47" s="356">
        <v>9.09</v>
      </c>
      <c r="AQ47" s="356">
        <v>0</v>
      </c>
      <c r="AR47" s="367">
        <f t="shared" si="11"/>
        <v>704.55799999999999</v>
      </c>
      <c r="AT47" s="354">
        <v>26.39</v>
      </c>
      <c r="AU47" s="354"/>
      <c r="AV47" s="354">
        <v>270.89999999999998</v>
      </c>
      <c r="AW47" s="354">
        <v>5165.489999999998</v>
      </c>
      <c r="AX47" s="354">
        <v>1386.2200999999998</v>
      </c>
      <c r="AY47" s="354"/>
      <c r="AZ47" s="354"/>
      <c r="BA47" s="354"/>
      <c r="BB47" s="354">
        <v>36.4</v>
      </c>
      <c r="BC47" s="354">
        <v>1</v>
      </c>
      <c r="BD47" s="363">
        <f t="shared" si="0"/>
        <v>6886.4000999999971</v>
      </c>
      <c r="BF47" s="354">
        <v>28.6182433</v>
      </c>
      <c r="BG47" s="354">
        <v>0</v>
      </c>
      <c r="BH47" s="354">
        <v>339.53320109999999</v>
      </c>
      <c r="BI47" s="354">
        <v>6716.1252859000006</v>
      </c>
      <c r="BJ47" s="354">
        <v>1820.9575723999999</v>
      </c>
      <c r="BK47" s="354">
        <v>0</v>
      </c>
      <c r="BL47" s="354">
        <v>0</v>
      </c>
      <c r="BM47" s="354">
        <v>0</v>
      </c>
      <c r="BN47" s="354">
        <v>7.9260177000000001</v>
      </c>
      <c r="BO47" s="354">
        <v>1.1149339999999999</v>
      </c>
      <c r="BP47" s="363">
        <f t="shared" si="1"/>
        <v>8914.2752543999995</v>
      </c>
      <c r="BR47" s="354"/>
      <c r="BS47" s="354"/>
      <c r="BT47" s="354"/>
      <c r="BU47" s="354">
        <v>766.01</v>
      </c>
      <c r="BV47" s="354"/>
      <c r="BW47" s="354"/>
      <c r="BX47" s="354"/>
      <c r="BY47" s="354">
        <v>1098.9699999999998</v>
      </c>
      <c r="BZ47" s="354">
        <v>2409.6850000000004</v>
      </c>
      <c r="CA47" s="354">
        <v>754.33499999999981</v>
      </c>
      <c r="CB47" s="363">
        <f t="shared" si="2"/>
        <v>5029</v>
      </c>
      <c r="CD47" s="354">
        <v>0</v>
      </c>
      <c r="CE47" s="354"/>
      <c r="CF47" s="354">
        <v>0</v>
      </c>
      <c r="CG47" s="354">
        <v>921.71651490000011</v>
      </c>
      <c r="CH47" s="354">
        <v>0</v>
      </c>
      <c r="CI47" s="354">
        <v>0</v>
      </c>
      <c r="CJ47" s="354"/>
      <c r="CK47" s="354">
        <v>1137.0406562999999</v>
      </c>
      <c r="CL47" s="354">
        <v>2380.5865785999995</v>
      </c>
      <c r="CM47" s="354">
        <v>859.3202344</v>
      </c>
      <c r="CN47" s="363">
        <f t="shared" si="3"/>
        <v>5298.6639841999995</v>
      </c>
    </row>
    <row r="48" spans="1:92">
      <c r="A48" s="353">
        <v>41122</v>
      </c>
      <c r="B48" s="397">
        <v>7.4999999999999997E-2</v>
      </c>
      <c r="C48" s="397">
        <v>7.4999999999999997E-2</v>
      </c>
      <c r="D48" s="397">
        <v>7.4999999999999997E-2</v>
      </c>
      <c r="E48" s="397">
        <v>7.4999999999999997E-2</v>
      </c>
      <c r="F48" s="397">
        <v>2.5000000000000001E-2</v>
      </c>
      <c r="G48" s="399"/>
      <c r="H48" s="401">
        <v>0</v>
      </c>
      <c r="I48" s="15"/>
      <c r="J48" s="354">
        <v>3.23</v>
      </c>
      <c r="K48" s="354">
        <v>631.33000000000004</v>
      </c>
      <c r="L48" s="354">
        <v>319.37000000000006</v>
      </c>
      <c r="M48" s="354">
        <v>0</v>
      </c>
      <c r="N48" s="354">
        <v>8</v>
      </c>
      <c r="O48" s="354">
        <v>116.94999999999999</v>
      </c>
      <c r="P48" s="354">
        <v>33.5</v>
      </c>
      <c r="Q48" s="363">
        <f t="shared" si="8"/>
        <v>1112.3800000000001</v>
      </c>
      <c r="S48" s="354">
        <v>2.6996502000000002</v>
      </c>
      <c r="T48" s="354">
        <v>669.33150000000001</v>
      </c>
      <c r="U48" s="354">
        <v>402.81203400000004</v>
      </c>
      <c r="V48" s="354">
        <v>0</v>
      </c>
      <c r="W48" s="354">
        <v>8.6217803000000011</v>
      </c>
      <c r="X48" s="354">
        <v>115.25255160000003</v>
      </c>
      <c r="Y48" s="354">
        <v>35.646850600000008</v>
      </c>
      <c r="Z48" s="363">
        <f t="shared" si="10"/>
        <v>1234.3643667000001</v>
      </c>
      <c r="AB48" s="356">
        <v>0</v>
      </c>
      <c r="AC48" s="356"/>
      <c r="AD48" s="356">
        <v>173.42000000000002</v>
      </c>
      <c r="AE48" s="356"/>
      <c r="AF48" s="356"/>
      <c r="AG48" s="356">
        <v>77.5</v>
      </c>
      <c r="AH48" s="356">
        <v>20</v>
      </c>
      <c r="AI48" s="367">
        <f t="shared" si="9"/>
        <v>270.92</v>
      </c>
      <c r="AK48" s="356">
        <v>0</v>
      </c>
      <c r="AL48" s="356">
        <v>0</v>
      </c>
      <c r="AM48" s="356">
        <v>216.77500000000001</v>
      </c>
      <c r="AN48" s="356">
        <v>0</v>
      </c>
      <c r="AO48" s="356">
        <v>0</v>
      </c>
      <c r="AP48" s="356">
        <v>65.986400000000003</v>
      </c>
      <c r="AQ48" s="356">
        <v>22</v>
      </c>
      <c r="AR48" s="367">
        <f t="shared" si="11"/>
        <v>304.76139999999998</v>
      </c>
      <c r="AT48" s="354">
        <v>18.72</v>
      </c>
      <c r="AU48" s="354"/>
      <c r="AV48" s="354">
        <v>79.349999999999994</v>
      </c>
      <c r="AW48" s="354">
        <v>4277.32</v>
      </c>
      <c r="AX48" s="354">
        <v>1056.6300000000001</v>
      </c>
      <c r="AY48" s="354"/>
      <c r="AZ48" s="354"/>
      <c r="BA48" s="354">
        <v>6.9</v>
      </c>
      <c r="BB48" s="354">
        <v>24</v>
      </c>
      <c r="BC48" s="354">
        <v>16</v>
      </c>
      <c r="BD48" s="363">
        <f t="shared" si="0"/>
        <v>5478.9199999999992</v>
      </c>
      <c r="BF48" s="354">
        <v>19.535391699999998</v>
      </c>
      <c r="BG48" s="354">
        <v>0</v>
      </c>
      <c r="BH48" s="354">
        <v>89.950132600000018</v>
      </c>
      <c r="BI48" s="354">
        <v>5275.7500700000019</v>
      </c>
      <c r="BJ48" s="354">
        <v>1325.6115406000001</v>
      </c>
      <c r="BK48" s="354">
        <v>0</v>
      </c>
      <c r="BL48" s="354">
        <v>0</v>
      </c>
      <c r="BM48" s="354">
        <v>9.2929993</v>
      </c>
      <c r="BN48" s="354">
        <v>23.688425200000001</v>
      </c>
      <c r="BO48" s="354">
        <v>16.048698000000002</v>
      </c>
      <c r="BP48" s="363">
        <f t="shared" si="1"/>
        <v>6759.8772574000013</v>
      </c>
      <c r="BR48" s="354"/>
      <c r="BS48" s="354"/>
      <c r="BT48" s="354">
        <v>2.72</v>
      </c>
      <c r="BU48" s="354">
        <v>1205.3399999999999</v>
      </c>
      <c r="BV48" s="354">
        <v>1776.2800000000002</v>
      </c>
      <c r="BW48" s="354"/>
      <c r="BX48" s="354"/>
      <c r="BY48" s="354">
        <v>849.8599999999999</v>
      </c>
      <c r="BZ48" s="354">
        <v>2390.1000000000008</v>
      </c>
      <c r="CA48" s="354">
        <v>622.73</v>
      </c>
      <c r="CB48" s="363">
        <f t="shared" si="2"/>
        <v>6847.0300000000007</v>
      </c>
      <c r="CD48" s="354">
        <v>0</v>
      </c>
      <c r="CE48" s="354"/>
      <c r="CF48" s="354">
        <v>4.0802176000000001</v>
      </c>
      <c r="CG48" s="354">
        <v>1342.6023186999998</v>
      </c>
      <c r="CH48" s="354">
        <v>1903.7179280999997</v>
      </c>
      <c r="CI48" s="354">
        <v>0</v>
      </c>
      <c r="CJ48" s="354"/>
      <c r="CK48" s="354">
        <v>879.45194930000025</v>
      </c>
      <c r="CL48" s="354">
        <v>2328.6299033999999</v>
      </c>
      <c r="CM48" s="354">
        <v>756.75486690000025</v>
      </c>
      <c r="CN48" s="363">
        <f t="shared" si="3"/>
        <v>7215.2371840000014</v>
      </c>
    </row>
    <row r="49" spans="1:92">
      <c r="A49" s="353">
        <v>41153</v>
      </c>
      <c r="B49" s="397">
        <v>7.4999999999999997E-2</v>
      </c>
      <c r="C49" s="397">
        <v>7.4999999999999997E-2</v>
      </c>
      <c r="D49" s="397">
        <v>7.4999999999999997E-2</v>
      </c>
      <c r="E49" s="397">
        <v>7.4999999999999997E-2</v>
      </c>
      <c r="F49" s="397">
        <v>2.5000000000000001E-2</v>
      </c>
      <c r="G49" s="399"/>
      <c r="H49" s="401">
        <v>0</v>
      </c>
      <c r="I49" s="15"/>
      <c r="J49" s="354">
        <v>0</v>
      </c>
      <c r="K49" s="354">
        <v>649.46</v>
      </c>
      <c r="L49" s="354">
        <v>109.87</v>
      </c>
      <c r="M49" s="354">
        <v>0</v>
      </c>
      <c r="N49" s="354">
        <v>7.5</v>
      </c>
      <c r="O49" s="354">
        <v>88.8</v>
      </c>
      <c r="P49" s="354">
        <v>31.272999999999996</v>
      </c>
      <c r="Q49" s="363">
        <f t="shared" si="8"/>
        <v>886.90300000000002</v>
      </c>
      <c r="S49" s="354">
        <v>0</v>
      </c>
      <c r="T49" s="354">
        <v>685.88401999999996</v>
      </c>
      <c r="U49" s="354">
        <v>120.83502600000003</v>
      </c>
      <c r="V49" s="354">
        <v>0</v>
      </c>
      <c r="W49" s="354">
        <v>7.72736</v>
      </c>
      <c r="X49" s="354">
        <v>84.358295999999996</v>
      </c>
      <c r="Y49" s="354">
        <v>33.277402800000004</v>
      </c>
      <c r="Z49" s="363">
        <f t="shared" si="10"/>
        <v>932.08210479999991</v>
      </c>
      <c r="AB49" s="356">
        <v>0</v>
      </c>
      <c r="AC49" s="356">
        <v>15.56</v>
      </c>
      <c r="AD49" s="356">
        <v>159.35000000000002</v>
      </c>
      <c r="AE49" s="356">
        <v>20.37</v>
      </c>
      <c r="AF49" s="356"/>
      <c r="AG49" s="356">
        <v>9</v>
      </c>
      <c r="AH49" s="356">
        <v>10</v>
      </c>
      <c r="AI49" s="367">
        <f t="shared" si="9"/>
        <v>214.28000000000003</v>
      </c>
      <c r="AK49" s="356">
        <v>0</v>
      </c>
      <c r="AL49" s="356">
        <v>16.026800000000001</v>
      </c>
      <c r="AM49" s="356">
        <v>176.37290100000001</v>
      </c>
      <c r="AN49" s="356">
        <v>19.758900000000001</v>
      </c>
      <c r="AO49" s="356">
        <v>0</v>
      </c>
      <c r="AP49" s="356">
        <v>9.09</v>
      </c>
      <c r="AQ49" s="356">
        <v>10</v>
      </c>
      <c r="AR49" s="367">
        <f t="shared" si="11"/>
        <v>231.24860100000004</v>
      </c>
      <c r="AT49" s="354"/>
      <c r="AU49" s="354"/>
      <c r="AV49" s="354">
        <v>212.9</v>
      </c>
      <c r="AW49" s="354">
        <v>2314.5100000000002</v>
      </c>
      <c r="AX49" s="354">
        <v>805.48</v>
      </c>
      <c r="AY49" s="354"/>
      <c r="AZ49" s="354"/>
      <c r="BA49" s="354">
        <v>24.75</v>
      </c>
      <c r="BB49" s="354">
        <v>28</v>
      </c>
      <c r="BC49" s="354">
        <v>48.05</v>
      </c>
      <c r="BD49" s="363">
        <f t="shared" si="0"/>
        <v>3433.6900000000005</v>
      </c>
      <c r="BF49" s="354">
        <v>0</v>
      </c>
      <c r="BG49" s="354">
        <v>0</v>
      </c>
      <c r="BH49" s="354">
        <v>233.983103</v>
      </c>
      <c r="BI49" s="354">
        <v>2696.8342016999995</v>
      </c>
      <c r="BJ49" s="354">
        <v>887.81831090000003</v>
      </c>
      <c r="BK49" s="354">
        <v>0</v>
      </c>
      <c r="BL49" s="354">
        <v>0</v>
      </c>
      <c r="BM49" s="354">
        <v>25.1419204</v>
      </c>
      <c r="BN49" s="354">
        <v>27.126198799999997</v>
      </c>
      <c r="BO49" s="354">
        <v>48.438934600000003</v>
      </c>
      <c r="BP49" s="363">
        <f t="shared" si="1"/>
        <v>3919.3426693999995</v>
      </c>
      <c r="BR49" s="354"/>
      <c r="BS49" s="354"/>
      <c r="BT49" s="354">
        <v>0.1</v>
      </c>
      <c r="BU49" s="354">
        <v>246.10999999999999</v>
      </c>
      <c r="BV49" s="354">
        <v>2308.2200000000007</v>
      </c>
      <c r="BW49" s="354"/>
      <c r="BX49" s="354"/>
      <c r="BY49" s="354">
        <v>770.76499999999987</v>
      </c>
      <c r="BZ49" s="354">
        <v>2873.9050000000002</v>
      </c>
      <c r="CA49" s="354">
        <v>422.04</v>
      </c>
      <c r="CB49" s="363">
        <f t="shared" si="2"/>
        <v>6621.14</v>
      </c>
      <c r="CD49" s="354">
        <v>0</v>
      </c>
      <c r="CE49" s="354"/>
      <c r="CF49" s="354">
        <v>0.38744970000000001</v>
      </c>
      <c r="CG49" s="354">
        <v>219.14058310000001</v>
      </c>
      <c r="CH49" s="354">
        <v>2091.8952202999999</v>
      </c>
      <c r="CI49" s="354">
        <v>0</v>
      </c>
      <c r="CJ49" s="354"/>
      <c r="CK49" s="354">
        <v>764.21146899999974</v>
      </c>
      <c r="CL49" s="354">
        <v>2677.6519577999998</v>
      </c>
      <c r="CM49" s="354">
        <v>487.38676699999991</v>
      </c>
      <c r="CN49" s="363">
        <f t="shared" si="3"/>
        <v>6240.6734468999994</v>
      </c>
    </row>
    <row r="50" spans="1:92">
      <c r="A50" s="353">
        <v>41183</v>
      </c>
      <c r="B50" s="397">
        <v>7.4999999999999997E-2</v>
      </c>
      <c r="C50" s="397">
        <v>7.4999999999999997E-2</v>
      </c>
      <c r="D50" s="397">
        <v>7.4999999999999997E-2</v>
      </c>
      <c r="E50" s="397">
        <v>7.4999999999999997E-2</v>
      </c>
      <c r="F50" s="397">
        <v>2.5000000000000001E-2</v>
      </c>
      <c r="G50" s="399"/>
      <c r="H50" s="401">
        <v>0</v>
      </c>
      <c r="I50" s="15"/>
      <c r="J50" s="354">
        <v>0</v>
      </c>
      <c r="K50" s="354">
        <v>1499.7900000000002</v>
      </c>
      <c r="L50" s="354">
        <v>117.74000000000001</v>
      </c>
      <c r="M50" s="354">
        <v>0</v>
      </c>
      <c r="N50" s="354">
        <v>9</v>
      </c>
      <c r="O50" s="354">
        <v>211.89999999999998</v>
      </c>
      <c r="P50" s="354">
        <v>5.0450000000000017</v>
      </c>
      <c r="Q50" s="363">
        <f t="shared" si="8"/>
        <v>1843.4750000000004</v>
      </c>
      <c r="S50" s="354">
        <v>0</v>
      </c>
      <c r="T50" s="354">
        <v>1364.0390520999997</v>
      </c>
      <c r="U50" s="354">
        <v>120.9899422</v>
      </c>
      <c r="V50" s="354">
        <v>0</v>
      </c>
      <c r="W50" s="354">
        <v>8.3959476999999989</v>
      </c>
      <c r="X50" s="354">
        <v>186.10318019999994</v>
      </c>
      <c r="Y50" s="354">
        <v>4.9577417999999973</v>
      </c>
      <c r="Z50" s="363">
        <f t="shared" si="10"/>
        <v>1684.4858639999998</v>
      </c>
      <c r="AB50" s="356">
        <v>0</v>
      </c>
      <c r="AC50" s="356">
        <v>869.82000000000039</v>
      </c>
      <c r="AD50" s="356"/>
      <c r="AE50" s="356">
        <v>96.84</v>
      </c>
      <c r="AF50" s="356"/>
      <c r="AG50" s="356">
        <v>115</v>
      </c>
      <c r="AH50" s="356">
        <v>20</v>
      </c>
      <c r="AI50" s="367">
        <f t="shared" si="9"/>
        <v>1101.6600000000003</v>
      </c>
      <c r="AK50" s="356">
        <v>0</v>
      </c>
      <c r="AL50" s="356">
        <v>751.03327599999989</v>
      </c>
      <c r="AM50" s="356">
        <v>0</v>
      </c>
      <c r="AN50" s="356">
        <v>114.941322</v>
      </c>
      <c r="AO50" s="356">
        <v>0</v>
      </c>
      <c r="AP50" s="356">
        <v>89.461158000000012</v>
      </c>
      <c r="AQ50" s="356">
        <v>20</v>
      </c>
      <c r="AR50" s="367">
        <f t="shared" si="11"/>
        <v>975.43575599999986</v>
      </c>
      <c r="AT50" s="354">
        <v>19.61</v>
      </c>
      <c r="AU50" s="354">
        <v>19.97</v>
      </c>
      <c r="AV50" s="354">
        <v>85.68</v>
      </c>
      <c r="AW50" s="354">
        <v>2740.3199999999997</v>
      </c>
      <c r="AX50" s="354">
        <v>1035.8399999999999</v>
      </c>
      <c r="AY50" s="354"/>
      <c r="AZ50" s="354"/>
      <c r="BA50" s="354">
        <v>22.8</v>
      </c>
      <c r="BB50" s="354">
        <v>183.13399999999999</v>
      </c>
      <c r="BC50" s="354">
        <v>76.400000000000006</v>
      </c>
      <c r="BD50" s="363">
        <f t="shared" si="0"/>
        <v>4183.7539999999999</v>
      </c>
      <c r="BF50" s="354">
        <v>19.946718100000002</v>
      </c>
      <c r="BG50" s="354">
        <v>19.7204199</v>
      </c>
      <c r="BH50" s="354">
        <v>94.175042300000001</v>
      </c>
      <c r="BI50" s="354">
        <v>3039.8301345</v>
      </c>
      <c r="BJ50" s="354">
        <v>1132.4416431999998</v>
      </c>
      <c r="BK50" s="354">
        <v>0</v>
      </c>
      <c r="BL50" s="354">
        <v>0</v>
      </c>
      <c r="BM50" s="354">
        <v>21.243668799999998</v>
      </c>
      <c r="BN50" s="354">
        <v>99.927645299999995</v>
      </c>
      <c r="BO50" s="354">
        <v>72.803543699999992</v>
      </c>
      <c r="BP50" s="363">
        <f t="shared" si="1"/>
        <v>4500.0888157999998</v>
      </c>
      <c r="BR50" s="354"/>
      <c r="BS50" s="354"/>
      <c r="BT50" s="354">
        <v>0.34</v>
      </c>
      <c r="BU50" s="354">
        <v>624.89</v>
      </c>
      <c r="BV50" s="354">
        <v>475.42</v>
      </c>
      <c r="BW50" s="354"/>
      <c r="BX50" s="354"/>
      <c r="BY50" s="354">
        <v>895.36999999999978</v>
      </c>
      <c r="BZ50" s="354">
        <v>2871.4900000000016</v>
      </c>
      <c r="CA50" s="354">
        <v>508.93000000000006</v>
      </c>
      <c r="CB50" s="363">
        <f t="shared" si="2"/>
        <v>5376.4400000000023</v>
      </c>
      <c r="CD50" s="354">
        <v>0</v>
      </c>
      <c r="CE50" s="354"/>
      <c r="CF50" s="354">
        <v>0.39397190000000004</v>
      </c>
      <c r="CG50" s="354">
        <v>546.32266229999993</v>
      </c>
      <c r="CH50" s="354">
        <v>381.11687899999998</v>
      </c>
      <c r="CI50" s="354">
        <v>0</v>
      </c>
      <c r="CJ50" s="354"/>
      <c r="CK50" s="354">
        <v>821.16825320000009</v>
      </c>
      <c r="CL50" s="354">
        <v>2440.0980651999998</v>
      </c>
      <c r="CM50" s="354">
        <v>533.9563887999999</v>
      </c>
      <c r="CN50" s="363">
        <f t="shared" si="3"/>
        <v>4723.0562204000007</v>
      </c>
    </row>
    <row r="51" spans="1:92">
      <c r="A51" s="353">
        <v>41214</v>
      </c>
      <c r="B51" s="397">
        <v>7.4999999999999997E-2</v>
      </c>
      <c r="C51" s="397">
        <v>7.4999999999999997E-2</v>
      </c>
      <c r="D51" s="397">
        <v>7.4999999999999997E-2</v>
      </c>
      <c r="E51" s="397">
        <v>7.4999999999999997E-2</v>
      </c>
      <c r="F51" s="397">
        <v>2.5000000000000001E-2</v>
      </c>
      <c r="G51" s="399"/>
      <c r="H51" s="401">
        <v>0</v>
      </c>
      <c r="I51" s="15"/>
      <c r="J51" s="354">
        <v>13.94</v>
      </c>
      <c r="K51" s="354">
        <v>1226.1800000000003</v>
      </c>
      <c r="L51" s="354">
        <v>0</v>
      </c>
      <c r="M51" s="354">
        <v>0</v>
      </c>
      <c r="N51" s="354">
        <v>11</v>
      </c>
      <c r="O51" s="354">
        <v>145.19999999999999</v>
      </c>
      <c r="P51" s="354">
        <v>0</v>
      </c>
      <c r="Q51" s="363">
        <f t="shared" si="8"/>
        <v>1396.3200000000004</v>
      </c>
      <c r="S51" s="354">
        <v>11.235117300000001</v>
      </c>
      <c r="T51" s="354">
        <v>1119.1236119999994</v>
      </c>
      <c r="U51" s="354">
        <v>0</v>
      </c>
      <c r="V51" s="354">
        <v>0</v>
      </c>
      <c r="W51" s="354">
        <v>10.2359939</v>
      </c>
      <c r="X51" s="354">
        <v>121.36786600000002</v>
      </c>
      <c r="Y51" s="354">
        <v>0</v>
      </c>
      <c r="Z51" s="363">
        <f t="shared" si="10"/>
        <v>1261.9625891999995</v>
      </c>
      <c r="AB51" s="356">
        <v>0</v>
      </c>
      <c r="AC51" s="356">
        <v>717.50000000000011</v>
      </c>
      <c r="AD51" s="356"/>
      <c r="AE51" s="356">
        <v>67.88</v>
      </c>
      <c r="AF51" s="356"/>
      <c r="AG51" s="356">
        <v>39</v>
      </c>
      <c r="AH51" s="356">
        <v>10</v>
      </c>
      <c r="AI51" s="367">
        <f t="shared" si="9"/>
        <v>834.38000000000011</v>
      </c>
      <c r="AK51" s="356">
        <v>0</v>
      </c>
      <c r="AL51" s="356">
        <v>615.40351780000003</v>
      </c>
      <c r="AM51" s="356">
        <v>0</v>
      </c>
      <c r="AN51" s="356">
        <v>72.980828000000002</v>
      </c>
      <c r="AO51" s="356">
        <v>0</v>
      </c>
      <c r="AP51" s="356">
        <v>31.774191000000002</v>
      </c>
      <c r="AQ51" s="356">
        <v>10</v>
      </c>
      <c r="AR51" s="367">
        <f t="shared" si="11"/>
        <v>730.15853679999998</v>
      </c>
      <c r="AT51" s="354"/>
      <c r="AU51" s="354"/>
      <c r="AV51" s="354">
        <v>72.349999999999994</v>
      </c>
      <c r="AW51" s="354">
        <v>1796.3400000000001</v>
      </c>
      <c r="AX51" s="354">
        <v>531.5</v>
      </c>
      <c r="AY51" s="354">
        <v>140.04</v>
      </c>
      <c r="AZ51" s="354"/>
      <c r="BA51" s="354">
        <v>16.2</v>
      </c>
      <c r="BB51" s="354">
        <v>78</v>
      </c>
      <c r="BC51" s="354">
        <v>32</v>
      </c>
      <c r="BD51" s="363">
        <f t="shared" si="0"/>
        <v>2666.43</v>
      </c>
      <c r="BF51" s="354">
        <v>0</v>
      </c>
      <c r="BG51" s="354">
        <v>0</v>
      </c>
      <c r="BH51" s="354">
        <v>72.092456600000006</v>
      </c>
      <c r="BI51" s="354">
        <v>1773.5124311999998</v>
      </c>
      <c r="BJ51" s="354">
        <v>493.34507209999998</v>
      </c>
      <c r="BK51" s="354">
        <v>134.28099349999999</v>
      </c>
      <c r="BL51" s="354">
        <v>0</v>
      </c>
      <c r="BM51" s="354">
        <v>14.529456000000001</v>
      </c>
      <c r="BN51" s="354">
        <v>66.98713459999999</v>
      </c>
      <c r="BO51" s="354">
        <v>26.696481600000002</v>
      </c>
      <c r="BP51" s="363">
        <f t="shared" si="1"/>
        <v>2581.4440256000003</v>
      </c>
      <c r="BR51" s="354"/>
      <c r="BS51" s="354"/>
      <c r="BT51" s="354"/>
      <c r="BU51" s="354">
        <v>664.45</v>
      </c>
      <c r="BV51" s="354">
        <v>514.16999999999996</v>
      </c>
      <c r="BW51" s="354"/>
      <c r="BX51" s="354"/>
      <c r="BY51" s="354">
        <v>775.50999999999988</v>
      </c>
      <c r="BZ51" s="354">
        <v>2676.6849000000002</v>
      </c>
      <c r="CA51" s="354">
        <v>311.45</v>
      </c>
      <c r="CB51" s="363">
        <f t="shared" si="2"/>
        <v>4942.2648999999992</v>
      </c>
      <c r="CD51" s="354">
        <v>0</v>
      </c>
      <c r="CE51" s="354"/>
      <c r="CF51" s="354">
        <v>0</v>
      </c>
      <c r="CG51" s="354">
        <v>496.79132560000005</v>
      </c>
      <c r="CH51" s="354">
        <v>362.84776159999996</v>
      </c>
      <c r="CI51" s="354">
        <v>0</v>
      </c>
      <c r="CJ51" s="354"/>
      <c r="CK51" s="354">
        <v>730.61952459999975</v>
      </c>
      <c r="CL51" s="354">
        <v>2317.3352876999998</v>
      </c>
      <c r="CM51" s="354">
        <v>314.81711560000002</v>
      </c>
      <c r="CN51" s="363">
        <f t="shared" si="3"/>
        <v>4222.4110150999995</v>
      </c>
    </row>
    <row r="52" spans="1:92">
      <c r="A52" s="353">
        <v>41244</v>
      </c>
      <c r="B52" s="397">
        <v>7.4999999999999997E-2</v>
      </c>
      <c r="C52" s="397">
        <v>7.4999999999999997E-2</v>
      </c>
      <c r="D52" s="397">
        <v>7.4999999999999997E-2</v>
      </c>
      <c r="E52" s="397">
        <v>7.4999999999999997E-2</v>
      </c>
      <c r="F52" s="397">
        <v>2.5000000000000001E-2</v>
      </c>
      <c r="G52" s="399"/>
      <c r="H52" s="401">
        <v>0</v>
      </c>
      <c r="I52" s="15"/>
      <c r="J52" s="354">
        <v>0</v>
      </c>
      <c r="K52" s="354">
        <v>616.39400000000001</v>
      </c>
      <c r="L52" s="354">
        <v>5.71</v>
      </c>
      <c r="M52" s="354">
        <v>36</v>
      </c>
      <c r="N52" s="354">
        <v>7.75</v>
      </c>
      <c r="O52" s="354">
        <v>113.09999999999997</v>
      </c>
      <c r="P52" s="354">
        <v>4.5</v>
      </c>
      <c r="Q52" s="363">
        <f t="shared" si="8"/>
        <v>783.45399999999995</v>
      </c>
      <c r="S52" s="354">
        <v>0</v>
      </c>
      <c r="T52" s="354">
        <v>483.9635826</v>
      </c>
      <c r="U52" s="354">
        <v>4.6479400000000002</v>
      </c>
      <c r="V52" s="354">
        <v>28.678178800000001</v>
      </c>
      <c r="W52" s="354">
        <v>7.0169175999999993</v>
      </c>
      <c r="X52" s="354">
        <v>89.10926409999999</v>
      </c>
      <c r="Y52" s="354">
        <v>4.1346890999999992</v>
      </c>
      <c r="Z52" s="363">
        <f t="shared" si="10"/>
        <v>617.55057219999992</v>
      </c>
      <c r="AB52" s="356">
        <v>0</v>
      </c>
      <c r="AC52" s="356">
        <v>802.26600000000008</v>
      </c>
      <c r="AD52" s="356"/>
      <c r="AE52" s="356">
        <v>27.13</v>
      </c>
      <c r="AF52" s="356">
        <v>18</v>
      </c>
      <c r="AG52" s="356">
        <v>144</v>
      </c>
      <c r="AH52" s="356">
        <v>6</v>
      </c>
      <c r="AI52" s="367">
        <f t="shared" si="9"/>
        <v>997.39600000000007</v>
      </c>
      <c r="AK52" s="356">
        <v>0</v>
      </c>
      <c r="AL52" s="356">
        <v>721.95074079999983</v>
      </c>
      <c r="AM52" s="356">
        <v>0</v>
      </c>
      <c r="AN52" s="356">
        <v>25.094436099999999</v>
      </c>
      <c r="AO52" s="356">
        <v>19.24371</v>
      </c>
      <c r="AP52" s="356">
        <v>133.564932</v>
      </c>
      <c r="AQ52" s="356">
        <v>6</v>
      </c>
      <c r="AR52" s="367">
        <f t="shared" si="11"/>
        <v>905.85381889999985</v>
      </c>
      <c r="AT52" s="354"/>
      <c r="AU52" s="354"/>
      <c r="AV52" s="354">
        <v>38.94</v>
      </c>
      <c r="AW52" s="354">
        <v>2068.14</v>
      </c>
      <c r="AX52" s="354">
        <v>1556.69</v>
      </c>
      <c r="AY52" s="354">
        <v>159.35</v>
      </c>
      <c r="AZ52" s="354"/>
      <c r="BA52" s="354">
        <v>0.6</v>
      </c>
      <c r="BB52" s="354">
        <v>61</v>
      </c>
      <c r="BC52" s="354">
        <v>62.8</v>
      </c>
      <c r="BD52" s="363">
        <f t="shared" si="0"/>
        <v>3947.52</v>
      </c>
      <c r="BF52" s="354">
        <v>0</v>
      </c>
      <c r="BG52" s="354">
        <v>0</v>
      </c>
      <c r="BH52" s="354">
        <v>35.7806949</v>
      </c>
      <c r="BI52" s="354">
        <v>2075.3363678999995</v>
      </c>
      <c r="BJ52" s="354">
        <v>1402.1209130000002</v>
      </c>
      <c r="BK52" s="354">
        <v>146.1306261</v>
      </c>
      <c r="BL52" s="354">
        <v>0</v>
      </c>
      <c r="BM52" s="354">
        <v>0.77054070000000008</v>
      </c>
      <c r="BN52" s="354">
        <v>50.765724599999999</v>
      </c>
      <c r="BO52" s="354">
        <v>55.152119000000006</v>
      </c>
      <c r="BP52" s="363">
        <f t="shared" si="1"/>
        <v>3766.0569861999993</v>
      </c>
      <c r="BR52" s="354"/>
      <c r="BS52" s="354"/>
      <c r="BT52" s="354">
        <v>0.85</v>
      </c>
      <c r="BU52" s="354">
        <v>1001.9099999999999</v>
      </c>
      <c r="BV52" s="354">
        <v>1990.8300000000002</v>
      </c>
      <c r="BW52" s="354"/>
      <c r="BX52" s="354"/>
      <c r="BY52" s="354">
        <v>730.11999999999989</v>
      </c>
      <c r="BZ52" s="354">
        <v>2510.2850000000003</v>
      </c>
      <c r="CA52" s="354">
        <v>444.36</v>
      </c>
      <c r="CB52" s="363">
        <f t="shared" si="2"/>
        <v>6678.3550000000005</v>
      </c>
      <c r="CD52" s="354">
        <v>0</v>
      </c>
      <c r="CE52" s="354"/>
      <c r="CF52" s="354">
        <v>2.0510799999999998</v>
      </c>
      <c r="CG52" s="354">
        <v>769.90814729999988</v>
      </c>
      <c r="CH52" s="354">
        <v>1543.4785169000004</v>
      </c>
      <c r="CI52" s="354">
        <v>0</v>
      </c>
      <c r="CJ52" s="354"/>
      <c r="CK52" s="354">
        <v>688.26082739999993</v>
      </c>
      <c r="CL52" s="354">
        <v>2133.5383248999997</v>
      </c>
      <c r="CM52" s="354">
        <v>436.66066640000003</v>
      </c>
      <c r="CN52" s="363">
        <f t="shared" si="3"/>
        <v>5573.8975629000006</v>
      </c>
    </row>
    <row r="53" spans="1:92">
      <c r="A53" s="353">
        <v>41275</v>
      </c>
      <c r="B53" s="397">
        <v>0.05</v>
      </c>
      <c r="C53" s="397">
        <v>0.05</v>
      </c>
      <c r="D53" s="397">
        <v>0.05</v>
      </c>
      <c r="E53" s="397">
        <v>0.05</v>
      </c>
      <c r="F53" s="397">
        <v>2.5000000000000001E-2</v>
      </c>
      <c r="G53" s="399"/>
      <c r="H53" s="401">
        <v>0</v>
      </c>
      <c r="I53" s="15"/>
      <c r="J53" s="354">
        <v>0</v>
      </c>
      <c r="K53" s="354">
        <v>588.89000000000033</v>
      </c>
      <c r="L53" s="354">
        <v>5.85</v>
      </c>
      <c r="M53" s="354">
        <v>0</v>
      </c>
      <c r="N53" s="354">
        <v>6.15</v>
      </c>
      <c r="O53" s="354">
        <v>135.125</v>
      </c>
      <c r="P53" s="354">
        <v>1.925</v>
      </c>
      <c r="Q53" s="363">
        <f t="shared" si="8"/>
        <v>737.94000000000028</v>
      </c>
      <c r="S53" s="354">
        <v>0</v>
      </c>
      <c r="T53" s="354">
        <v>465.30397310000069</v>
      </c>
      <c r="U53" s="354">
        <v>4.5453703999999995</v>
      </c>
      <c r="V53" s="354">
        <v>0</v>
      </c>
      <c r="W53" s="354">
        <v>5.5471059999999994</v>
      </c>
      <c r="X53" s="354">
        <v>101.02929929999996</v>
      </c>
      <c r="Y53" s="354">
        <v>1.6529163</v>
      </c>
      <c r="Z53" s="363">
        <f t="shared" si="10"/>
        <v>578.07866510000065</v>
      </c>
      <c r="AB53" s="356">
        <v>0</v>
      </c>
      <c r="AC53" s="356">
        <v>1087.02</v>
      </c>
      <c r="AD53" s="356"/>
      <c r="AE53" s="356">
        <v>39.799999999999997</v>
      </c>
      <c r="AF53" s="356"/>
      <c r="AG53" s="356">
        <v>53.7</v>
      </c>
      <c r="AH53" s="356"/>
      <c r="AI53" s="367">
        <f t="shared" si="9"/>
        <v>1180.52</v>
      </c>
      <c r="AK53" s="356">
        <v>0</v>
      </c>
      <c r="AL53" s="356">
        <v>978.28508190000014</v>
      </c>
      <c r="AM53" s="356">
        <v>0</v>
      </c>
      <c r="AN53" s="356">
        <v>30.7057</v>
      </c>
      <c r="AO53" s="356">
        <v>0</v>
      </c>
      <c r="AP53" s="356">
        <v>42.527488499999997</v>
      </c>
      <c r="AQ53" s="356">
        <v>0</v>
      </c>
      <c r="AR53" s="367">
        <f t="shared" si="11"/>
        <v>1051.5182704000001</v>
      </c>
      <c r="AT53" s="354">
        <v>19.54</v>
      </c>
      <c r="AU53" s="354"/>
      <c r="AV53" s="354">
        <v>139.19999999999999</v>
      </c>
      <c r="AW53" s="354">
        <v>2553.0301000000004</v>
      </c>
      <c r="AX53" s="354">
        <v>1075.6199999999999</v>
      </c>
      <c r="AY53" s="354">
        <v>56.34</v>
      </c>
      <c r="AZ53" s="354">
        <v>3.06</v>
      </c>
      <c r="BA53" s="354">
        <v>16.2</v>
      </c>
      <c r="BB53" s="354">
        <v>38.299999999999997</v>
      </c>
      <c r="BC53" s="354">
        <v>48.400000000000006</v>
      </c>
      <c r="BD53" s="363">
        <f t="shared" si="0"/>
        <v>3949.6901000000003</v>
      </c>
      <c r="BF53" s="354">
        <v>18.9953225</v>
      </c>
      <c r="BG53" s="354">
        <v>0</v>
      </c>
      <c r="BH53" s="354">
        <v>122.17372819999999</v>
      </c>
      <c r="BI53" s="354">
        <v>2456.8108634999999</v>
      </c>
      <c r="BJ53" s="354">
        <v>875.25724449999984</v>
      </c>
      <c r="BK53" s="354">
        <v>44.753538099999993</v>
      </c>
      <c r="BL53" s="354">
        <v>6.0844024000000001</v>
      </c>
      <c r="BM53" s="354">
        <v>14.024688300000001</v>
      </c>
      <c r="BN53" s="354">
        <v>9.1254979000000009</v>
      </c>
      <c r="BO53" s="354">
        <v>42.858955099999996</v>
      </c>
      <c r="BP53" s="363">
        <f t="shared" si="1"/>
        <v>3590.0842404999994</v>
      </c>
      <c r="BR53" s="354"/>
      <c r="BS53" s="354"/>
      <c r="BT53" s="354">
        <v>5.44</v>
      </c>
      <c r="BU53" s="354">
        <v>870.20999999999992</v>
      </c>
      <c r="BV53" s="354">
        <v>395.16999999999996</v>
      </c>
      <c r="BW53" s="354"/>
      <c r="BX53" s="354"/>
      <c r="BY53" s="354">
        <v>625.42999999999995</v>
      </c>
      <c r="BZ53" s="354">
        <v>2636.4999999999995</v>
      </c>
      <c r="CA53" s="354">
        <v>711.71</v>
      </c>
      <c r="CB53" s="363">
        <f t="shared" si="2"/>
        <v>5244.46</v>
      </c>
      <c r="CD53" s="354">
        <v>0</v>
      </c>
      <c r="CE53" s="354"/>
      <c r="CF53" s="354">
        <v>8.0346624000000002</v>
      </c>
      <c r="CG53" s="354">
        <v>605.09955939999998</v>
      </c>
      <c r="CH53" s="354">
        <v>275.07151069999992</v>
      </c>
      <c r="CI53" s="354">
        <v>0</v>
      </c>
      <c r="CJ53" s="354"/>
      <c r="CK53" s="354">
        <v>542.13151910000011</v>
      </c>
      <c r="CL53" s="354">
        <v>2149.5986514000001</v>
      </c>
      <c r="CM53" s="354">
        <v>688.33171320000008</v>
      </c>
      <c r="CN53" s="363">
        <f t="shared" si="3"/>
        <v>4268.2676161999998</v>
      </c>
    </row>
    <row r="54" spans="1:92">
      <c r="A54" s="353">
        <v>41306</v>
      </c>
      <c r="B54" s="397">
        <v>0.05</v>
      </c>
      <c r="C54" s="397">
        <v>0.05</v>
      </c>
      <c r="D54" s="397">
        <v>0.05</v>
      </c>
      <c r="E54" s="397">
        <v>0.05</v>
      </c>
      <c r="F54" s="397">
        <v>2.5000000000000001E-2</v>
      </c>
      <c r="G54" s="399"/>
      <c r="H54" s="401">
        <v>0</v>
      </c>
      <c r="I54" s="15"/>
      <c r="J54" s="354">
        <v>0</v>
      </c>
      <c r="K54" s="354">
        <v>663.74999999999955</v>
      </c>
      <c r="L54" s="354">
        <v>0</v>
      </c>
      <c r="M54" s="354">
        <v>36.950000000000003</v>
      </c>
      <c r="N54" s="354">
        <v>9.3629999999999995</v>
      </c>
      <c r="O54" s="354">
        <v>151.55000000000001</v>
      </c>
      <c r="P54" s="354">
        <v>2</v>
      </c>
      <c r="Q54" s="363">
        <f t="shared" si="8"/>
        <v>863.6129999999996</v>
      </c>
      <c r="S54" s="354">
        <v>0</v>
      </c>
      <c r="T54" s="354">
        <v>496.79477589999954</v>
      </c>
      <c r="U54" s="354">
        <v>0</v>
      </c>
      <c r="V54" s="354">
        <v>27.040241200000001</v>
      </c>
      <c r="W54" s="354">
        <v>8.1409854999999993</v>
      </c>
      <c r="X54" s="354">
        <v>108.4277336</v>
      </c>
      <c r="Y54" s="354">
        <v>1.7019701999999999</v>
      </c>
      <c r="Z54" s="363">
        <f t="shared" si="10"/>
        <v>642.10570639999946</v>
      </c>
      <c r="AB54" s="356">
        <v>0</v>
      </c>
      <c r="AC54" s="356">
        <v>1069.21</v>
      </c>
      <c r="AD54" s="356"/>
      <c r="AE54" s="356"/>
      <c r="AF54" s="356"/>
      <c r="AG54" s="356">
        <v>73.5</v>
      </c>
      <c r="AH54" s="356"/>
      <c r="AI54" s="367">
        <f t="shared" si="9"/>
        <v>1142.71</v>
      </c>
      <c r="AK54" s="356">
        <v>0</v>
      </c>
      <c r="AL54" s="356">
        <v>892.32905910000011</v>
      </c>
      <c r="AM54" s="356">
        <v>0</v>
      </c>
      <c r="AN54" s="356">
        <v>0</v>
      </c>
      <c r="AO54" s="356">
        <v>0</v>
      </c>
      <c r="AP54" s="356">
        <v>58.433025000000001</v>
      </c>
      <c r="AQ54" s="356">
        <v>0</v>
      </c>
      <c r="AR54" s="367">
        <f t="shared" si="11"/>
        <v>950.76208410000015</v>
      </c>
      <c r="AT54" s="354">
        <v>10.199999999999999</v>
      </c>
      <c r="AU54" s="354"/>
      <c r="AV54" s="354">
        <v>119.22</v>
      </c>
      <c r="AW54" s="354">
        <v>4015.24</v>
      </c>
      <c r="AX54" s="354">
        <v>736.81000000000006</v>
      </c>
      <c r="AY54" s="354">
        <v>133.77000000000001</v>
      </c>
      <c r="AZ54" s="354"/>
      <c r="BA54" s="354">
        <v>30.2</v>
      </c>
      <c r="BB54" s="354">
        <v>14</v>
      </c>
      <c r="BC54" s="354">
        <v>48.2</v>
      </c>
      <c r="BD54" s="363">
        <f t="shared" si="0"/>
        <v>5107.6400000000003</v>
      </c>
      <c r="BF54" s="354">
        <v>10.786065199999999</v>
      </c>
      <c r="BG54" s="354">
        <v>0</v>
      </c>
      <c r="BH54" s="354">
        <v>96.593080399999991</v>
      </c>
      <c r="BI54" s="354">
        <v>3369.5843270999985</v>
      </c>
      <c r="BJ54" s="354">
        <v>542.29849379999996</v>
      </c>
      <c r="BK54" s="354">
        <v>106.259865</v>
      </c>
      <c r="BL54" s="354">
        <v>0</v>
      </c>
      <c r="BM54" s="354">
        <v>25.970618300000002</v>
      </c>
      <c r="BN54" s="354">
        <v>11.140898100000001</v>
      </c>
      <c r="BO54" s="354">
        <v>39.013961900000005</v>
      </c>
      <c r="BP54" s="363">
        <f t="shared" si="1"/>
        <v>4201.6473097999988</v>
      </c>
      <c r="BR54" s="354"/>
      <c r="BS54" s="354"/>
      <c r="BT54" s="354">
        <v>1.7</v>
      </c>
      <c r="BU54" s="354">
        <v>2340.9699999999998</v>
      </c>
      <c r="BV54" s="354">
        <v>1899.0100000000002</v>
      </c>
      <c r="BW54" s="354">
        <v>0.17</v>
      </c>
      <c r="BX54" s="354"/>
      <c r="BY54" s="354">
        <v>1275.5850000000005</v>
      </c>
      <c r="BZ54" s="354">
        <v>3027.24</v>
      </c>
      <c r="CA54" s="354">
        <v>771.33</v>
      </c>
      <c r="CB54" s="363">
        <f t="shared" si="2"/>
        <v>9316.005000000001</v>
      </c>
      <c r="CD54" s="354">
        <v>0</v>
      </c>
      <c r="CE54" s="354"/>
      <c r="CF54" s="354">
        <v>2.2312495999999999</v>
      </c>
      <c r="CG54" s="354">
        <v>1684.1804704999997</v>
      </c>
      <c r="CH54" s="354">
        <v>1513.8264219999999</v>
      </c>
      <c r="CI54" s="354">
        <v>0.151725</v>
      </c>
      <c r="CJ54" s="354"/>
      <c r="CK54" s="354">
        <v>1089.4716561000002</v>
      </c>
      <c r="CL54" s="354">
        <v>2397.5954121000004</v>
      </c>
      <c r="CM54" s="354">
        <v>639.22911580000016</v>
      </c>
      <c r="CN54" s="363">
        <f t="shared" si="3"/>
        <v>7326.6860511000004</v>
      </c>
    </row>
    <row r="55" spans="1:92">
      <c r="A55" s="353">
        <v>41334</v>
      </c>
      <c r="B55" s="397">
        <v>0.05</v>
      </c>
      <c r="C55" s="397">
        <v>0.05</v>
      </c>
      <c r="D55" s="397">
        <v>0.05</v>
      </c>
      <c r="E55" s="397">
        <v>0.05</v>
      </c>
      <c r="F55" s="397">
        <v>2.5000000000000001E-2</v>
      </c>
      <c r="G55" s="399"/>
      <c r="H55" s="401">
        <v>0</v>
      </c>
      <c r="I55" s="15"/>
      <c r="J55" s="354">
        <v>0</v>
      </c>
      <c r="K55" s="354">
        <v>1835.3100000000018</v>
      </c>
      <c r="L55" s="354">
        <v>14.97</v>
      </c>
      <c r="M55" s="354">
        <v>19.57</v>
      </c>
      <c r="N55" s="354">
        <v>8.0329999999999995</v>
      </c>
      <c r="O55" s="354">
        <v>119</v>
      </c>
      <c r="P55" s="354">
        <v>0</v>
      </c>
      <c r="Q55" s="363">
        <f t="shared" si="8"/>
        <v>1996.8830000000016</v>
      </c>
      <c r="R55" s="13">
        <f>SUM(Q44:Q55)</f>
        <v>12850.541000000001</v>
      </c>
      <c r="S55" s="354">
        <v>0</v>
      </c>
      <c r="T55" s="354">
        <v>1275.8707058999996</v>
      </c>
      <c r="U55" s="354">
        <v>11.627198999999999</v>
      </c>
      <c r="V55" s="354">
        <v>14.694721599999999</v>
      </c>
      <c r="W55" s="354">
        <v>7.0495809999999999</v>
      </c>
      <c r="X55" s="354">
        <v>82.987674899999973</v>
      </c>
      <c r="Y55" s="354">
        <v>0</v>
      </c>
      <c r="Z55" s="363">
        <f t="shared" si="10"/>
        <v>1392.2298823999997</v>
      </c>
      <c r="AA55" s="13">
        <f>SUM(Z44:Z55)</f>
        <v>12353.579370900001</v>
      </c>
      <c r="AB55" s="356">
        <v>0</v>
      </c>
      <c r="AC55" s="356">
        <v>1438.67</v>
      </c>
      <c r="AD55" s="356"/>
      <c r="AE55" s="356"/>
      <c r="AF55" s="356"/>
      <c r="AG55" s="356">
        <v>188.8</v>
      </c>
      <c r="AH55" s="356"/>
      <c r="AI55" s="367">
        <f t="shared" si="9"/>
        <v>1627.47</v>
      </c>
      <c r="AJ55" s="13">
        <f>SUM(AI44:AI55)</f>
        <v>9719.5760000000009</v>
      </c>
      <c r="AK55" s="356">
        <v>0</v>
      </c>
      <c r="AL55" s="356">
        <v>1187.2784385000002</v>
      </c>
      <c r="AM55" s="356">
        <v>0</v>
      </c>
      <c r="AN55" s="356">
        <v>0</v>
      </c>
      <c r="AO55" s="356">
        <v>0</v>
      </c>
      <c r="AP55" s="356">
        <v>155.87464500000002</v>
      </c>
      <c r="AQ55" s="356">
        <v>0</v>
      </c>
      <c r="AR55" s="367">
        <f t="shared" si="11"/>
        <v>1343.1530835000003</v>
      </c>
      <c r="AS55" s="368">
        <f>SUM(AR44:AR55)</f>
        <v>9309.5231542000001</v>
      </c>
      <c r="AT55" s="354"/>
      <c r="AU55" s="354">
        <v>19.399999999999999</v>
      </c>
      <c r="AV55" s="354"/>
      <c r="AW55" s="354">
        <v>2561.63</v>
      </c>
      <c r="AX55" s="354">
        <v>599.36</v>
      </c>
      <c r="AY55" s="354">
        <v>232.67</v>
      </c>
      <c r="AZ55" s="354"/>
      <c r="BA55" s="354">
        <v>15</v>
      </c>
      <c r="BB55" s="354">
        <v>145.98000000000002</v>
      </c>
      <c r="BC55" s="354">
        <v>64.600000000000009</v>
      </c>
      <c r="BD55" s="363">
        <f t="shared" si="0"/>
        <v>3638.6400000000003</v>
      </c>
      <c r="BF55" s="354">
        <v>0</v>
      </c>
      <c r="BG55" s="354">
        <v>19.631718500000002</v>
      </c>
      <c r="BH55" s="354">
        <v>0</v>
      </c>
      <c r="BI55" s="354">
        <v>2060.5962870000003</v>
      </c>
      <c r="BJ55" s="354">
        <v>443.04462130000002</v>
      </c>
      <c r="BK55" s="354">
        <v>176.9162666</v>
      </c>
      <c r="BL55" s="354">
        <v>0</v>
      </c>
      <c r="BM55" s="354">
        <v>14.286884499999999</v>
      </c>
      <c r="BN55" s="354">
        <v>113.98253219999999</v>
      </c>
      <c r="BO55" s="354">
        <v>51.494089000000002</v>
      </c>
      <c r="BP55" s="363">
        <f t="shared" si="1"/>
        <v>2879.9523991000001</v>
      </c>
      <c r="BR55" s="354">
        <v>1.08</v>
      </c>
      <c r="BS55" s="354"/>
      <c r="BT55" s="354">
        <v>13.6</v>
      </c>
      <c r="BU55" s="354">
        <v>831.72000000000014</v>
      </c>
      <c r="BV55" s="354">
        <v>169.68</v>
      </c>
      <c r="BW55" s="354"/>
      <c r="BX55" s="354"/>
      <c r="BY55" s="354">
        <v>1154.9150000000002</v>
      </c>
      <c r="BZ55" s="354">
        <v>3011.74</v>
      </c>
      <c r="CA55" s="354">
        <v>933.90000000000009</v>
      </c>
      <c r="CB55" s="363">
        <f t="shared" si="2"/>
        <v>6116.6350000000002</v>
      </c>
      <c r="CD55" s="354">
        <v>1.7560801000000001</v>
      </c>
      <c r="CE55" s="354"/>
      <c r="CF55" s="354">
        <v>11.723573799999999</v>
      </c>
      <c r="CG55" s="354">
        <v>586.30677089999995</v>
      </c>
      <c r="CH55" s="354">
        <v>117.3586035</v>
      </c>
      <c r="CI55" s="354">
        <v>0</v>
      </c>
      <c r="CJ55" s="354"/>
      <c r="CK55" s="354">
        <v>1011.1250956999997</v>
      </c>
      <c r="CL55" s="354">
        <v>2378.4959466999981</v>
      </c>
      <c r="CM55" s="354">
        <v>808.38277910000011</v>
      </c>
      <c r="CN55" s="363">
        <f t="shared" si="3"/>
        <v>4915.1488497999981</v>
      </c>
    </row>
    <row r="56" spans="1:92">
      <c r="A56" s="357">
        <v>41365</v>
      </c>
      <c r="B56" s="396">
        <v>0.05</v>
      </c>
      <c r="C56" s="396">
        <v>0.05</v>
      </c>
      <c r="D56" s="396">
        <v>0.05</v>
      </c>
      <c r="E56" s="396">
        <v>0.05</v>
      </c>
      <c r="F56" s="396">
        <v>2.5000000000000001E-2</v>
      </c>
      <c r="G56" s="399"/>
      <c r="H56" s="400">
        <v>0</v>
      </c>
      <c r="I56" s="15"/>
      <c r="J56" s="358">
        <f>' VVF Sales - PUC &amp; Non PUC'!$B$5</f>
        <v>0</v>
      </c>
      <c r="K56" s="358">
        <f>' VVF Sales - PUC &amp; Non PUC'!$B$6</f>
        <v>830.67</v>
      </c>
      <c r="L56" s="358">
        <f>' VVF Sales - PUC &amp; Non PUC'!$B$7</f>
        <v>0</v>
      </c>
      <c r="M56" s="358">
        <f>' VVF Sales - PUC &amp; Non PUC'!$B$8</f>
        <v>106.50000000000001</v>
      </c>
      <c r="N56" s="358">
        <f>' VVF Sales - PUC &amp; Non PUC'!$B$9</f>
        <v>8.5</v>
      </c>
      <c r="O56" s="358">
        <f>' VVF Sales - PUC &amp; Non PUC'!$B$10</f>
        <v>166.5</v>
      </c>
      <c r="P56" s="358">
        <f>' VVF Sales - PUC &amp; Non PUC'!$B$11</f>
        <v>2</v>
      </c>
      <c r="Q56" s="363">
        <f t="shared" si="8"/>
        <v>1114.17</v>
      </c>
      <c r="S56" s="358">
        <f>' VVF Sales - PUC &amp; Non PUC'!$C$5</f>
        <v>0</v>
      </c>
      <c r="T56" s="358">
        <f>' VVF Sales - PUC &amp; Non PUC'!$C$6</f>
        <v>631.95298259999993</v>
      </c>
      <c r="U56" s="358">
        <f>' VVF Sales - PUC &amp; Non PUC'!$C$7</f>
        <v>0</v>
      </c>
      <c r="V56" s="358">
        <f>' VVF Sales - PUC &amp; Non PUC'!$C$8</f>
        <v>81.759043399999996</v>
      </c>
      <c r="W56" s="358">
        <f>' VVF Sales - PUC &amp; Non PUC'!$C$9</f>
        <v>7.3998701000000002</v>
      </c>
      <c r="X56" s="358">
        <f>' VVF Sales - PUC &amp; Non PUC'!$C$10</f>
        <v>112.73438170000001</v>
      </c>
      <c r="Y56" s="358">
        <f>' VVF Sales - PUC &amp; Non PUC'!$C$11</f>
        <v>1.5724723999999999</v>
      </c>
      <c r="Z56" s="363">
        <f t="shared" si="10"/>
        <v>835.41875019999998</v>
      </c>
      <c r="AB56" s="359">
        <f>' VVF Sales - PUC &amp; Non PUC'!$D$5</f>
        <v>0</v>
      </c>
      <c r="AC56" s="359">
        <f>' VVF Sales - PUC &amp; Non PUC'!$D$6</f>
        <v>1578.04</v>
      </c>
      <c r="AD56" s="359">
        <f>' VVF Sales - PUC &amp; Non PUC'!$D$7</f>
        <v>0</v>
      </c>
      <c r="AE56" s="359">
        <f>' VVF Sales - PUC &amp; Non PUC'!$D$8</f>
        <v>40.849999999999994</v>
      </c>
      <c r="AF56" s="359">
        <f>' VVF Sales - PUC &amp; Non PUC'!$D$9</f>
        <v>0</v>
      </c>
      <c r="AG56" s="359">
        <f>' VVF Sales - PUC &amp; Non PUC'!$D$10</f>
        <v>3</v>
      </c>
      <c r="AH56" s="359">
        <f>' VVF Sales - PUC &amp; Non PUC'!$D$11</f>
        <v>5</v>
      </c>
      <c r="AI56" s="367">
        <f t="shared" si="9"/>
        <v>1626.8899999999999</v>
      </c>
      <c r="AK56" s="359">
        <f>' VVF Sales - PUC &amp; Non PUC'!$E$5</f>
        <v>0</v>
      </c>
      <c r="AL56" s="359">
        <f>' VVF Sales - PUC &amp; Non PUC'!$E$6</f>
        <v>1132.1039649000006</v>
      </c>
      <c r="AM56" s="359">
        <f>' VVF Sales - PUC &amp; Non PUC'!$E$7</f>
        <v>0</v>
      </c>
      <c r="AN56" s="359">
        <f>' VVF Sales - PUC &amp; Non PUC'!$E$8</f>
        <v>31.952870000000001</v>
      </c>
      <c r="AO56" s="359">
        <f>' VVF Sales - PUC &amp; Non PUC'!$E$9</f>
        <v>0</v>
      </c>
      <c r="AP56" s="359">
        <f>' VVF Sales - PUC &amp; Non PUC'!$E$10</f>
        <v>2.19</v>
      </c>
      <c r="AQ56" s="359">
        <f>' VVF Sales - PUC &amp; Non PUC'!$E$11</f>
        <v>4.05</v>
      </c>
      <c r="AR56" s="367">
        <f t="shared" si="11"/>
        <v>1170.2968349000007</v>
      </c>
      <c r="AT56" s="358">
        <f>'Imports 2013-14'!D151</f>
        <v>0</v>
      </c>
      <c r="AU56" s="358">
        <f>'Imports 2013-14'!E151</f>
        <v>0</v>
      </c>
      <c r="AV56" s="358">
        <f>'Imports 2013-14'!F151</f>
        <v>0</v>
      </c>
      <c r="AW56" s="358">
        <f>'Imports 2013-14'!G151</f>
        <v>3426.1799999999994</v>
      </c>
      <c r="AX56" s="358">
        <f>'Imports 2013-14'!H151</f>
        <v>746.82999999999993</v>
      </c>
      <c r="AY56" s="358">
        <f>'Imports 2013-14'!I151</f>
        <v>118.99000000000001</v>
      </c>
      <c r="AZ56" s="358">
        <f>'Imports 2013-14'!J151</f>
        <v>0</v>
      </c>
      <c r="BA56" s="358">
        <f>'Imports 2013-14'!K151</f>
        <v>28.2</v>
      </c>
      <c r="BB56" s="358">
        <f>'Imports 2013-14'!L151</f>
        <v>28</v>
      </c>
      <c r="BC56" s="358">
        <f>'Imports 2013-14'!M151</f>
        <v>16.2</v>
      </c>
      <c r="BD56" s="363">
        <f>'Imports 2013-14'!N151</f>
        <v>4364.3999999999987</v>
      </c>
      <c r="BF56" s="358">
        <f>'Imports 2013-14'!S151/10^5</f>
        <v>0</v>
      </c>
      <c r="BG56" s="358">
        <f>'Imports 2013-14'!T151/10^5</f>
        <v>0</v>
      </c>
      <c r="BH56" s="358">
        <f>'Imports 2013-14'!U151/10^5</f>
        <v>0</v>
      </c>
      <c r="BI56" s="358">
        <f>'Imports 2013-14'!V151/10^5</f>
        <v>2676.7311077999998</v>
      </c>
      <c r="BJ56" s="358">
        <f>'Imports 2013-14'!W151/10^5</f>
        <v>543.51268100000004</v>
      </c>
      <c r="BK56" s="358">
        <f>'Imports 2013-14'!X151/10^5</f>
        <v>90.456947400000004</v>
      </c>
      <c r="BL56" s="358">
        <f>'Imports 2013-14'!Y151/10^5</f>
        <v>0</v>
      </c>
      <c r="BM56" s="358">
        <f>'Imports 2013-14'!Z151/10^5</f>
        <v>25.1157161</v>
      </c>
      <c r="BN56" s="358">
        <f>'Imports 2013-14'!AA151/10^5</f>
        <v>21.801742800000003</v>
      </c>
      <c r="BO56" s="358">
        <f>'Imports 2013-14'!AB151/10^5</f>
        <v>12.0817826</v>
      </c>
      <c r="BP56" s="363">
        <f>'Imports 2013-14'!AC151/10^5</f>
        <v>3369.6999776999996</v>
      </c>
      <c r="BR56" s="358"/>
      <c r="BS56" s="358"/>
      <c r="BT56" s="358">
        <v>1.02</v>
      </c>
      <c r="BU56" s="358">
        <v>1169.6399999999999</v>
      </c>
      <c r="BV56" s="358">
        <v>2201.4500000000003</v>
      </c>
      <c r="BW56" s="358"/>
      <c r="BX56" s="358"/>
      <c r="BY56" s="358">
        <v>1136.05</v>
      </c>
      <c r="BZ56" s="358">
        <v>3241.8939999999998</v>
      </c>
      <c r="CA56" s="358">
        <v>554.83000000000004</v>
      </c>
      <c r="CB56" s="363">
        <f t="shared" si="2"/>
        <v>8304.884</v>
      </c>
      <c r="CD56" s="358">
        <v>0</v>
      </c>
      <c r="CE56" s="358"/>
      <c r="CF56" s="358">
        <v>2.587739</v>
      </c>
      <c r="CG56" s="358">
        <v>839.63892229999999</v>
      </c>
      <c r="CH56" s="358">
        <v>1541.7955781000001</v>
      </c>
      <c r="CI56" s="358">
        <v>0</v>
      </c>
      <c r="CJ56" s="358"/>
      <c r="CK56" s="358">
        <v>980.82325179999987</v>
      </c>
      <c r="CL56" s="358">
        <v>2425.5237688999982</v>
      </c>
      <c r="CM56" s="358">
        <v>458.98606240000015</v>
      </c>
      <c r="CN56" s="363">
        <f t="shared" si="3"/>
        <v>6249.3553224999987</v>
      </c>
    </row>
    <row r="57" spans="1:92">
      <c r="A57" s="357">
        <v>41395</v>
      </c>
      <c r="B57" s="396">
        <v>0.05</v>
      </c>
      <c r="C57" s="396">
        <v>0.05</v>
      </c>
      <c r="D57" s="396">
        <v>0.05</v>
      </c>
      <c r="E57" s="396">
        <v>0.05</v>
      </c>
      <c r="F57" s="396">
        <v>2.5000000000000001E-2</v>
      </c>
      <c r="G57" s="399"/>
      <c r="H57" s="400">
        <v>0</v>
      </c>
      <c r="I57" s="15"/>
      <c r="J57" s="358">
        <f>' VVF Sales - PUC &amp; Non PUC'!$P$5</f>
        <v>0</v>
      </c>
      <c r="K57" s="358">
        <f>' VVF Sales - PUC &amp; Non PUC'!$P$6</f>
        <v>1045.8899999999999</v>
      </c>
      <c r="L57" s="358">
        <f>' VVF Sales - PUC &amp; Non PUC'!$P$7</f>
        <v>0</v>
      </c>
      <c r="M57" s="358">
        <f>' VVF Sales - PUC &amp; Non PUC'!$P$8</f>
        <v>100.12</v>
      </c>
      <c r="N57" s="358">
        <f>' VVF Sales - PUC &amp; Non PUC'!$P$9</f>
        <v>9</v>
      </c>
      <c r="O57" s="358">
        <f>' VVF Sales - PUC &amp; Non PUC'!$P$10</f>
        <v>156.29999999999998</v>
      </c>
      <c r="P57" s="358">
        <f>' VVF Sales - PUC &amp; Non PUC'!$P$11</f>
        <v>2.5</v>
      </c>
      <c r="Q57" s="363">
        <f t="shared" si="8"/>
        <v>1313.8099999999997</v>
      </c>
      <c r="S57" s="358">
        <f>' VVF Sales - PUC &amp; Non PUC'!$Q$5</f>
        <v>0</v>
      </c>
      <c r="T57" s="358">
        <f>' VVF Sales - PUC &amp; Non PUC'!$Q$6</f>
        <v>841.12019400000008</v>
      </c>
      <c r="U57" s="358">
        <f>' VVF Sales - PUC &amp; Non PUC'!$Q$7</f>
        <v>0</v>
      </c>
      <c r="V57" s="358">
        <f>' VVF Sales - PUC &amp; Non PUC'!$Q$8</f>
        <v>89.862399999999994</v>
      </c>
      <c r="W57" s="358">
        <f>' VVF Sales - PUC &amp; Non PUC'!$Q$9</f>
        <v>8.0488032999999994</v>
      </c>
      <c r="X57" s="358">
        <f>' VVF Sales - PUC &amp; Non PUC'!$Q$10</f>
        <v>114.08287940000001</v>
      </c>
      <c r="Y57" s="358">
        <f>' VVF Sales - PUC &amp; Non PUC'!$Q$11</f>
        <v>2.0385647999999996</v>
      </c>
      <c r="Z57" s="363">
        <f t="shared" si="10"/>
        <v>1055.1528415</v>
      </c>
      <c r="AB57" s="359">
        <f>' VVF Sales - PUC &amp; Non PUC'!$R$5</f>
        <v>0</v>
      </c>
      <c r="AC57" s="359">
        <f>' VVF Sales - PUC &amp; Non PUC'!$R$6</f>
        <v>871.68999999999994</v>
      </c>
      <c r="AD57" s="359">
        <f>' VVF Sales - PUC &amp; Non PUC'!$R$7</f>
        <v>0</v>
      </c>
      <c r="AE57" s="359">
        <f>' VVF Sales - PUC &amp; Non PUC'!$R$8</f>
        <v>43.15</v>
      </c>
      <c r="AF57" s="359">
        <f>' VVF Sales - PUC &amp; Non PUC'!$R$9</f>
        <v>0</v>
      </c>
      <c r="AG57" s="359">
        <f>' VVF Sales - PUC &amp; Non PUC'!$R$10</f>
        <v>43.9</v>
      </c>
      <c r="AH57" s="359">
        <f>' VVF Sales - PUC &amp; Non PUC'!$R$11</f>
        <v>0</v>
      </c>
      <c r="AI57" s="367">
        <f t="shared" si="9"/>
        <v>958.7399999999999</v>
      </c>
      <c r="AK57" s="359">
        <f>' VVF Sales - PUC &amp; Non PUC'!$S$5</f>
        <v>0</v>
      </c>
      <c r="AL57" s="359">
        <f>' VVF Sales - PUC &amp; Non PUC'!$S$6</f>
        <v>660.40367800000001</v>
      </c>
      <c r="AM57" s="359">
        <f>' VVF Sales - PUC &amp; Non PUC'!$S$7</f>
        <v>0</v>
      </c>
      <c r="AN57" s="359">
        <f>' VVF Sales - PUC &amp; Non PUC'!$S$8</f>
        <v>33.751930000000002</v>
      </c>
      <c r="AO57" s="359">
        <f>' VVF Sales - PUC &amp; Non PUC'!$S$9</f>
        <v>0</v>
      </c>
      <c r="AP57" s="359">
        <f>' VVF Sales - PUC &amp; Non PUC'!$S$10</f>
        <v>33.101500000000001</v>
      </c>
      <c r="AQ57" s="359">
        <f>' VVF Sales - PUC &amp; Non PUC'!$S$11</f>
        <v>0</v>
      </c>
      <c r="AR57" s="367">
        <f t="shared" si="11"/>
        <v>727.25710800000002</v>
      </c>
      <c r="AT57" s="358">
        <f>'Imports 2013-14'!D152</f>
        <v>0</v>
      </c>
      <c r="AU57" s="358">
        <f>'Imports 2013-14'!E152</f>
        <v>0</v>
      </c>
      <c r="AV57" s="358">
        <f>'Imports 2013-14'!F152</f>
        <v>24.54</v>
      </c>
      <c r="AW57" s="358">
        <f>'Imports 2013-14'!G152</f>
        <v>3400.0699999999997</v>
      </c>
      <c r="AX57" s="358">
        <f>'Imports 2013-14'!H152</f>
        <v>539.86</v>
      </c>
      <c r="AY57" s="358">
        <f>'Imports 2013-14'!I152</f>
        <v>249.42000000000002</v>
      </c>
      <c r="AZ57" s="358">
        <f>'Imports 2013-14'!J152</f>
        <v>0</v>
      </c>
      <c r="BA57" s="358">
        <f>'Imports 2013-14'!K152</f>
        <v>34.4</v>
      </c>
      <c r="BB57" s="358">
        <f>'Imports 2013-14'!L152</f>
        <v>12</v>
      </c>
      <c r="BC57" s="358">
        <f>'Imports 2013-14'!M152</f>
        <v>17.2</v>
      </c>
      <c r="BD57" s="363">
        <f>'Imports 2013-14'!N152</f>
        <v>4277.4899999999989</v>
      </c>
      <c r="BF57" s="358">
        <f>'Imports 2013-14'!S152/10^5</f>
        <v>0</v>
      </c>
      <c r="BG57" s="358">
        <f>'Imports 2013-14'!T152/10^5</f>
        <v>0</v>
      </c>
      <c r="BH57" s="358">
        <f>'Imports 2013-14'!U152/10^5</f>
        <v>24.079252399999998</v>
      </c>
      <c r="BI57" s="358">
        <f>'Imports 2013-14'!V152/10^5</f>
        <v>2590.3798400999995</v>
      </c>
      <c r="BJ57" s="358">
        <f>'Imports 2013-14'!W152/10^5</f>
        <v>394.43237799999997</v>
      </c>
      <c r="BK57" s="358">
        <f>'Imports 2013-14'!X152/10^5</f>
        <v>202.78265649999997</v>
      </c>
      <c r="BL57" s="358">
        <f>'Imports 2013-14'!Y152/10^5</f>
        <v>0</v>
      </c>
      <c r="BM57" s="358">
        <f>'Imports 2013-14'!Z152/10^5</f>
        <v>27.7066029</v>
      </c>
      <c r="BN57" s="358">
        <f>'Imports 2013-14'!AA152/10^5</f>
        <v>9.4054836000000002</v>
      </c>
      <c r="BO57" s="358">
        <f>'Imports 2013-14'!AB152/10^5</f>
        <v>12.9099094</v>
      </c>
      <c r="BP57" s="363">
        <f>'Imports 2013-14'!AC5/10^5</f>
        <v>3261.6961228999994</v>
      </c>
      <c r="BR57" s="358"/>
      <c r="BS57" s="358"/>
      <c r="BT57" s="358">
        <v>5.78</v>
      </c>
      <c r="BU57" s="358">
        <v>1430.92</v>
      </c>
      <c r="BV57" s="358">
        <v>826.22</v>
      </c>
      <c r="BW57" s="358">
        <v>96.54</v>
      </c>
      <c r="BX57" s="358"/>
      <c r="BY57" s="358">
        <v>917.52999999999986</v>
      </c>
      <c r="BZ57" s="358">
        <v>3149.6349999999998</v>
      </c>
      <c r="CA57" s="358">
        <v>542.32500000000005</v>
      </c>
      <c r="CB57" s="363">
        <f t="shared" si="2"/>
        <v>6968.95</v>
      </c>
      <c r="CD57" s="358">
        <v>0</v>
      </c>
      <c r="CE57" s="358"/>
      <c r="CF57" s="358">
        <v>7.6655944999999992</v>
      </c>
      <c r="CG57" s="358">
        <v>1034.5189891000002</v>
      </c>
      <c r="CH57" s="358">
        <v>579.75003160000006</v>
      </c>
      <c r="CI57" s="358">
        <v>73.742677900000004</v>
      </c>
      <c r="CJ57" s="358"/>
      <c r="CK57" s="358">
        <v>778.01011849999975</v>
      </c>
      <c r="CL57" s="358">
        <v>2337.8291595999999</v>
      </c>
      <c r="CM57" s="358">
        <v>456.00524230000002</v>
      </c>
      <c r="CN57" s="363">
        <f t="shared" si="3"/>
        <v>5267.5218134999996</v>
      </c>
    </row>
    <row r="58" spans="1:92">
      <c r="A58" s="357">
        <v>41426</v>
      </c>
      <c r="B58" s="396">
        <v>0.05</v>
      </c>
      <c r="C58" s="396">
        <v>0.05</v>
      </c>
      <c r="D58" s="396">
        <v>0.05</v>
      </c>
      <c r="E58" s="396">
        <v>0.05</v>
      </c>
      <c r="F58" s="396">
        <v>2.5000000000000001E-2</v>
      </c>
      <c r="G58" s="399"/>
      <c r="H58" s="400">
        <v>0</v>
      </c>
      <c r="I58" s="15"/>
      <c r="J58" s="358">
        <f>' VVF Sales - PUC &amp; Non PUC'!$AD$5</f>
        <v>0</v>
      </c>
      <c r="K58" s="358">
        <f>' VVF Sales - PUC &amp; Non PUC'!$AD$6</f>
        <v>694.55999999999972</v>
      </c>
      <c r="L58" s="358">
        <f>' VVF Sales - PUC &amp; Non PUC'!$AD$7</f>
        <v>4.99</v>
      </c>
      <c r="M58" s="358">
        <f>' VVF Sales - PUC &amp; Non PUC'!$AD$8</f>
        <v>62.489999999999995</v>
      </c>
      <c r="N58" s="358">
        <f>' VVF Sales - PUC &amp; Non PUC'!$AD$9</f>
        <v>4.7040000000000006</v>
      </c>
      <c r="O58" s="358">
        <f>' VVF Sales - PUC &amp; Non PUC'!$AD$10</f>
        <v>169.72500000000005</v>
      </c>
      <c r="P58" s="358">
        <f>' VVF Sales - PUC &amp; Non PUC'!$AD$11</f>
        <v>0</v>
      </c>
      <c r="Q58" s="363">
        <f t="shared" si="8"/>
        <v>936.46899999999971</v>
      </c>
      <c r="S58" s="358">
        <f>' VVF Sales - PUC &amp; Non PUC'!$AE$5</f>
        <v>0</v>
      </c>
      <c r="T58" s="358">
        <f>' VVF Sales - PUC &amp; Non PUC'!$AE$6</f>
        <v>559.68712600000003</v>
      </c>
      <c r="U58" s="358">
        <f>' VVF Sales - PUC &amp; Non PUC'!$AE$7</f>
        <v>4.1541021000000002</v>
      </c>
      <c r="V58" s="358">
        <f>' VVF Sales - PUC &amp; Non PUC'!$AE$8</f>
        <v>51.823398499999996</v>
      </c>
      <c r="W58" s="358">
        <f>' VVF Sales - PUC &amp; Non PUC'!$AE$9</f>
        <v>4.2055832999999998</v>
      </c>
      <c r="X58" s="358">
        <f>' VVF Sales - PUC &amp; Non PUC'!$AE$10</f>
        <v>127.0347155</v>
      </c>
      <c r="Y58" s="358">
        <f>' VVF Sales - PUC &amp; Non PUC'!$AE$11</f>
        <v>0</v>
      </c>
      <c r="Z58" s="363">
        <f t="shared" si="10"/>
        <v>746.90492539999991</v>
      </c>
      <c r="AB58" s="359">
        <f>' VVF Sales - PUC &amp; Non PUC'!$AF$5</f>
        <v>0</v>
      </c>
      <c r="AC58" s="359">
        <f>' VVF Sales - PUC &amp; Non PUC'!$AF$6</f>
        <v>1121.6999999999996</v>
      </c>
      <c r="AD58" s="359">
        <f>' VVF Sales - PUC &amp; Non PUC'!$AF$7</f>
        <v>0</v>
      </c>
      <c r="AE58" s="359">
        <f>' VVF Sales - PUC &amp; Non PUC'!$AF$8</f>
        <v>44.29</v>
      </c>
      <c r="AF58" s="359">
        <f>' VVF Sales - PUC &amp; Non PUC'!$AF$9</f>
        <v>0</v>
      </c>
      <c r="AG58" s="359">
        <f>' VVF Sales - PUC &amp; Non PUC'!$AF$10</f>
        <v>51.6</v>
      </c>
      <c r="AH58" s="359">
        <f>' VVF Sales - PUC &amp; Non PUC'!$AF$11</f>
        <v>0</v>
      </c>
      <c r="AI58" s="367">
        <f t="shared" si="9"/>
        <v>1217.5899999999995</v>
      </c>
      <c r="AK58" s="359">
        <f>' VVF Sales - PUC &amp; Non PUC'!$AG$5</f>
        <v>0</v>
      </c>
      <c r="AL58" s="359">
        <f>' VVF Sales - PUC &amp; Non PUC'!$AG$6</f>
        <v>914.77790040000002</v>
      </c>
      <c r="AM58" s="359">
        <f>' VVF Sales - PUC &amp; Non PUC'!$AG$7</f>
        <v>0</v>
      </c>
      <c r="AN58" s="359">
        <f>' VVF Sales - PUC &amp; Non PUC'!$AG$8</f>
        <v>36.098121599999999</v>
      </c>
      <c r="AO58" s="359">
        <f>' VVF Sales - PUC &amp; Non PUC'!$AG$9</f>
        <v>0</v>
      </c>
      <c r="AP58" s="359">
        <f>' VVF Sales - PUC &amp; Non PUC'!$AG$10</f>
        <v>38.882249999999999</v>
      </c>
      <c r="AQ58" s="359">
        <f>' VVF Sales - PUC &amp; Non PUC'!$AG$11</f>
        <v>0</v>
      </c>
      <c r="AR58" s="367">
        <f t="shared" si="11"/>
        <v>989.75827200000003</v>
      </c>
      <c r="AT58" s="358">
        <f>'Imports 2013-14'!D153</f>
        <v>0</v>
      </c>
      <c r="AU58" s="358">
        <f>'Imports 2013-14'!E153</f>
        <v>20.09</v>
      </c>
      <c r="AV58" s="358">
        <f>'Imports 2013-14'!F153</f>
        <v>119.11000000000001</v>
      </c>
      <c r="AW58" s="358">
        <f>'Imports 2013-14'!G153</f>
        <v>2534</v>
      </c>
      <c r="AX58" s="358">
        <f>'Imports 2013-14'!H153</f>
        <v>890.37999999999988</v>
      </c>
      <c r="AY58" s="358">
        <f>'Imports 2013-14'!I153</f>
        <v>137.62</v>
      </c>
      <c r="AZ58" s="358">
        <f>'Imports 2013-14'!J153</f>
        <v>0</v>
      </c>
      <c r="BA58" s="358">
        <f>'Imports 2013-14'!K153</f>
        <v>16.2</v>
      </c>
      <c r="BB58" s="358">
        <f>'Imports 2013-14'!L153</f>
        <v>0</v>
      </c>
      <c r="BC58" s="358">
        <f>'Imports 2013-14'!M153</f>
        <v>0</v>
      </c>
      <c r="BD58" s="363">
        <f>'Imports 2013-14'!N153</f>
        <v>3717.3999999999996</v>
      </c>
      <c r="BF58" s="358">
        <f>'Imports 2013-14'!S153/10^5</f>
        <v>0</v>
      </c>
      <c r="BG58" s="358">
        <f>'Imports 2013-14'!T153/10^5</f>
        <v>22.8232043</v>
      </c>
      <c r="BH58" s="358">
        <f>'Imports 2013-14'!U153/10^5</f>
        <v>102.8989675</v>
      </c>
      <c r="BI58" s="358">
        <f>'Imports 2013-14'!V153/10^5</f>
        <v>2016.8346264999998</v>
      </c>
      <c r="BJ58" s="358">
        <f>'Imports 2013-14'!W153/10^5</f>
        <v>698.29099450000001</v>
      </c>
      <c r="BK58" s="358">
        <f>'Imports 2013-14'!X153/10^5</f>
        <v>103.4442176</v>
      </c>
      <c r="BL58" s="358">
        <f>'Imports 2013-14'!Y153/10^5</f>
        <v>0</v>
      </c>
      <c r="BM58" s="358">
        <f>'Imports 2013-14'!Z153/10^5</f>
        <v>13.487605700000001</v>
      </c>
      <c r="BN58" s="358">
        <f>'Imports 2013-14'!AA153/10^5</f>
        <v>0</v>
      </c>
      <c r="BO58" s="358">
        <f>'Imports 2013-14'!AB153/10^5</f>
        <v>0</v>
      </c>
      <c r="BP58" s="363">
        <f>'Imports 2013-14'!AC6/10^5</f>
        <v>2957.7796161000001</v>
      </c>
      <c r="BR58" s="358"/>
      <c r="BS58" s="358"/>
      <c r="BT58" s="358"/>
      <c r="BU58" s="358">
        <v>4002.61</v>
      </c>
      <c r="BV58" s="358">
        <v>941.8399999999998</v>
      </c>
      <c r="BW58" s="358"/>
      <c r="BX58" s="358"/>
      <c r="BY58" s="358">
        <v>529.4</v>
      </c>
      <c r="BZ58" s="358">
        <v>2698.6850000000004</v>
      </c>
      <c r="CA58" s="358">
        <v>2.5</v>
      </c>
      <c r="CB58" s="363">
        <f t="shared" si="2"/>
        <v>8175.0349999999999</v>
      </c>
      <c r="CD58" s="358">
        <v>0</v>
      </c>
      <c r="CE58" s="358"/>
      <c r="CF58" s="358">
        <v>0</v>
      </c>
      <c r="CG58" s="358">
        <v>3115.7919030000003</v>
      </c>
      <c r="CH58" s="358">
        <v>711.88713959999995</v>
      </c>
      <c r="CI58" s="358">
        <v>0</v>
      </c>
      <c r="CJ58" s="358"/>
      <c r="CK58" s="358">
        <v>454.90600729999989</v>
      </c>
      <c r="CL58" s="358">
        <v>1967.9423723999998</v>
      </c>
      <c r="CM58" s="358">
        <v>2.2060745000000002</v>
      </c>
      <c r="CN58" s="363">
        <f t="shared" si="3"/>
        <v>6252.7334967999996</v>
      </c>
    </row>
    <row r="59" spans="1:92">
      <c r="A59" s="357">
        <v>41456</v>
      </c>
      <c r="B59" s="396">
        <v>0.05</v>
      </c>
      <c r="C59" s="396">
        <v>0.05</v>
      </c>
      <c r="D59" s="396">
        <v>0.05</v>
      </c>
      <c r="E59" s="396">
        <v>0.05</v>
      </c>
      <c r="F59" s="396">
        <v>2.5000000000000001E-2</v>
      </c>
      <c r="G59" s="399"/>
      <c r="H59" s="400">
        <v>0</v>
      </c>
      <c r="I59" s="15"/>
      <c r="J59" s="358">
        <f>' VVF Sales - PUC &amp; Non PUC'!$AR$5</f>
        <v>0</v>
      </c>
      <c r="K59" s="358">
        <f>' VVF Sales - PUC &amp; Non PUC'!$AR$6</f>
        <v>850.43999999999983</v>
      </c>
      <c r="L59" s="358">
        <f>' VVF Sales - PUC &amp; Non PUC'!$AR$7</f>
        <v>0</v>
      </c>
      <c r="M59" s="358">
        <f>' VVF Sales - PUC &amp; Non PUC'!$AR$8</f>
        <v>50.269999999999996</v>
      </c>
      <c r="N59" s="358">
        <f>' VVF Sales - PUC &amp; Non PUC'!$AR$9</f>
        <v>6.5</v>
      </c>
      <c r="O59" s="358">
        <f>' VVF Sales - PUC &amp; Non PUC'!$AR$10</f>
        <v>115.175</v>
      </c>
      <c r="P59" s="358">
        <f>' VVF Sales - PUC &amp; Non PUC'!$AR$11</f>
        <v>1</v>
      </c>
      <c r="Q59" s="363">
        <f t="shared" si="8"/>
        <v>1023.3849999999998</v>
      </c>
      <c r="S59" s="358">
        <f>' VVF Sales - PUC &amp; Non PUC'!$AS$5</f>
        <v>0</v>
      </c>
      <c r="T59" s="358">
        <f>' VVF Sales - PUC &amp; Non PUC'!$AS$6</f>
        <v>723.37609929999974</v>
      </c>
      <c r="U59" s="358">
        <f>' VVF Sales - PUC &amp; Non PUC'!$AS$7</f>
        <v>0</v>
      </c>
      <c r="V59" s="358">
        <f>' VVF Sales - PUC &amp; Non PUC'!$AS$8</f>
        <v>43.231595999999996</v>
      </c>
      <c r="W59" s="358">
        <f>' VVF Sales - PUC &amp; Non PUC'!$AS$9</f>
        <v>6.3177240000000001</v>
      </c>
      <c r="X59" s="358">
        <f>' VVF Sales - PUC &amp; Non PUC'!$AS$10</f>
        <v>87.349455000000006</v>
      </c>
      <c r="Y59" s="358">
        <f>' VVF Sales - PUC &amp; Non PUC'!$AS$11</f>
        <v>0.88</v>
      </c>
      <c r="Z59" s="363">
        <f t="shared" si="10"/>
        <v>861.15487429999973</v>
      </c>
      <c r="AB59" s="359">
        <f>' VVF Sales - PUC &amp; Non PUC'!$AT$5</f>
        <v>0</v>
      </c>
      <c r="AC59" s="359">
        <f>' VVF Sales - PUC &amp; Non PUC'!$AT$6</f>
        <v>256.07000000000005</v>
      </c>
      <c r="AD59" s="359">
        <f>' VVF Sales - PUC &amp; Non PUC'!$AT$7</f>
        <v>0</v>
      </c>
      <c r="AE59" s="359">
        <f>' VVF Sales - PUC &amp; Non PUC'!$AT$8</f>
        <v>59.49</v>
      </c>
      <c r="AF59" s="359">
        <f>' VVF Sales - PUC &amp; Non PUC'!$AT$9</f>
        <v>5</v>
      </c>
      <c r="AG59" s="359">
        <f>' VVF Sales - PUC &amp; Non PUC'!$AT$10</f>
        <v>33.954999999999998</v>
      </c>
      <c r="AH59" s="359">
        <f>' VVF Sales - PUC &amp; Non PUC'!$AT$11</f>
        <v>0</v>
      </c>
      <c r="AI59" s="367">
        <f t="shared" si="9"/>
        <v>354.51500000000004</v>
      </c>
      <c r="AK59" s="359">
        <f>' VVF Sales - PUC &amp; Non PUC'!$AU$5</f>
        <v>0</v>
      </c>
      <c r="AL59" s="359">
        <f>' VVF Sales - PUC &amp; Non PUC'!$AU$6</f>
        <v>210.56816499999999</v>
      </c>
      <c r="AM59" s="359">
        <f>' VVF Sales - PUC &amp; Non PUC'!$AU$7</f>
        <v>0</v>
      </c>
      <c r="AN59" s="359">
        <f>' VVF Sales - PUC &amp; Non PUC'!$AU$8</f>
        <v>60.084899999999998</v>
      </c>
      <c r="AO59" s="359">
        <f>' VVF Sales - PUC &amp; Non PUC'!$AU$9</f>
        <v>5.1860999999999997</v>
      </c>
      <c r="AP59" s="359">
        <f>' VVF Sales - PUC &amp; Non PUC'!$AU$10</f>
        <v>27.177399999999999</v>
      </c>
      <c r="AQ59" s="359">
        <f>' VVF Sales - PUC &amp; Non PUC'!$AU$11</f>
        <v>0</v>
      </c>
      <c r="AR59" s="367">
        <f t="shared" si="11"/>
        <v>303.01656499999996</v>
      </c>
      <c r="AT59" s="358">
        <f>'Imports 2013-14'!D154</f>
        <v>0</v>
      </c>
      <c r="AU59" s="358">
        <f>'Imports 2013-14'!E154</f>
        <v>0</v>
      </c>
      <c r="AV59" s="358">
        <f>'Imports 2013-14'!F154</f>
        <v>59.72</v>
      </c>
      <c r="AW59" s="358">
        <f>'Imports 2013-14'!G154</f>
        <v>3982.8900000000003</v>
      </c>
      <c r="AX59" s="358">
        <f>'Imports 2013-14'!H154</f>
        <v>897.92</v>
      </c>
      <c r="AY59" s="358">
        <f>'Imports 2013-14'!I154</f>
        <v>76.98</v>
      </c>
      <c r="AZ59" s="358">
        <f>'Imports 2013-14'!J154</f>
        <v>0</v>
      </c>
      <c r="BA59" s="358">
        <f>'Imports 2013-14'!K154</f>
        <v>33.200000000000003</v>
      </c>
      <c r="BB59" s="358">
        <f>'Imports 2013-14'!L154</f>
        <v>9.1999999999999993</v>
      </c>
      <c r="BC59" s="358">
        <f>'Imports 2013-14'!M154</f>
        <v>34</v>
      </c>
      <c r="BD59" s="363">
        <f>'Imports 2013-14'!N154</f>
        <v>5093.9099999999989</v>
      </c>
      <c r="BF59" s="358">
        <f>'Imports 2013-14'!S154/10^5</f>
        <v>0</v>
      </c>
      <c r="BG59" s="358">
        <f>'Imports 2013-14'!T154/10^5</f>
        <v>0</v>
      </c>
      <c r="BH59" s="358">
        <f>'Imports 2013-14'!U154/10^5</f>
        <v>53.572937000000003</v>
      </c>
      <c r="BI59" s="358">
        <f>'Imports 2013-14'!V154/10^5</f>
        <v>3370.1626670000005</v>
      </c>
      <c r="BJ59" s="358">
        <f>'Imports 2013-14'!W154/10^5</f>
        <v>735.79664650000007</v>
      </c>
      <c r="BK59" s="358">
        <f>'Imports 2013-14'!X154/10^5</f>
        <v>64.117678499999997</v>
      </c>
      <c r="BL59" s="358">
        <f>'Imports 2013-14'!Y154/10^5</f>
        <v>0</v>
      </c>
      <c r="BM59" s="358">
        <f>'Imports 2013-14'!Z154/10^5</f>
        <v>32.132864000000005</v>
      </c>
      <c r="BN59" s="358">
        <f>'Imports 2013-14'!AA154/10^5</f>
        <v>7.9033934000000006</v>
      </c>
      <c r="BO59" s="358">
        <f>'Imports 2013-14'!AB154/10^5</f>
        <v>29.134430200000001</v>
      </c>
      <c r="BP59" s="363">
        <f>'Imports 2013-14'!AC7/10^5</f>
        <v>4292.8206166</v>
      </c>
      <c r="BR59" s="358"/>
      <c r="BS59" s="358"/>
      <c r="BT59" s="358">
        <v>9.52</v>
      </c>
      <c r="BU59" s="358">
        <v>3870.3200000000006</v>
      </c>
      <c r="BV59" s="358">
        <v>690.96999999999991</v>
      </c>
      <c r="BW59" s="358">
        <v>95.55</v>
      </c>
      <c r="BX59" s="358"/>
      <c r="BY59" s="358">
        <v>898.93000000000006</v>
      </c>
      <c r="BZ59" s="358">
        <v>4001.17</v>
      </c>
      <c r="CA59" s="358">
        <v>525.62</v>
      </c>
      <c r="CB59" s="363">
        <f t="shared" si="2"/>
        <v>10092.080000000002</v>
      </c>
      <c r="CD59" s="358">
        <v>0</v>
      </c>
      <c r="CE59" s="358"/>
      <c r="CF59" s="358">
        <v>13.9587</v>
      </c>
      <c r="CG59" s="358">
        <v>3274.9783575000006</v>
      </c>
      <c r="CH59" s="358">
        <v>550.36183989999995</v>
      </c>
      <c r="CI59" s="358">
        <v>86.231446899999995</v>
      </c>
      <c r="CJ59" s="358"/>
      <c r="CK59" s="358">
        <v>841.32483139999965</v>
      </c>
      <c r="CL59" s="358">
        <v>3099.3619167999987</v>
      </c>
      <c r="CM59" s="358">
        <v>461.77276210000002</v>
      </c>
      <c r="CN59" s="363">
        <f t="shared" si="3"/>
        <v>8327.9898545999986</v>
      </c>
    </row>
    <row r="60" spans="1:92">
      <c r="A60" s="357">
        <v>41487</v>
      </c>
      <c r="B60" s="396">
        <v>0.05</v>
      </c>
      <c r="C60" s="396">
        <v>0.05</v>
      </c>
      <c r="D60" s="396">
        <v>0.05</v>
      </c>
      <c r="E60" s="396">
        <v>0.05</v>
      </c>
      <c r="F60" s="396">
        <v>2.5000000000000001E-2</v>
      </c>
      <c r="G60" s="399"/>
      <c r="H60" s="400">
        <v>0</v>
      </c>
      <c r="I60" s="15"/>
      <c r="J60" s="358">
        <f>' VVF Sales - PUC &amp; Non PUC'!$BF$5</f>
        <v>14.28</v>
      </c>
      <c r="K60" s="358">
        <f>' VVF Sales - PUC &amp; Non PUC'!$BF$6</f>
        <v>1997.9600000000003</v>
      </c>
      <c r="L60" s="358">
        <f>' VVF Sales - PUC &amp; Non PUC'!$BF$7</f>
        <v>4.8600000000000003</v>
      </c>
      <c r="M60" s="358">
        <f>' VVF Sales - PUC &amp; Non PUC'!$BF$8</f>
        <v>0</v>
      </c>
      <c r="N60" s="358">
        <f>' VVF Sales - PUC &amp; Non PUC'!$BF$9</f>
        <v>4</v>
      </c>
      <c r="O60" s="358">
        <f>' VVF Sales - PUC &amp; Non PUC'!$BF$10</f>
        <v>204.7</v>
      </c>
      <c r="P60" s="358">
        <f>' VVF Sales - PUC &amp; Non PUC'!$BF$11</f>
        <v>2</v>
      </c>
      <c r="Q60" s="363">
        <f t="shared" si="8"/>
        <v>2227.8000000000002</v>
      </c>
      <c r="S60" s="358">
        <f>' VVF Sales - PUC &amp; Non PUC'!$BG$5</f>
        <v>18.421199999999999</v>
      </c>
      <c r="T60" s="358">
        <f>' VVF Sales - PUC &amp; Non PUC'!$BG$6</f>
        <v>1693.7630246999997</v>
      </c>
      <c r="U60" s="358">
        <f>' VVF Sales - PUC &amp; Non PUC'!$BG$7</f>
        <v>4.9899174999999998</v>
      </c>
      <c r="V60" s="358">
        <f>' VVF Sales - PUC &amp; Non PUC'!$BG$8</f>
        <v>0</v>
      </c>
      <c r="W60" s="358">
        <f>' VVF Sales - PUC &amp; Non PUC'!$BG$9</f>
        <v>3.9140443999999999</v>
      </c>
      <c r="X60" s="358">
        <f>' VVF Sales - PUC &amp; Non PUC'!$BG$10</f>
        <v>169.8600485</v>
      </c>
      <c r="Y60" s="358">
        <f>' VVF Sales - PUC &amp; Non PUC'!$BG$11</f>
        <v>1.7651486999999999</v>
      </c>
      <c r="Z60" s="363">
        <f t="shared" si="10"/>
        <v>1892.7133837999997</v>
      </c>
      <c r="AB60" s="359">
        <f>' VVF Sales - PUC &amp; Non PUC'!$BH$5</f>
        <v>0</v>
      </c>
      <c r="AC60" s="359">
        <f>' VVF Sales - PUC &amp; Non PUC'!$BH$6</f>
        <v>136.28</v>
      </c>
      <c r="AD60" s="359">
        <f>' VVF Sales - PUC &amp; Non PUC'!$BH$7</f>
        <v>0</v>
      </c>
      <c r="AE60" s="359">
        <f>' VVF Sales - PUC &amp; Non PUC'!$BH$8</f>
        <v>0</v>
      </c>
      <c r="AF60" s="359">
        <f>' VVF Sales - PUC &amp; Non PUC'!$BH$9</f>
        <v>0</v>
      </c>
      <c r="AG60" s="359">
        <f>' VVF Sales - PUC &amp; Non PUC'!$BH$10</f>
        <v>60.231000000000002</v>
      </c>
      <c r="AH60" s="359">
        <f>' VVF Sales - PUC &amp; Non PUC'!$BH$11</f>
        <v>0</v>
      </c>
      <c r="AI60" s="367">
        <f t="shared" si="9"/>
        <v>196.511</v>
      </c>
      <c r="AK60" s="359">
        <f>' VVF Sales - PUC &amp; Non PUC'!$BI$5</f>
        <v>0</v>
      </c>
      <c r="AL60" s="359">
        <f>' VVF Sales - PUC &amp; Non PUC'!$BI$6</f>
        <v>126.1223952</v>
      </c>
      <c r="AM60" s="359">
        <f>' VVF Sales - PUC &amp; Non PUC'!$BI$7</f>
        <v>0</v>
      </c>
      <c r="AN60" s="359">
        <f>' VVF Sales - PUC &amp; Non PUC'!$BI$8</f>
        <v>0</v>
      </c>
      <c r="AO60" s="359">
        <f>' VVF Sales - PUC &amp; Non PUC'!$BI$9</f>
        <v>0</v>
      </c>
      <c r="AP60" s="359">
        <f>' VVF Sales - PUC &amp; Non PUC'!$BI$10</f>
        <v>50.369230000000002</v>
      </c>
      <c r="AQ60" s="359">
        <f>' VVF Sales - PUC &amp; Non PUC'!$BI$11</f>
        <v>0</v>
      </c>
      <c r="AR60" s="367">
        <f t="shared" si="11"/>
        <v>176.49162519999999</v>
      </c>
      <c r="AT60" s="358">
        <f>'Imports 2013-14'!D155</f>
        <v>0</v>
      </c>
      <c r="AU60" s="358">
        <f>'Imports 2013-14'!E155</f>
        <v>0</v>
      </c>
      <c r="AV60" s="358">
        <f>'Imports 2013-14'!F155</f>
        <v>39.590000000000003</v>
      </c>
      <c r="AW60" s="358">
        <f>'Imports 2013-14'!G155</f>
        <v>3252.4500000000007</v>
      </c>
      <c r="AX60" s="358">
        <f>'Imports 2013-14'!H155</f>
        <v>1094.5899999999999</v>
      </c>
      <c r="AY60" s="358">
        <f>'Imports 2013-14'!I155</f>
        <v>0</v>
      </c>
      <c r="AZ60" s="358">
        <f>'Imports 2013-14'!J155</f>
        <v>0</v>
      </c>
      <c r="BA60" s="358">
        <f>'Imports 2013-14'!K155</f>
        <v>16.2</v>
      </c>
      <c r="BB60" s="358">
        <f>'Imports 2013-14'!L155</f>
        <v>0</v>
      </c>
      <c r="BC60" s="358">
        <f>'Imports 2013-14'!M155</f>
        <v>48.599999999999994</v>
      </c>
      <c r="BD60" s="363">
        <f>'Imports 2013-14'!N155</f>
        <v>4451.4300000000012</v>
      </c>
      <c r="BF60" s="358">
        <f>'Imports 2013-14'!S155/10^5</f>
        <v>0</v>
      </c>
      <c r="BG60" s="358">
        <f>'Imports 2013-14'!T155/10^5</f>
        <v>0</v>
      </c>
      <c r="BH60" s="358">
        <f>'Imports 2013-14'!U155/10^5</f>
        <v>35.741538300000002</v>
      </c>
      <c r="BI60" s="358">
        <f>'Imports 2013-14'!V155/10^5</f>
        <v>2964.3255826999998</v>
      </c>
      <c r="BJ60" s="358">
        <f>'Imports 2013-14'!W155/10^5</f>
        <v>993.24228419999997</v>
      </c>
      <c r="BK60" s="358">
        <f>'Imports 2013-14'!X155/10^5</f>
        <v>0</v>
      </c>
      <c r="BL60" s="358">
        <f>'Imports 2013-14'!Y155/10^5</f>
        <v>0</v>
      </c>
      <c r="BM60" s="358">
        <f>'Imports 2013-14'!Z155/10^5</f>
        <v>14.1519029</v>
      </c>
      <c r="BN60" s="358">
        <f>'Imports 2013-14'!AA155/10^5</f>
        <v>0</v>
      </c>
      <c r="BO60" s="358">
        <f>'Imports 2013-14'!AB155/10^5</f>
        <v>40.434306200000002</v>
      </c>
      <c r="BP60" s="363">
        <f>'Imports 2013-14'!AC8/10^5</f>
        <v>4047.8956142999996</v>
      </c>
      <c r="BR60" s="358"/>
      <c r="BS60" s="358"/>
      <c r="BT60" s="358">
        <v>27.71</v>
      </c>
      <c r="BU60" s="358">
        <v>2547.2800000000002</v>
      </c>
      <c r="BV60" s="358">
        <v>571.18999999999994</v>
      </c>
      <c r="BW60" s="358">
        <v>95.830000000000013</v>
      </c>
      <c r="BX60" s="358"/>
      <c r="BY60" s="358">
        <v>536.84655999999995</v>
      </c>
      <c r="BZ60" s="358">
        <v>3020.6116300000003</v>
      </c>
      <c r="CA60" s="358">
        <v>464</v>
      </c>
      <c r="CB60" s="363">
        <f t="shared" si="2"/>
        <v>7263.4681900000005</v>
      </c>
      <c r="CD60" s="358">
        <v>0</v>
      </c>
      <c r="CE60" s="358"/>
      <c r="CF60" s="358">
        <v>33.9231555</v>
      </c>
      <c r="CG60" s="358">
        <v>2595.8727959999997</v>
      </c>
      <c r="CH60" s="358">
        <v>553.2791909</v>
      </c>
      <c r="CI60" s="358">
        <v>89.540183599999992</v>
      </c>
      <c r="CJ60" s="358"/>
      <c r="CK60" s="358">
        <v>539.38285469999983</v>
      </c>
      <c r="CL60" s="358">
        <v>2548.2330300999993</v>
      </c>
      <c r="CM60" s="358">
        <v>436.02462289999994</v>
      </c>
      <c r="CN60" s="363">
        <f t="shared" si="3"/>
        <v>6796.2558336999991</v>
      </c>
    </row>
    <row r="61" spans="1:92">
      <c r="A61" s="357">
        <v>41518</v>
      </c>
      <c r="B61" s="396">
        <v>0.05</v>
      </c>
      <c r="C61" s="396">
        <v>0.05</v>
      </c>
      <c r="D61" s="396">
        <v>0.05</v>
      </c>
      <c r="E61" s="396">
        <v>0.05</v>
      </c>
      <c r="F61" s="396">
        <v>2.5000000000000001E-2</v>
      </c>
      <c r="G61" s="399"/>
      <c r="H61" s="400">
        <v>0</v>
      </c>
      <c r="I61" s="15"/>
      <c r="J61" s="358">
        <f>' VVF Sales - PUC &amp; Non PUC'!$BT$5</f>
        <v>0</v>
      </c>
      <c r="K61" s="358">
        <f>' VVF Sales - PUC &amp; Non PUC'!$BT$6</f>
        <v>1380.5199999999993</v>
      </c>
      <c r="L61" s="358">
        <f>' VVF Sales - PUC &amp; Non PUC'!$BT$7</f>
        <v>4.9400000000000004</v>
      </c>
      <c r="M61" s="358">
        <f>' VVF Sales - PUC &amp; Non PUC'!$BT$8</f>
        <v>128.19999999999999</v>
      </c>
      <c r="N61" s="358">
        <f>' VVF Sales - PUC &amp; Non PUC'!$BT$9</f>
        <v>7.85</v>
      </c>
      <c r="O61" s="358">
        <f>' VVF Sales - PUC &amp; Non PUC'!$BT$10</f>
        <v>117</v>
      </c>
      <c r="P61" s="358">
        <f>' VVF Sales - PUC &amp; Non PUC'!$BT$11</f>
        <v>0</v>
      </c>
      <c r="Q61" s="363">
        <f t="shared" si="8"/>
        <v>1638.5099999999993</v>
      </c>
      <c r="S61" s="358">
        <f>' VVF Sales - PUC &amp; Non PUC'!$BU$5</f>
        <v>0</v>
      </c>
      <c r="T61" s="358">
        <f>' VVF Sales - PUC &amp; Non PUC'!$BU$6</f>
        <v>1173.8759986000002</v>
      </c>
      <c r="U61" s="358">
        <f>' VVF Sales - PUC &amp; Non PUC'!$BU$7</f>
        <v>5.3005271</v>
      </c>
      <c r="V61" s="358">
        <f>' VVF Sales - PUC &amp; Non PUC'!$BU$8</f>
        <v>128.79252339999999</v>
      </c>
      <c r="W61" s="358">
        <f>' VVF Sales - PUC &amp; Non PUC'!$BU$9</f>
        <v>8.7240979999999997</v>
      </c>
      <c r="X61" s="358">
        <f>' VVF Sales - PUC &amp; Non PUC'!$BU$10</f>
        <v>101.87687949999999</v>
      </c>
      <c r="Y61" s="358">
        <f>' VVF Sales - PUC &amp; Non PUC'!$BU$11</f>
        <v>0</v>
      </c>
      <c r="Z61" s="363">
        <f t="shared" si="10"/>
        <v>1418.5700266000001</v>
      </c>
      <c r="AB61" s="359">
        <f>' VVF Sales - PUC &amp; Non PUC'!$BV$5</f>
        <v>0</v>
      </c>
      <c r="AC61" s="359">
        <f>' VVF Sales - PUC &amp; Non PUC'!$BV$6</f>
        <v>938.44999999999993</v>
      </c>
      <c r="AD61" s="359">
        <f>' VVF Sales - PUC &amp; Non PUC'!$BV$7</f>
        <v>0</v>
      </c>
      <c r="AE61" s="359">
        <f>' VVF Sales - PUC &amp; Non PUC'!$BV$8</f>
        <v>0</v>
      </c>
      <c r="AF61" s="359">
        <f>' VVF Sales - PUC &amp; Non PUC'!$BV$9</f>
        <v>0</v>
      </c>
      <c r="AG61" s="359">
        <f>' VVF Sales - PUC &amp; Non PUC'!$BV$10</f>
        <v>62.424999999999997</v>
      </c>
      <c r="AH61" s="359">
        <f>' VVF Sales - PUC &amp; Non PUC'!$BV$11</f>
        <v>0.75</v>
      </c>
      <c r="AI61" s="367">
        <f t="shared" si="9"/>
        <v>1001.6249999999999</v>
      </c>
      <c r="AK61" s="359">
        <f>' VVF Sales - PUC &amp; Non PUC'!$BW$5</f>
        <v>0</v>
      </c>
      <c r="AL61" s="359">
        <f>' VVF Sales - PUC &amp; Non PUC'!$BW$6</f>
        <v>911.76422089999971</v>
      </c>
      <c r="AM61" s="359">
        <f>' VVF Sales - PUC &amp; Non PUC'!$BW$7</f>
        <v>0</v>
      </c>
      <c r="AN61" s="359">
        <f>' VVF Sales - PUC &amp; Non PUC'!$BW$8</f>
        <v>0</v>
      </c>
      <c r="AO61" s="359">
        <f>' VVF Sales - PUC &amp; Non PUC'!$BW$9</f>
        <v>0</v>
      </c>
      <c r="AP61" s="359">
        <f>' VVF Sales - PUC &amp; Non PUC'!$BW$10</f>
        <v>52.442749999999997</v>
      </c>
      <c r="AQ61" s="359">
        <f>' VVF Sales - PUC &amp; Non PUC'!$BW$11</f>
        <v>0.73124999999999996</v>
      </c>
      <c r="AR61" s="367">
        <f t="shared" si="11"/>
        <v>964.93822089999981</v>
      </c>
      <c r="AT61" s="358">
        <f>'Imports 2013-14'!D156</f>
        <v>19.760000000000002</v>
      </c>
      <c r="AU61" s="358">
        <f>'Imports 2013-14'!E156</f>
        <v>0</v>
      </c>
      <c r="AV61" s="358">
        <f>'Imports 2013-14'!F156</f>
        <v>8.33</v>
      </c>
      <c r="AW61" s="358">
        <f>'Imports 2013-14'!G156</f>
        <v>2585.4199999999996</v>
      </c>
      <c r="AX61" s="358">
        <f>'Imports 2013-14'!H156</f>
        <v>1375.090005</v>
      </c>
      <c r="AY61" s="358">
        <f>'Imports 2013-14'!I156</f>
        <v>230.16</v>
      </c>
      <c r="AZ61" s="358">
        <f>'Imports 2013-14'!J156</f>
        <v>0</v>
      </c>
      <c r="BA61" s="358">
        <f>'Imports 2013-14'!K156</f>
        <v>0</v>
      </c>
      <c r="BB61" s="358">
        <f>'Imports 2013-14'!L156</f>
        <v>6</v>
      </c>
      <c r="BC61" s="358">
        <f>'Imports 2013-14'!M156</f>
        <v>64.400000000000006</v>
      </c>
      <c r="BD61" s="363">
        <f>'Imports 2013-14'!N156</f>
        <v>4289.1600049999997</v>
      </c>
      <c r="BF61" s="358">
        <f>'Imports 2013-14'!S156/10^5</f>
        <v>29.998574900000001</v>
      </c>
      <c r="BG61" s="358">
        <f>'Imports 2013-14'!T156/10^5</f>
        <v>0</v>
      </c>
      <c r="BH61" s="358">
        <f>'Imports 2013-14'!U156/10^5</f>
        <v>10.253940699999999</v>
      </c>
      <c r="BI61" s="358">
        <f>'Imports 2013-14'!V156/10^5</f>
        <v>2438.8943108000003</v>
      </c>
      <c r="BJ61" s="358">
        <f>'Imports 2013-14'!W156/10^5</f>
        <v>1334.6181973999999</v>
      </c>
      <c r="BK61" s="358">
        <f>'Imports 2013-14'!X156/10^5</f>
        <v>246.17673280000002</v>
      </c>
      <c r="BL61" s="358">
        <f>'Imports 2013-14'!Y156/10^5</f>
        <v>0</v>
      </c>
      <c r="BM61" s="358">
        <f>'Imports 2013-14'!Z156/10^5</f>
        <v>0</v>
      </c>
      <c r="BN61" s="358">
        <f>'Imports 2013-14'!AA156/10^5</f>
        <v>5.7561651999999999</v>
      </c>
      <c r="BO61" s="358">
        <f>'Imports 2013-14'!AB156/10^5</f>
        <v>59.283906400000006</v>
      </c>
      <c r="BP61" s="363">
        <f>'Imports 2013-14'!AC9/10^5</f>
        <v>4133.9141642000004</v>
      </c>
      <c r="BR61" s="358"/>
      <c r="BS61" s="358"/>
      <c r="BT61" s="358">
        <v>13.94</v>
      </c>
      <c r="BU61" s="358">
        <v>2392.35</v>
      </c>
      <c r="BV61" s="358">
        <v>487.44</v>
      </c>
      <c r="BW61" s="358">
        <v>151.78</v>
      </c>
      <c r="BX61" s="358"/>
      <c r="BY61" s="358">
        <v>1042.1699999999998</v>
      </c>
      <c r="BZ61" s="358">
        <v>3312.1949999999993</v>
      </c>
      <c r="CA61" s="358">
        <v>402.6</v>
      </c>
      <c r="CB61" s="363">
        <f t="shared" si="2"/>
        <v>7802.4750000000004</v>
      </c>
      <c r="CD61" s="358">
        <v>0</v>
      </c>
      <c r="CE61" s="358"/>
      <c r="CF61" s="358">
        <v>23.017066499999999</v>
      </c>
      <c r="CG61" s="358">
        <v>2399.1832227999998</v>
      </c>
      <c r="CH61" s="358">
        <v>521.06501500000002</v>
      </c>
      <c r="CI61" s="358">
        <v>134.11811109999999</v>
      </c>
      <c r="CJ61" s="358"/>
      <c r="CK61" s="358">
        <v>1075.3105981000001</v>
      </c>
      <c r="CL61" s="358">
        <v>2961.065922700001</v>
      </c>
      <c r="CM61" s="358">
        <v>404.93049830000007</v>
      </c>
      <c r="CN61" s="363">
        <f t="shared" si="3"/>
        <v>7518.6904345000021</v>
      </c>
    </row>
    <row r="62" spans="1:92">
      <c r="A62" s="357">
        <v>41548</v>
      </c>
      <c r="B62" s="396">
        <v>0.05</v>
      </c>
      <c r="C62" s="396">
        <v>0.05</v>
      </c>
      <c r="D62" s="396">
        <v>0.05</v>
      </c>
      <c r="E62" s="396">
        <v>0.05</v>
      </c>
      <c r="F62" s="396">
        <v>2.5000000000000001E-2</v>
      </c>
      <c r="G62" s="399"/>
      <c r="H62" s="400">
        <v>0</v>
      </c>
      <c r="I62" s="15"/>
      <c r="J62" s="358">
        <f>' VVF Sales - PUC &amp; Non PUC'!$CH$5</f>
        <v>0</v>
      </c>
      <c r="K62" s="358">
        <f>' VVF Sales - PUC &amp; Non PUC'!$CH$6</f>
        <v>1022.9199999999997</v>
      </c>
      <c r="L62" s="358">
        <f>' VVF Sales - PUC &amp; Non PUC'!$CH$7</f>
        <v>0</v>
      </c>
      <c r="M62" s="358">
        <f>' VVF Sales - PUC &amp; Non PUC'!$CH$8</f>
        <v>50.67</v>
      </c>
      <c r="N62" s="358">
        <f>' VVF Sales - PUC &amp; Non PUC'!$CH$9</f>
        <v>10</v>
      </c>
      <c r="O62" s="358">
        <f>' VVF Sales - PUC &amp; Non PUC'!$CH$10</f>
        <v>151.19999999999999</v>
      </c>
      <c r="P62" s="358">
        <f>' VVF Sales - PUC &amp; Non PUC'!$CH$11</f>
        <v>0.2</v>
      </c>
      <c r="Q62" s="363">
        <f t="shared" si="8"/>
        <v>1234.9899999999998</v>
      </c>
      <c r="S62" s="358">
        <f>' VVF Sales - PUC &amp; Non PUC'!$CI$5</f>
        <v>0</v>
      </c>
      <c r="T62" s="358">
        <f>' VVF Sales - PUC &amp; Non PUC'!$CI$6</f>
        <v>935.17129159999979</v>
      </c>
      <c r="U62" s="358">
        <f>' VVF Sales - PUC &amp; Non PUC'!$CI$7</f>
        <v>0</v>
      </c>
      <c r="V62" s="358">
        <f>' VVF Sales - PUC &amp; Non PUC'!$CI$8</f>
        <v>48.189496200000001</v>
      </c>
      <c r="W62" s="358">
        <f>' VVF Sales - PUC &amp; Non PUC'!$CI$9</f>
        <v>10.9424668</v>
      </c>
      <c r="X62" s="358">
        <f>' VVF Sales - PUC &amp; Non PUC'!$CI$10</f>
        <v>131.0067209</v>
      </c>
      <c r="Y62" s="358">
        <f>' VVF Sales - PUC &amp; Non PUC'!$CI$11</f>
        <v>0.18994630000000001</v>
      </c>
      <c r="Z62" s="363">
        <f t="shared" si="10"/>
        <v>1125.4999217999998</v>
      </c>
      <c r="AB62" s="359">
        <f>' VVF Sales - PUC &amp; Non PUC'!$CJ$5</f>
        <v>0</v>
      </c>
      <c r="AC62" s="359">
        <f>' VVF Sales - PUC &amp; Non PUC'!$CJ$6</f>
        <v>728.84999999999991</v>
      </c>
      <c r="AD62" s="359">
        <f>' VVF Sales - PUC &amp; Non PUC'!$CJ$7</f>
        <v>0</v>
      </c>
      <c r="AE62" s="359">
        <f>' VVF Sales - PUC &amp; Non PUC'!$CJ$8</f>
        <v>0</v>
      </c>
      <c r="AF62" s="359">
        <f>' VVF Sales - PUC &amp; Non PUC'!$CJ$9</f>
        <v>0</v>
      </c>
      <c r="AG62" s="359">
        <f>' VVF Sales - PUC &amp; Non PUC'!$CJ$10</f>
        <v>34.5</v>
      </c>
      <c r="AH62" s="359">
        <f>' VVF Sales - PUC &amp; Non PUC'!$CJ$11</f>
        <v>3.5</v>
      </c>
      <c r="AI62" s="367">
        <f t="shared" si="9"/>
        <v>766.84999999999991</v>
      </c>
      <c r="AK62" s="359">
        <f>' VVF Sales - PUC &amp; Non PUC'!$CK$5</f>
        <v>0</v>
      </c>
      <c r="AL62" s="359">
        <f>' VVF Sales - PUC &amp; Non PUC'!$CK$6</f>
        <v>683.51391740000008</v>
      </c>
      <c r="AM62" s="359">
        <f>' VVF Sales - PUC &amp; Non PUC'!$CK$7</f>
        <v>0</v>
      </c>
      <c r="AN62" s="359">
        <f>' VVF Sales - PUC &amp; Non PUC'!$CK$8</f>
        <v>0</v>
      </c>
      <c r="AO62" s="359">
        <f>' VVF Sales - PUC &amp; Non PUC'!$CK$9</f>
        <v>0</v>
      </c>
      <c r="AP62" s="359">
        <f>' VVF Sales - PUC &amp; Non PUC'!$CK$10</f>
        <v>29.61</v>
      </c>
      <c r="AQ62" s="359">
        <f>' VVF Sales - PUC &amp; Non PUC'!$CK$11</f>
        <v>3.22</v>
      </c>
      <c r="AR62" s="367">
        <f t="shared" si="11"/>
        <v>716.34391740000012</v>
      </c>
      <c r="AT62" s="358">
        <f>'Imports 2013-14'!D157</f>
        <v>0</v>
      </c>
      <c r="AU62" s="358">
        <f>'Imports 2013-14'!E157</f>
        <v>0</v>
      </c>
      <c r="AV62" s="358">
        <f>'Imports 2013-14'!F157</f>
        <v>38.53</v>
      </c>
      <c r="AW62" s="358">
        <f>'Imports 2013-14'!G157</f>
        <v>3324.2399999999993</v>
      </c>
      <c r="AX62" s="358">
        <f>'Imports 2013-14'!H157</f>
        <v>934.08</v>
      </c>
      <c r="AY62" s="358">
        <f>'Imports 2013-14'!I157</f>
        <v>190.01007000000001</v>
      </c>
      <c r="AZ62" s="358">
        <f>'Imports 2013-14'!J157</f>
        <v>0</v>
      </c>
      <c r="BA62" s="358">
        <f>'Imports 2013-14'!K157</f>
        <v>0</v>
      </c>
      <c r="BB62" s="358">
        <f>'Imports 2013-14'!L157</f>
        <v>0</v>
      </c>
      <c r="BC62" s="358">
        <f>'Imports 2013-14'!M157</f>
        <v>0</v>
      </c>
      <c r="BD62" s="363">
        <f>'Imports 2013-14'!N157</f>
        <v>4486.8600699999997</v>
      </c>
      <c r="BF62" s="358">
        <f>'Imports 2013-14'!S157/10^5</f>
        <v>0</v>
      </c>
      <c r="BG62" s="358">
        <f>'Imports 2013-14'!T157/10^5</f>
        <v>0</v>
      </c>
      <c r="BH62" s="358">
        <f>'Imports 2013-14'!U157/10^5</f>
        <v>39.949452100000002</v>
      </c>
      <c r="BI62" s="358">
        <f>'Imports 2013-14'!V157/10^5</f>
        <v>3147.7611461000001</v>
      </c>
      <c r="BJ62" s="358">
        <f>'Imports 2013-14'!W157/10^5</f>
        <v>845.05923640000003</v>
      </c>
      <c r="BK62" s="358">
        <f>'Imports 2013-14'!X157/10^5</f>
        <v>177.2335578</v>
      </c>
      <c r="BL62" s="358">
        <f>'Imports 2013-14'!Y157/10^5</f>
        <v>0</v>
      </c>
      <c r="BM62" s="358">
        <f>'Imports 2013-14'!Z157/10^5</f>
        <v>0</v>
      </c>
      <c r="BN62" s="358">
        <f>'Imports 2013-14'!AA157/10^5</f>
        <v>0</v>
      </c>
      <c r="BO62" s="358">
        <f>'Imports 2013-14'!AB157/10^5</f>
        <v>0</v>
      </c>
      <c r="BP62" s="363">
        <f>'Imports 2013-14'!AC10/10^5</f>
        <v>4210.0033923999999</v>
      </c>
      <c r="BR62" s="358"/>
      <c r="BS62" s="358"/>
      <c r="BT62" s="358"/>
      <c r="BU62" s="358">
        <v>2976.33</v>
      </c>
      <c r="BV62" s="358">
        <v>531.12</v>
      </c>
      <c r="BW62" s="358"/>
      <c r="BX62" s="358"/>
      <c r="BY62" s="358">
        <v>622.61900000000014</v>
      </c>
      <c r="BZ62" s="358">
        <v>2964.7199999999993</v>
      </c>
      <c r="CA62" s="358">
        <v>481.18</v>
      </c>
      <c r="CB62" s="363">
        <f t="shared" si="2"/>
        <v>7575.9689999999991</v>
      </c>
      <c r="CD62" s="358">
        <v>0</v>
      </c>
      <c r="CE62" s="358"/>
      <c r="CF62" s="358">
        <v>0</v>
      </c>
      <c r="CG62" s="358">
        <v>2749.8151661999996</v>
      </c>
      <c r="CH62" s="358">
        <v>469.2429376</v>
      </c>
      <c r="CI62" s="358">
        <v>0</v>
      </c>
      <c r="CJ62" s="358"/>
      <c r="CK62" s="358">
        <v>604.00548739999999</v>
      </c>
      <c r="CL62" s="358">
        <v>2570.6863649000011</v>
      </c>
      <c r="CM62" s="358">
        <v>459.61556339999987</v>
      </c>
      <c r="CN62" s="363">
        <f t="shared" si="3"/>
        <v>6853.3655195000001</v>
      </c>
    </row>
    <row r="63" spans="1:92">
      <c r="A63" s="357">
        <v>41579</v>
      </c>
      <c r="B63" s="396">
        <v>0.05</v>
      </c>
      <c r="C63" s="396">
        <v>0.05</v>
      </c>
      <c r="D63" s="396">
        <v>0.05</v>
      </c>
      <c r="E63" s="396">
        <v>0.05</v>
      </c>
      <c r="F63" s="396">
        <v>2.5000000000000001E-2</v>
      </c>
      <c r="G63" s="399"/>
      <c r="H63" s="400">
        <v>0</v>
      </c>
      <c r="I63" s="15"/>
      <c r="J63" s="358">
        <f>' VVF Sales - PUC &amp; Non PUC'!$CV$5</f>
        <v>1.7</v>
      </c>
      <c r="K63" s="358">
        <f>' VVF Sales - PUC &amp; Non PUC'!$CV$6</f>
        <v>1112.31</v>
      </c>
      <c r="L63" s="358">
        <f>' VVF Sales - PUC &amp; Non PUC'!$CV$7</f>
        <v>4.9800000000000004</v>
      </c>
      <c r="M63" s="358">
        <f>' VVF Sales - PUC &amp; Non PUC'!$CV$8</f>
        <v>118.74</v>
      </c>
      <c r="N63" s="358">
        <f>' VVF Sales - PUC &amp; Non PUC'!$CV$9</f>
        <v>6.5</v>
      </c>
      <c r="O63" s="358">
        <f>' VVF Sales - PUC &amp; Non PUC'!$CV$10</f>
        <v>173.8</v>
      </c>
      <c r="P63" s="358">
        <f>' VVF Sales - PUC &amp; Non PUC'!$CV$11</f>
        <v>0.6</v>
      </c>
      <c r="Q63" s="363">
        <f t="shared" si="8"/>
        <v>1418.6299999999999</v>
      </c>
      <c r="S63" s="358">
        <f>' VVF Sales - PUC &amp; Non PUC'!$CW$5</f>
        <v>2.1930000000000001</v>
      </c>
      <c r="T63" s="358">
        <f>' VVF Sales - PUC &amp; Non PUC'!$CW$6</f>
        <v>1041.2778980000003</v>
      </c>
      <c r="U63" s="358">
        <f>' VVF Sales - PUC &amp; Non PUC'!$CW$7</f>
        <v>6.0804733999999998</v>
      </c>
      <c r="V63" s="358">
        <f>' VVF Sales - PUC &amp; Non PUC'!$CW$8</f>
        <v>110.16556220000001</v>
      </c>
      <c r="W63" s="358">
        <f>' VVF Sales - PUC &amp; Non PUC'!$CW$9</f>
        <v>7.1085950000000002</v>
      </c>
      <c r="X63" s="358">
        <f>' VVF Sales - PUC &amp; Non PUC'!$CW$10</f>
        <v>144.52319900000001</v>
      </c>
      <c r="Y63" s="358">
        <f>' VVF Sales - PUC &amp; Non PUC'!$CW$11</f>
        <v>0.57559480000000007</v>
      </c>
      <c r="Z63" s="363">
        <f t="shared" si="10"/>
        <v>1311.9243224000004</v>
      </c>
      <c r="AB63" s="359">
        <f>' VVF Sales - PUC &amp; Non PUC'!$CX$5</f>
        <v>0</v>
      </c>
      <c r="AC63" s="359">
        <f>' VVF Sales - PUC &amp; Non PUC'!$CX$6</f>
        <v>269.08000000000004</v>
      </c>
      <c r="AD63" s="359">
        <f>' VVF Sales - PUC &amp; Non PUC'!$CX$7</f>
        <v>0</v>
      </c>
      <c r="AE63" s="359">
        <f>' VVF Sales - PUC &amp; Non PUC'!$CX$8</f>
        <v>0</v>
      </c>
      <c r="AF63" s="359">
        <f>' VVF Sales - PUC &amp; Non PUC'!$CX$9</f>
        <v>0</v>
      </c>
      <c r="AG63" s="359">
        <f>' VVF Sales - PUC &amp; Non PUC'!$CX$10</f>
        <v>45.825000000000003</v>
      </c>
      <c r="AH63" s="359">
        <f>' VVF Sales - PUC &amp; Non PUC'!$CX$11</f>
        <v>0</v>
      </c>
      <c r="AI63" s="367">
        <f t="shared" si="9"/>
        <v>314.90500000000003</v>
      </c>
      <c r="AK63" s="359">
        <f>' VVF Sales - PUC &amp; Non PUC'!$CY$5</f>
        <v>0</v>
      </c>
      <c r="AL63" s="359">
        <f>' VVF Sales - PUC &amp; Non PUC'!$CY$6</f>
        <v>258.44831390000002</v>
      </c>
      <c r="AM63" s="359">
        <f>' VVF Sales - PUC &amp; Non PUC'!$CY$7</f>
        <v>0</v>
      </c>
      <c r="AN63" s="359">
        <f>' VVF Sales - PUC &amp; Non PUC'!$CY$8</f>
        <v>0</v>
      </c>
      <c r="AO63" s="359">
        <f>' VVF Sales - PUC &amp; Non PUC'!$CY$9</f>
        <v>0</v>
      </c>
      <c r="AP63" s="359">
        <f>' VVF Sales - PUC &amp; Non PUC'!$CY$10</f>
        <v>40.622374999999998</v>
      </c>
      <c r="AQ63" s="359">
        <f>' VVF Sales - PUC &amp; Non PUC'!$CY$11</f>
        <v>0</v>
      </c>
      <c r="AR63" s="367">
        <f t="shared" si="11"/>
        <v>299.07068889999999</v>
      </c>
      <c r="AT63" s="358">
        <f>'Imports 2013-14'!D158</f>
        <v>0</v>
      </c>
      <c r="AU63" s="358">
        <f>'Imports 2013-14'!E158</f>
        <v>0</v>
      </c>
      <c r="AV63" s="358">
        <f>'Imports 2013-14'!F158</f>
        <v>59.730000000000004</v>
      </c>
      <c r="AW63" s="358">
        <f>'Imports 2013-14'!G158</f>
        <v>3121.4800000000005</v>
      </c>
      <c r="AX63" s="358">
        <f>'Imports 2013-14'!H158</f>
        <v>537.07999999999993</v>
      </c>
      <c r="AY63" s="358">
        <f>'Imports 2013-14'!I158</f>
        <v>616.41999999999996</v>
      </c>
      <c r="AZ63" s="358">
        <f>'Imports 2013-14'!J158</f>
        <v>0</v>
      </c>
      <c r="BA63" s="358">
        <f>'Imports 2013-14'!K158</f>
        <v>4</v>
      </c>
      <c r="BB63" s="358">
        <f>'Imports 2013-14'!L158</f>
        <v>8</v>
      </c>
      <c r="BC63" s="358">
        <f>'Imports 2013-14'!M158</f>
        <v>0</v>
      </c>
      <c r="BD63" s="363">
        <f>'Imports 2013-14'!N158</f>
        <v>4346.71</v>
      </c>
      <c r="BF63" s="358">
        <f>'Imports 2013-14'!S158/10^5</f>
        <v>0</v>
      </c>
      <c r="BG63" s="358">
        <f>'Imports 2013-14'!T158/10^5</f>
        <v>0</v>
      </c>
      <c r="BH63" s="358">
        <f>'Imports 2013-14'!U158/10^5</f>
        <v>61.885035399999992</v>
      </c>
      <c r="BI63" s="358">
        <f>'Imports 2013-14'!V158/10^5</f>
        <v>2976.5758350999999</v>
      </c>
      <c r="BJ63" s="358">
        <f>'Imports 2013-14'!W158/10^5</f>
        <v>461.73835619999988</v>
      </c>
      <c r="BK63" s="358">
        <f>'Imports 2013-14'!X158/10^5</f>
        <v>621.52287219999994</v>
      </c>
      <c r="BL63" s="358">
        <f>'Imports 2013-14'!Y158/10^5</f>
        <v>0</v>
      </c>
      <c r="BM63" s="358">
        <f>'Imports 2013-14'!Z158/10^5</f>
        <v>4.5704308000000005</v>
      </c>
      <c r="BN63" s="358">
        <f>'Imports 2013-14'!AA158/10^5</f>
        <v>7.7566741000000006</v>
      </c>
      <c r="BO63" s="358">
        <f>'Imports 2013-14'!AB158/10^5</f>
        <v>0</v>
      </c>
      <c r="BP63" s="363">
        <f>'Imports 2013-14'!AC11/10^5</f>
        <v>4134.0492037999993</v>
      </c>
      <c r="BR63" s="358"/>
      <c r="BS63" s="358"/>
      <c r="BT63" s="358"/>
      <c r="BU63" s="358">
        <v>2889.6600000000003</v>
      </c>
      <c r="BV63" s="358">
        <v>981.21999999999991</v>
      </c>
      <c r="BW63" s="358"/>
      <c r="BX63" s="358"/>
      <c r="BY63" s="358">
        <v>984.32899999999995</v>
      </c>
      <c r="BZ63" s="358">
        <v>2142.9199999999996</v>
      </c>
      <c r="CA63" s="358">
        <v>234.79500000000002</v>
      </c>
      <c r="CB63" s="363">
        <f t="shared" si="2"/>
        <v>7232.9239999999991</v>
      </c>
      <c r="CD63" s="358">
        <v>0</v>
      </c>
      <c r="CE63" s="358"/>
      <c r="CF63" s="358">
        <v>0</v>
      </c>
      <c r="CG63" s="358">
        <v>2880.3937550000001</v>
      </c>
      <c r="CH63" s="358">
        <v>842.24720890000003</v>
      </c>
      <c r="CI63" s="358">
        <v>0</v>
      </c>
      <c r="CJ63" s="358"/>
      <c r="CK63" s="358">
        <v>1029.2914644</v>
      </c>
      <c r="CL63" s="358">
        <v>1877.9819628000007</v>
      </c>
      <c r="CM63" s="358">
        <v>215.83115490000003</v>
      </c>
      <c r="CN63" s="363">
        <f t="shared" si="3"/>
        <v>6845.745546000001</v>
      </c>
    </row>
    <row r="64" spans="1:92">
      <c r="A64" s="357">
        <v>41609</v>
      </c>
      <c r="B64" s="396">
        <v>0.05</v>
      </c>
      <c r="C64" s="396">
        <v>0.05</v>
      </c>
      <c r="D64" s="396">
        <v>0.05</v>
      </c>
      <c r="E64" s="396">
        <v>0.05</v>
      </c>
      <c r="F64" s="396">
        <v>2.5000000000000001E-2</v>
      </c>
      <c r="G64" s="399"/>
      <c r="H64" s="400">
        <v>0</v>
      </c>
      <c r="I64" s="15"/>
      <c r="J64" s="358">
        <f>' VVF Sales - PUC &amp; Non PUC'!$DJ$5</f>
        <v>0</v>
      </c>
      <c r="K64" s="358">
        <f>' VVF Sales - PUC &amp; Non PUC'!$DJ$6</f>
        <v>640.78999999999974</v>
      </c>
      <c r="L64" s="358">
        <f>' VVF Sales - PUC &amp; Non PUC'!$DJ$7</f>
        <v>0</v>
      </c>
      <c r="M64" s="358">
        <f>' VVF Sales - PUC &amp; Non PUC'!$DJ$8</f>
        <v>37.76</v>
      </c>
      <c r="N64" s="358">
        <f>' VVF Sales - PUC &amp; Non PUC'!$DJ$9</f>
        <v>9.0749999999999993</v>
      </c>
      <c r="O64" s="358">
        <f>' VVF Sales - PUC &amp; Non PUC'!$DJ$10</f>
        <v>213.6</v>
      </c>
      <c r="P64" s="358">
        <f>' VVF Sales - PUC &amp; Non PUC'!$DJ$11</f>
        <v>2.1749999999999998</v>
      </c>
      <c r="Q64" s="363">
        <f t="shared" si="8"/>
        <v>903.39999999999975</v>
      </c>
      <c r="S64" s="358">
        <f>' VVF Sales - PUC &amp; Non PUC'!$DK$5</f>
        <v>0</v>
      </c>
      <c r="T64" s="358">
        <f>' VVF Sales - PUC &amp; Non PUC'!$DK$6</f>
        <v>632.35740500000009</v>
      </c>
      <c r="U64" s="358">
        <f>' VVF Sales - PUC &amp; Non PUC'!$DK$7</f>
        <v>0</v>
      </c>
      <c r="V64" s="358">
        <f>' VVF Sales - PUC &amp; Non PUC'!$DK$8</f>
        <v>34.927999999999997</v>
      </c>
      <c r="W64" s="358">
        <f>' VVF Sales - PUC &amp; Non PUC'!$DK$9</f>
        <v>9.9861164000000002</v>
      </c>
      <c r="X64" s="358">
        <f>' VVF Sales - PUC &amp; Non PUC'!$DK$10</f>
        <v>203.95076580000003</v>
      </c>
      <c r="Y64" s="358">
        <f>' VVF Sales - PUC &amp; Non PUC'!$DK$11</f>
        <v>2.0865311000000002</v>
      </c>
      <c r="Z64" s="363">
        <f t="shared" si="10"/>
        <v>883.3088183000001</v>
      </c>
      <c r="AB64" s="359">
        <f>' VVF Sales - PUC &amp; Non PUC'!$DL$5</f>
        <v>0</v>
      </c>
      <c r="AC64" s="359">
        <f>' VVF Sales - PUC &amp; Non PUC'!$DL$6</f>
        <v>1044.6600000000001</v>
      </c>
      <c r="AD64" s="359">
        <f>' VVF Sales - PUC &amp; Non PUC'!$DL$7</f>
        <v>0</v>
      </c>
      <c r="AE64" s="359">
        <f>' VVF Sales - PUC &amp; Non PUC'!$DL$8</f>
        <v>0</v>
      </c>
      <c r="AF64" s="359">
        <f>' VVF Sales - PUC &amp; Non PUC'!$DL$9</f>
        <v>0</v>
      </c>
      <c r="AG64" s="359">
        <f>' VVF Sales - PUC &amp; Non PUC'!$DL$10</f>
        <v>42.075000000000003</v>
      </c>
      <c r="AH64" s="359">
        <f>' VVF Sales - PUC &amp; Non PUC'!$DL$11</f>
        <v>0</v>
      </c>
      <c r="AI64" s="367">
        <f t="shared" si="9"/>
        <v>1086.7350000000001</v>
      </c>
      <c r="AK64" s="359">
        <f>' VVF Sales - PUC &amp; Non PUC'!$DM$5</f>
        <v>0</v>
      </c>
      <c r="AL64" s="359">
        <f>' VVF Sales - PUC &amp; Non PUC'!$DM$6</f>
        <v>1004.0995751999997</v>
      </c>
      <c r="AM64" s="359">
        <f>' VVF Sales - PUC &amp; Non PUC'!$DM$7</f>
        <v>0</v>
      </c>
      <c r="AN64" s="359">
        <f>' VVF Sales - PUC &amp; Non PUC'!$DM$8</f>
        <v>0</v>
      </c>
      <c r="AO64" s="359">
        <f>' VVF Sales - PUC &amp; Non PUC'!$DM$9</f>
        <v>0</v>
      </c>
      <c r="AP64" s="359">
        <f>' VVF Sales - PUC &amp; Non PUC'!$DM$10</f>
        <v>38.746000000000002</v>
      </c>
      <c r="AQ64" s="359">
        <f>' VVF Sales - PUC &amp; Non PUC'!$DM$11</f>
        <v>0</v>
      </c>
      <c r="AR64" s="367">
        <f t="shared" si="11"/>
        <v>1042.8455751999998</v>
      </c>
      <c r="AT64" s="358">
        <f>'Imports 2013-14'!D159</f>
        <v>0</v>
      </c>
      <c r="AU64" s="358">
        <f>'Imports 2013-14'!E159</f>
        <v>0</v>
      </c>
      <c r="AV64" s="358">
        <f>'Imports 2013-14'!F159</f>
        <v>118.91</v>
      </c>
      <c r="AW64" s="358">
        <f>'Imports 2013-14'!G159</f>
        <v>3139.0799999999995</v>
      </c>
      <c r="AX64" s="358">
        <f>'Imports 2013-14'!H159</f>
        <v>896.13</v>
      </c>
      <c r="AY64" s="358">
        <f>'Imports 2013-14'!I159</f>
        <v>118.38</v>
      </c>
      <c r="AZ64" s="358">
        <f>'Imports 2013-14'!J159</f>
        <v>0</v>
      </c>
      <c r="BA64" s="358">
        <f>'Imports 2013-14'!K159</f>
        <v>6</v>
      </c>
      <c r="BB64" s="358">
        <f>'Imports 2013-14'!L159</f>
        <v>12</v>
      </c>
      <c r="BC64" s="358">
        <f>'Imports 2013-14'!M159</f>
        <v>0</v>
      </c>
      <c r="BD64" s="363">
        <f>'Imports 2013-14'!N159</f>
        <v>4290.4999999999991</v>
      </c>
      <c r="BF64" s="358">
        <f>'Imports 2013-14'!S159/10^5</f>
        <v>0</v>
      </c>
      <c r="BG64" s="358">
        <f>'Imports 2013-14'!T159/10^5</f>
        <v>0</v>
      </c>
      <c r="BH64" s="358">
        <f>'Imports 2013-14'!U159/10^5</f>
        <v>123.26582719999999</v>
      </c>
      <c r="BI64" s="358">
        <f>'Imports 2013-14'!V159/10^5</f>
        <v>3111.5144937999999</v>
      </c>
      <c r="BJ64" s="358">
        <f>'Imports 2013-14'!W159/10^5</f>
        <v>874.08440870000004</v>
      </c>
      <c r="BK64" s="358">
        <f>'Imports 2013-14'!X159/10^5</f>
        <v>116.42896440000001</v>
      </c>
      <c r="BL64" s="358">
        <f>'Imports 2013-14'!Y159/10^5</f>
        <v>0</v>
      </c>
      <c r="BM64" s="358">
        <f>'Imports 2013-14'!Z159/10^5</f>
        <v>6.8344169999999993</v>
      </c>
      <c r="BN64" s="358">
        <f>'Imports 2013-14'!AA159/10^5</f>
        <v>11.766116499999999</v>
      </c>
      <c r="BO64" s="358">
        <f>'Imports 2013-14'!AB159/10^5</f>
        <v>0</v>
      </c>
      <c r="BP64" s="363">
        <f>'Imports 2013-14'!AC12/10^5</f>
        <v>4243.8942275999998</v>
      </c>
      <c r="BR64" s="358">
        <v>1.7</v>
      </c>
      <c r="BS64" s="358"/>
      <c r="BT64" s="358"/>
      <c r="BU64" s="358">
        <v>1815.5000000000002</v>
      </c>
      <c r="BV64" s="358">
        <v>4350.0400000000009</v>
      </c>
      <c r="BW64" s="358"/>
      <c r="BX64" s="358"/>
      <c r="BY64" s="358">
        <v>735.32300000000021</v>
      </c>
      <c r="BZ64" s="358">
        <v>3414.8850000000011</v>
      </c>
      <c r="CA64" s="358">
        <v>276.77999999999997</v>
      </c>
      <c r="CB64" s="363">
        <f t="shared" si="2"/>
        <v>10594.228000000005</v>
      </c>
      <c r="CD64" s="358">
        <v>3.1367209999999996</v>
      </c>
      <c r="CE64" s="358"/>
      <c r="CF64" s="358">
        <v>0</v>
      </c>
      <c r="CG64" s="358">
        <v>1796.0962850000001</v>
      </c>
      <c r="CH64" s="358">
        <v>3782.3650461000007</v>
      </c>
      <c r="CI64" s="358">
        <v>0</v>
      </c>
      <c r="CJ64" s="358"/>
      <c r="CK64" s="358">
        <v>747.52198199999998</v>
      </c>
      <c r="CL64" s="358">
        <v>2993.4141665999996</v>
      </c>
      <c r="CM64" s="358">
        <v>273.61754719999993</v>
      </c>
      <c r="CN64" s="363">
        <f t="shared" si="3"/>
        <v>9596.1517478999995</v>
      </c>
    </row>
    <row r="65" spans="1:92">
      <c r="A65" s="357">
        <v>41640</v>
      </c>
      <c r="B65" s="396">
        <v>0</v>
      </c>
      <c r="C65" s="396">
        <v>0</v>
      </c>
      <c r="D65" s="396">
        <v>0</v>
      </c>
      <c r="E65" s="396">
        <v>0</v>
      </c>
      <c r="F65" s="396">
        <v>0</v>
      </c>
      <c r="G65" s="399"/>
      <c r="H65" s="400">
        <v>0</v>
      </c>
      <c r="I65" s="15"/>
      <c r="J65" s="358">
        <f>' VVF Sales - PUC &amp; Non PUC'!$DX$5</f>
        <v>0</v>
      </c>
      <c r="K65" s="358">
        <f>' VVF Sales - PUC &amp; Non PUC'!$DX$6</f>
        <v>1442.9300000000003</v>
      </c>
      <c r="L65" s="358">
        <f>' VVF Sales - PUC &amp; Non PUC'!$DX$7</f>
        <v>15.22</v>
      </c>
      <c r="M65" s="358">
        <f>' VVF Sales - PUC &amp; Non PUC'!$DX$8</f>
        <v>73.490000000000009</v>
      </c>
      <c r="N65" s="358">
        <f>' VVF Sales - PUC &amp; Non PUC'!$DX$9</f>
        <v>6</v>
      </c>
      <c r="O65" s="358">
        <f>' VVF Sales - PUC &amp; Non PUC'!$DX$10</f>
        <v>267.10000000000002</v>
      </c>
      <c r="P65" s="358">
        <f>' VVF Sales - PUC &amp; Non PUC'!$DX$11</f>
        <v>0</v>
      </c>
      <c r="Q65" s="363">
        <f t="shared" si="8"/>
        <v>1804.7400000000002</v>
      </c>
      <c r="S65" s="358">
        <f>' VVF Sales - PUC &amp; Non PUC'!$DY$5</f>
        <v>0</v>
      </c>
      <c r="T65" s="358">
        <f>' VVF Sales - PUC &amp; Non PUC'!$DY$6</f>
        <v>1374.8015332000002</v>
      </c>
      <c r="U65" s="358">
        <f>' VVF Sales - PUC &amp; Non PUC'!$DY$7</f>
        <v>17.7486</v>
      </c>
      <c r="V65" s="358">
        <f>' VVF Sales - PUC &amp; Non PUC'!$DY$8</f>
        <v>81.331542999999996</v>
      </c>
      <c r="W65" s="358">
        <f>' VVF Sales - PUC &amp; Non PUC'!$DY$9</f>
        <v>6.7152722999999996</v>
      </c>
      <c r="X65" s="358">
        <f>' VVF Sales - PUC &amp; Non PUC'!$DY$10</f>
        <v>270.24184319999995</v>
      </c>
      <c r="Y65" s="358">
        <f>' VVF Sales - PUC &amp; Non PUC'!$DY$11</f>
        <v>0</v>
      </c>
      <c r="Z65" s="363">
        <f t="shared" si="10"/>
        <v>1750.8387917</v>
      </c>
      <c r="AB65" s="359">
        <f>' VVF Sales - PUC &amp; Non PUC'!$DZ$5</f>
        <v>0</v>
      </c>
      <c r="AC65" s="359">
        <f>' VVF Sales - PUC &amp; Non PUC'!$DZ$6</f>
        <v>553.91999999999996</v>
      </c>
      <c r="AD65" s="359">
        <f>' VVF Sales - PUC &amp; Non PUC'!$DZ$7</f>
        <v>0</v>
      </c>
      <c r="AE65" s="359">
        <f>' VVF Sales - PUC &amp; Non PUC'!$DZ$8</f>
        <v>55.260000000000005</v>
      </c>
      <c r="AF65" s="359">
        <f>' VVF Sales - PUC &amp; Non PUC'!$DZ$9</f>
        <v>0</v>
      </c>
      <c r="AG65" s="359">
        <f>' VVF Sales - PUC &amp; Non PUC'!$DZ$10</f>
        <v>51.075000000000003</v>
      </c>
      <c r="AH65" s="359">
        <f>' VVF Sales - PUC &amp; Non PUC'!$DZ$11</f>
        <v>0</v>
      </c>
      <c r="AI65" s="367">
        <f t="shared" si="9"/>
        <v>660.255</v>
      </c>
      <c r="AK65" s="359">
        <f>' VVF Sales - PUC &amp; Non PUC'!$EA$5</f>
        <v>0</v>
      </c>
      <c r="AL65" s="359">
        <f>' VVF Sales - PUC &amp; Non PUC'!$EA$6</f>
        <v>586.13282749999996</v>
      </c>
      <c r="AM65" s="359">
        <f>' VVF Sales - PUC &amp; Non PUC'!$EA$7</f>
        <v>0</v>
      </c>
      <c r="AN65" s="359">
        <f>' VVF Sales - PUC &amp; Non PUC'!$EA$8</f>
        <v>62.443800000000003</v>
      </c>
      <c r="AO65" s="359">
        <f>' VVF Sales - PUC &amp; Non PUC'!$EA$9</f>
        <v>0</v>
      </c>
      <c r="AP65" s="359">
        <f>' VVF Sales - PUC &amp; Non PUC'!$EA$10</f>
        <v>49.631999999999998</v>
      </c>
      <c r="AQ65" s="359">
        <f>' VVF Sales - PUC &amp; Non PUC'!$EA$11</f>
        <v>0</v>
      </c>
      <c r="AR65" s="367">
        <f t="shared" si="11"/>
        <v>698.20862749999992</v>
      </c>
      <c r="AT65" s="358">
        <f>'Imports 2013-14'!D160</f>
        <v>0</v>
      </c>
      <c r="AU65" s="358">
        <f>'Imports 2013-14'!E160</f>
        <v>0</v>
      </c>
      <c r="AV65" s="358">
        <f>'Imports 2013-14'!F160</f>
        <v>65.27</v>
      </c>
      <c r="AW65" s="358">
        <f>'Imports 2013-14'!G160</f>
        <v>3433.3</v>
      </c>
      <c r="AX65" s="358">
        <f>'Imports 2013-14'!H160</f>
        <v>797.24</v>
      </c>
      <c r="AY65" s="358">
        <f>'Imports 2013-14'!I160</f>
        <v>252.07999999999998</v>
      </c>
      <c r="AZ65" s="358">
        <f>'Imports 2013-14'!J160</f>
        <v>0</v>
      </c>
      <c r="BA65" s="358">
        <f>'Imports 2013-14'!K160</f>
        <v>12</v>
      </c>
      <c r="BB65" s="358">
        <f>'Imports 2013-14'!L160</f>
        <v>0</v>
      </c>
      <c r="BC65" s="358">
        <f>'Imports 2013-14'!M160</f>
        <v>0</v>
      </c>
      <c r="BD65" s="363">
        <f>'Imports 2013-14'!N160</f>
        <v>4559.8900000000003</v>
      </c>
      <c r="BF65" s="358">
        <f>'Imports 2013-14'!S160/10^5</f>
        <v>0</v>
      </c>
      <c r="BG65" s="358">
        <f>'Imports 2013-14'!T160/10^5</f>
        <v>0</v>
      </c>
      <c r="BH65" s="358">
        <f>'Imports 2013-14'!U160/10^5</f>
        <v>77.086642600000005</v>
      </c>
      <c r="BI65" s="358">
        <f>'Imports 2013-14'!V160/10^5</f>
        <v>3420.7791416000005</v>
      </c>
      <c r="BJ65" s="358">
        <f>'Imports 2013-14'!W160/10^5</f>
        <v>807.36323159999995</v>
      </c>
      <c r="BK65" s="358">
        <f>'Imports 2013-14'!X160/10^5</f>
        <v>250.67769199999998</v>
      </c>
      <c r="BL65" s="358">
        <f>'Imports 2013-14'!Y160/10^5</f>
        <v>0</v>
      </c>
      <c r="BM65" s="358">
        <f>'Imports 2013-14'!Z160/10^5</f>
        <v>13.699970500000001</v>
      </c>
      <c r="BN65" s="358">
        <f>'Imports 2013-14'!AA160/10^5</f>
        <v>0</v>
      </c>
      <c r="BO65" s="358">
        <f>'Imports 2013-14'!AB160/10^5</f>
        <v>0</v>
      </c>
      <c r="BP65" s="363">
        <f>'Imports 2013-14'!AC13/10^5</f>
        <v>4631.7533350000003</v>
      </c>
      <c r="BR65" s="358"/>
      <c r="BS65" s="358"/>
      <c r="BT65" s="358">
        <v>3.4</v>
      </c>
      <c r="BU65" s="358">
        <v>1986.1</v>
      </c>
      <c r="BV65" s="358">
        <v>404.08</v>
      </c>
      <c r="BW65" s="358"/>
      <c r="BX65" s="358"/>
      <c r="BY65" s="358">
        <v>1086.3484200000003</v>
      </c>
      <c r="BZ65" s="358">
        <v>2835.0399999999995</v>
      </c>
      <c r="CA65" s="358">
        <v>436.31</v>
      </c>
      <c r="CB65" s="363">
        <f t="shared" si="2"/>
        <v>6751.2784199999996</v>
      </c>
      <c r="CD65" s="358">
        <v>0</v>
      </c>
      <c r="CE65" s="358"/>
      <c r="CF65" s="358">
        <v>5.3060400000000003</v>
      </c>
      <c r="CG65" s="358">
        <v>2035.9125436000002</v>
      </c>
      <c r="CH65" s="358">
        <v>394.91389420000002</v>
      </c>
      <c r="CI65" s="358">
        <v>0</v>
      </c>
      <c r="CJ65" s="358"/>
      <c r="CK65" s="358">
        <v>1094.0623769999997</v>
      </c>
      <c r="CL65" s="358">
        <v>2554.5857281000012</v>
      </c>
      <c r="CM65" s="358">
        <v>424.35497599999997</v>
      </c>
      <c r="CN65" s="363">
        <f t="shared" si="3"/>
        <v>6509.1355589000004</v>
      </c>
    </row>
    <row r="66" spans="1:92">
      <c r="A66" s="357">
        <v>41671</v>
      </c>
      <c r="B66" s="396">
        <v>0</v>
      </c>
      <c r="C66" s="396">
        <v>0</v>
      </c>
      <c r="D66" s="396">
        <v>0</v>
      </c>
      <c r="E66" s="396">
        <v>0</v>
      </c>
      <c r="F66" s="396">
        <v>0</v>
      </c>
      <c r="G66" s="399"/>
      <c r="H66" s="400">
        <v>0</v>
      </c>
      <c r="I66" s="15"/>
      <c r="J66" s="358">
        <f>' VVF Sales - PUC &amp; Non PUC'!$EL$5</f>
        <v>0</v>
      </c>
      <c r="K66" s="358">
        <f>' VVF Sales - PUC &amp; Non PUC'!$EL$6</f>
        <v>119.72000000000001</v>
      </c>
      <c r="L66" s="358">
        <f>' VVF Sales - PUC &amp; Non PUC'!$EL$7</f>
        <v>0</v>
      </c>
      <c r="M66" s="358">
        <f>' VVF Sales - PUC &amp; Non PUC'!$EL$8</f>
        <v>0</v>
      </c>
      <c r="N66" s="358">
        <f>' VVF Sales - PUC &amp; Non PUC'!$EL$9</f>
        <v>20</v>
      </c>
      <c r="O66" s="358">
        <f>' VVF Sales - PUC &amp; Non PUC'!$EL$10</f>
        <v>175.02500000000001</v>
      </c>
      <c r="P66" s="358">
        <f>' VVF Sales - PUC &amp; Non PUC'!$EL$11</f>
        <v>0</v>
      </c>
      <c r="Q66" s="363">
        <f t="shared" si="8"/>
        <v>314.745</v>
      </c>
      <c r="S66" s="358">
        <f>' VVF Sales - PUC &amp; Non PUC'!$EM$5</f>
        <v>0</v>
      </c>
      <c r="T66" s="358">
        <f>' VVF Sales - PUC &amp; Non PUC'!$EM$6</f>
        <v>133.29494460000001</v>
      </c>
      <c r="U66" s="358">
        <f>' VVF Sales - PUC &amp; Non PUC'!$EM$7</f>
        <v>0</v>
      </c>
      <c r="V66" s="358">
        <f>' VVF Sales - PUC &amp; Non PUC'!$EM$8</f>
        <v>0</v>
      </c>
      <c r="W66" s="358">
        <f>' VVF Sales - PUC &amp; Non PUC'!$EM$9</f>
        <v>22.251177599999998</v>
      </c>
      <c r="X66" s="358">
        <f>' VVF Sales - PUC &amp; Non PUC'!$EM$10</f>
        <v>179.35306700000004</v>
      </c>
      <c r="Y66" s="358">
        <f>' VVF Sales - PUC &amp; Non PUC'!$EM$11</f>
        <v>0</v>
      </c>
      <c r="Z66" s="363">
        <f t="shared" si="10"/>
        <v>334.89918920000002</v>
      </c>
      <c r="AB66" s="359">
        <f>' VVF Sales - PUC &amp; Non PUC'!$EN$5</f>
        <v>0</v>
      </c>
      <c r="AC66" s="359">
        <f>' VVF Sales - PUC &amp; Non PUC'!$EN$6</f>
        <v>349.00999999999993</v>
      </c>
      <c r="AD66" s="359">
        <f>' VVF Sales - PUC &amp; Non PUC'!$EN$7</f>
        <v>99.240000000000009</v>
      </c>
      <c r="AE66" s="359">
        <f>' VVF Sales - PUC &amp; Non PUC'!$EN$8</f>
        <v>24.61</v>
      </c>
      <c r="AF66" s="359">
        <f>' VVF Sales - PUC &amp; Non PUC'!$EN$9</f>
        <v>0</v>
      </c>
      <c r="AG66" s="359">
        <f>' VVF Sales - PUC &amp; Non PUC'!$EN$10</f>
        <v>24.8</v>
      </c>
      <c r="AH66" s="359">
        <f>' VVF Sales - PUC &amp; Non PUC'!$EN$11</f>
        <v>0</v>
      </c>
      <c r="AI66" s="367">
        <f t="shared" si="9"/>
        <v>497.65999999999997</v>
      </c>
      <c r="AK66" s="359">
        <f>' VVF Sales - PUC &amp; Non PUC'!$EO$5</f>
        <v>0</v>
      </c>
      <c r="AL66" s="359">
        <f>' VVF Sales - PUC &amp; Non PUC'!$EO$6</f>
        <v>396.01580000000001</v>
      </c>
      <c r="AM66" s="359">
        <f>' VVF Sales - PUC &amp; Non PUC'!$EO$7</f>
        <v>112.6374</v>
      </c>
      <c r="AN66" s="359">
        <f>' VVF Sales - PUC &amp; Non PUC'!$EO$8</f>
        <v>27.8093</v>
      </c>
      <c r="AO66" s="359">
        <f>' VVF Sales - PUC &amp; Non PUC'!$EO$9</f>
        <v>0</v>
      </c>
      <c r="AP66" s="359">
        <f>' VVF Sales - PUC &amp; Non PUC'!$EO$10</f>
        <v>24.204000000000001</v>
      </c>
      <c r="AQ66" s="359">
        <f>' VVF Sales - PUC &amp; Non PUC'!$EO$11</f>
        <v>0</v>
      </c>
      <c r="AR66" s="367">
        <f t="shared" si="11"/>
        <v>560.66649999999993</v>
      </c>
      <c r="AT66" s="358">
        <f>'Imports 2013-14'!D161</f>
        <v>0</v>
      </c>
      <c r="AU66" s="358">
        <f>'Imports 2013-14'!E161</f>
        <v>0</v>
      </c>
      <c r="AV66" s="358">
        <f>'Imports 2013-14'!F161</f>
        <v>65.23</v>
      </c>
      <c r="AW66" s="358">
        <f>'Imports 2013-14'!G161</f>
        <v>4852.369999999999</v>
      </c>
      <c r="AX66" s="358">
        <f>'Imports 2013-14'!H161</f>
        <v>797.47</v>
      </c>
      <c r="AY66" s="358">
        <f>'Imports 2013-14'!I161</f>
        <v>156.51</v>
      </c>
      <c r="AZ66" s="358">
        <f>'Imports 2013-14'!J161</f>
        <v>0</v>
      </c>
      <c r="BA66" s="358">
        <f>'Imports 2013-14'!K161</f>
        <v>30</v>
      </c>
      <c r="BB66" s="358">
        <f>'Imports 2013-14'!L161</f>
        <v>28</v>
      </c>
      <c r="BC66" s="358">
        <f>'Imports 2013-14'!M161</f>
        <v>0</v>
      </c>
      <c r="BD66" s="363">
        <f>'Imports 2013-14'!N161</f>
        <v>5929.579999999999</v>
      </c>
      <c r="BF66" s="358">
        <f>'Imports 2013-14'!S161/10^5</f>
        <v>0</v>
      </c>
      <c r="BG66" s="358">
        <f>'Imports 2013-14'!T161/10^5</f>
        <v>0</v>
      </c>
      <c r="BH66" s="358">
        <f>'Imports 2013-14'!U161/10^5</f>
        <v>74.344445199999996</v>
      </c>
      <c r="BI66" s="358">
        <f>'Imports 2013-14'!V161/10^5</f>
        <v>4861.2826753999998</v>
      </c>
      <c r="BJ66" s="358">
        <f>'Imports 2013-14'!W161/10^5</f>
        <v>950.56498120000003</v>
      </c>
      <c r="BK66" s="358">
        <f>'Imports 2013-14'!X161/10^5</f>
        <v>168.17334490000002</v>
      </c>
      <c r="BL66" s="358">
        <f>'Imports 2013-14'!Y161/10^5</f>
        <v>0</v>
      </c>
      <c r="BM66" s="358">
        <f>'Imports 2013-14'!Z161/10^5</f>
        <v>34.523668600000001</v>
      </c>
      <c r="BN66" s="358">
        <f>'Imports 2013-14'!AA161/10^5</f>
        <v>30.192689600000001</v>
      </c>
      <c r="BO66" s="358">
        <f>'Imports 2013-14'!AB161/10^5</f>
        <v>0</v>
      </c>
      <c r="BP66" s="363">
        <f>'Imports 2013-14'!AC14/10^5</f>
        <v>6119.081804899999</v>
      </c>
      <c r="BR66" s="358"/>
      <c r="BS66" s="358"/>
      <c r="BT66" s="358">
        <v>9.52</v>
      </c>
      <c r="BU66" s="358">
        <v>753.3900000000001</v>
      </c>
      <c r="BV66" s="358">
        <v>3012.51</v>
      </c>
      <c r="BW66" s="358"/>
      <c r="BX66" s="358"/>
      <c r="BY66" s="358">
        <v>741.84499999999991</v>
      </c>
      <c r="BZ66" s="358">
        <v>2826.5299999999993</v>
      </c>
      <c r="CA66" s="358">
        <v>254.56999999999996</v>
      </c>
      <c r="CB66" s="363">
        <f t="shared" si="2"/>
        <v>7598.3649999999998</v>
      </c>
      <c r="CD66" s="358">
        <v>0</v>
      </c>
      <c r="CE66" s="358"/>
      <c r="CF66" s="358">
        <v>14.7441</v>
      </c>
      <c r="CG66" s="358">
        <v>757.99355510000009</v>
      </c>
      <c r="CH66" s="358">
        <v>3113.6282415999995</v>
      </c>
      <c r="CI66" s="358">
        <v>0</v>
      </c>
      <c r="CJ66" s="358"/>
      <c r="CK66" s="358">
        <v>791.52923980000014</v>
      </c>
      <c r="CL66" s="358">
        <v>2594.5641010000013</v>
      </c>
      <c r="CM66" s="358">
        <v>251.9344246</v>
      </c>
      <c r="CN66" s="363">
        <f t="shared" si="3"/>
        <v>7524.3936621000012</v>
      </c>
    </row>
    <row r="67" spans="1:92">
      <c r="A67" s="357">
        <v>41699</v>
      </c>
      <c r="B67" s="396">
        <v>0</v>
      </c>
      <c r="C67" s="396">
        <v>0</v>
      </c>
      <c r="D67" s="396">
        <v>0</v>
      </c>
      <c r="E67" s="396">
        <v>0</v>
      </c>
      <c r="F67" s="396">
        <v>0</v>
      </c>
      <c r="G67" s="399"/>
      <c r="H67" s="400">
        <v>0</v>
      </c>
      <c r="I67" s="15"/>
      <c r="J67" s="358">
        <f>' VVF Sales - PUC &amp; Non PUC'!$EZ$5</f>
        <v>14.96</v>
      </c>
      <c r="K67" s="358">
        <f>' VVF Sales - PUC &amp; Non PUC'!$EZ$6</f>
        <v>500.99999999999989</v>
      </c>
      <c r="L67" s="358">
        <f>' VVF Sales - PUC &amp; Non PUC'!$EZ$7</f>
        <v>17.22</v>
      </c>
      <c r="M67" s="358">
        <f>' VVF Sales - PUC &amp; Non PUC'!$EZ$8</f>
        <v>38.86</v>
      </c>
      <c r="N67" s="358">
        <f>' VVF Sales - PUC &amp; Non PUC'!$EZ$9</f>
        <v>5.0250000000000004</v>
      </c>
      <c r="O67" s="358">
        <f>' VVF Sales - PUC &amp; Non PUC'!$EZ$10</f>
        <v>268.64999999999998</v>
      </c>
      <c r="P67" s="358">
        <f>' VVF Sales - PUC &amp; Non PUC'!$EZ$11</f>
        <v>0</v>
      </c>
      <c r="Q67" s="363">
        <f t="shared" si="8"/>
        <v>845.71499999999992</v>
      </c>
      <c r="R67" s="13">
        <f>SUM(Q56:Q67)</f>
        <v>14776.363999999998</v>
      </c>
      <c r="S67" s="358">
        <f>' VVF Sales - PUC &amp; Non PUC'!$FA$5</f>
        <v>24.139456000000003</v>
      </c>
      <c r="T67" s="358">
        <f>' VVF Sales - PUC &amp; Non PUC'!$FA$6</f>
        <v>615.87316119999991</v>
      </c>
      <c r="U67" s="358">
        <f>' VVF Sales - PUC &amp; Non PUC'!$FA$7</f>
        <v>21.6819354</v>
      </c>
      <c r="V67" s="358">
        <f>' VVF Sales - PUC &amp; Non PUC'!$FA$8</f>
        <v>51.3698592</v>
      </c>
      <c r="W67" s="358">
        <f>' VVF Sales - PUC &amp; Non PUC'!$FA$9</f>
        <v>5.6784820999999992</v>
      </c>
      <c r="X67" s="358">
        <f>' VVF Sales - PUC &amp; Non PUC'!$FA$10</f>
        <v>273.23496799999998</v>
      </c>
      <c r="Y67" s="358">
        <f>' VVF Sales - PUC &amp; Non PUC'!$FA$11</f>
        <v>0</v>
      </c>
      <c r="Z67" s="363">
        <f t="shared" si="10"/>
        <v>991.97786189999988</v>
      </c>
      <c r="AA67" s="13">
        <f>SUM(Z56:Z67)</f>
        <v>13208.363707099998</v>
      </c>
      <c r="AB67" s="359">
        <f>' VVF Sales - PUC &amp; Non PUC'!$FB$5</f>
        <v>0</v>
      </c>
      <c r="AC67" s="359">
        <f>' VVF Sales - PUC &amp; Non PUC'!$FB$6</f>
        <v>263.32</v>
      </c>
      <c r="AD67" s="359">
        <f>' VVF Sales - PUC &amp; Non PUC'!$FB$7</f>
        <v>101.71</v>
      </c>
      <c r="AE67" s="359">
        <f>' VVF Sales - PUC &amp; Non PUC'!$FB$8</f>
        <v>78.949999999999989</v>
      </c>
      <c r="AF67" s="359">
        <f>' VVF Sales - PUC &amp; Non PUC'!$FB$9</f>
        <v>0</v>
      </c>
      <c r="AG67" s="359">
        <f>' VVF Sales - PUC &amp; Non PUC'!$FB$10</f>
        <v>45.2</v>
      </c>
      <c r="AH67" s="359">
        <f>' VVF Sales - PUC &amp; Non PUC'!$FB$11</f>
        <v>0</v>
      </c>
      <c r="AI67" s="367">
        <f t="shared" si="9"/>
        <v>489.17999999999995</v>
      </c>
      <c r="AJ67" s="13">
        <f>SUM(AI56:AI67)</f>
        <v>9171.4560000000001</v>
      </c>
      <c r="AK67" s="359">
        <f>' VVF Sales - PUC &amp; Non PUC'!$FC$5</f>
        <v>0</v>
      </c>
      <c r="AL67" s="359">
        <f>' VVF Sales - PUC &amp; Non PUC'!$FC$6</f>
        <v>336.32470000000001</v>
      </c>
      <c r="AM67" s="359">
        <f>' VVF Sales - PUC &amp; Non PUC'!$FC$7</f>
        <v>115.44085</v>
      </c>
      <c r="AN67" s="359">
        <f>' VVF Sales - PUC &amp; Non PUC'!$FC$8</f>
        <v>105.3056</v>
      </c>
      <c r="AO67" s="359">
        <f>' VVF Sales - PUC &amp; Non PUC'!$FC$9</f>
        <v>0</v>
      </c>
      <c r="AP67" s="359">
        <f>' VVF Sales - PUC &amp; Non PUC'!$FC$10</f>
        <v>44.146000000000001</v>
      </c>
      <c r="AQ67" s="359">
        <f>' VVF Sales - PUC &amp; Non PUC'!$FC$11</f>
        <v>0</v>
      </c>
      <c r="AR67" s="367">
        <f t="shared" si="11"/>
        <v>601.21714999999995</v>
      </c>
      <c r="AS67" s="368">
        <f>SUM(AR56:AR67)</f>
        <v>8250.1110850000023</v>
      </c>
      <c r="AT67" s="358">
        <f>'Imports 2013-14'!D162</f>
        <v>19.5</v>
      </c>
      <c r="AU67" s="358">
        <f>'Imports 2013-14'!E162</f>
        <v>0</v>
      </c>
      <c r="AV67" s="358">
        <f>'Imports 2013-14'!F162</f>
        <v>78.81</v>
      </c>
      <c r="AW67" s="358">
        <f>'Imports 2013-14'!G162</f>
        <v>5995.94</v>
      </c>
      <c r="AX67" s="358">
        <f>'Imports 2013-14'!H162</f>
        <v>1247.6499999999999</v>
      </c>
      <c r="AY67" s="358">
        <f>'Imports 2013-14'!I162</f>
        <v>176.24</v>
      </c>
      <c r="AZ67" s="358">
        <f>'Imports 2013-14'!J162</f>
        <v>0</v>
      </c>
      <c r="BA67" s="358">
        <f>'Imports 2013-14'!K162</f>
        <v>54.8</v>
      </c>
      <c r="BB67" s="358">
        <f>'Imports 2013-14'!L162</f>
        <v>14</v>
      </c>
      <c r="BC67" s="358">
        <f>'Imports 2013-14'!M162</f>
        <v>1.2</v>
      </c>
      <c r="BD67" s="363">
        <f>'Imports 2013-14'!N162</f>
        <v>7588.1399999999994</v>
      </c>
      <c r="BF67" s="358">
        <f>'Imports 2013-14'!S162/10^5</f>
        <v>34.562952500000002</v>
      </c>
      <c r="BG67" s="358">
        <f>'Imports 2013-14'!T162/10^5</f>
        <v>0</v>
      </c>
      <c r="BH67" s="358">
        <f>'Imports 2013-14'!U162/10^5</f>
        <v>91.396577199999982</v>
      </c>
      <c r="BI67" s="358">
        <f>'Imports 2013-14'!V162/10^5</f>
        <v>5985.5532451999998</v>
      </c>
      <c r="BJ67" s="358">
        <f>'Imports 2013-14'!W162/10^5</f>
        <v>1378.9462021000002</v>
      </c>
      <c r="BK67" s="358">
        <f>'Imports 2013-14'!X162/10^5</f>
        <v>189.61556280000002</v>
      </c>
      <c r="BL67" s="358">
        <f>'Imports 2013-14'!Y162/10^5</f>
        <v>0</v>
      </c>
      <c r="BM67" s="358">
        <f>'Imports 2013-14'!Z162/10^5</f>
        <v>55.569442699999996</v>
      </c>
      <c r="BN67" s="358">
        <f>'Imports 2013-14'!AA162/10^5</f>
        <v>15.087415400000001</v>
      </c>
      <c r="BO67" s="358">
        <f>'Imports 2013-14'!AB162/10^5</f>
        <v>1.3022334</v>
      </c>
      <c r="BP67" s="363">
        <f>'Imports 2013-14'!AC15/10^5</f>
        <v>7779.9121616999992</v>
      </c>
      <c r="BR67" s="358"/>
      <c r="BS67" s="358"/>
      <c r="BT67" s="358">
        <v>5.78</v>
      </c>
      <c r="BU67" s="358">
        <v>2319.7600000000002</v>
      </c>
      <c r="BV67" s="358"/>
      <c r="BW67" s="358"/>
      <c r="BX67" s="358"/>
      <c r="BY67" s="358">
        <v>982.78000000000009</v>
      </c>
      <c r="BZ67" s="358">
        <v>4081.2749999999996</v>
      </c>
      <c r="CA67" s="358">
        <v>193</v>
      </c>
      <c r="CB67" s="363">
        <f t="shared" si="2"/>
        <v>7582.5950000000003</v>
      </c>
      <c r="CD67" s="358">
        <v>0</v>
      </c>
      <c r="CE67" s="358"/>
      <c r="CF67" s="358">
        <v>8.7783750000000005</v>
      </c>
      <c r="CG67" s="358">
        <v>2543.8709307999998</v>
      </c>
      <c r="CH67" s="358">
        <v>0</v>
      </c>
      <c r="CI67" s="358">
        <v>0</v>
      </c>
      <c r="CJ67" s="358"/>
      <c r="CK67" s="358">
        <v>1068.9331923</v>
      </c>
      <c r="CL67" s="358">
        <v>3675.9276631000007</v>
      </c>
      <c r="CM67" s="358">
        <v>196.40166489999999</v>
      </c>
      <c r="CN67" s="363">
        <f t="shared" si="3"/>
        <v>7493.9118260999994</v>
      </c>
    </row>
    <row r="68" spans="1:92">
      <c r="A68" s="353">
        <v>41730</v>
      </c>
      <c r="B68" s="397">
        <v>0</v>
      </c>
      <c r="C68" s="397">
        <v>0</v>
      </c>
      <c r="D68" s="397">
        <v>0</v>
      </c>
      <c r="E68" s="397">
        <v>0</v>
      </c>
      <c r="F68" s="397">
        <v>0</v>
      </c>
      <c r="G68" s="399"/>
      <c r="H68" s="401">
        <v>0</v>
      </c>
      <c r="I68" s="15"/>
      <c r="J68" s="354">
        <f>' VVF Sales - PUC &amp; Non PUC'!$B$20</f>
        <v>0</v>
      </c>
      <c r="K68" s="354">
        <f>' VVF Sales - PUC &amp; Non PUC'!$B$21</f>
        <v>506.29000000000008</v>
      </c>
      <c r="L68" s="354">
        <f>' VVF Sales - PUC &amp; Non PUC'!$B$22</f>
        <v>0</v>
      </c>
      <c r="M68" s="354">
        <f>' VVF Sales - PUC &amp; Non PUC'!$B$23</f>
        <v>0</v>
      </c>
      <c r="N68" s="354">
        <f>' VVF Sales - PUC &amp; Non PUC'!$B$24</f>
        <v>4.5</v>
      </c>
      <c r="O68" s="354">
        <f>' VVF Sales - PUC &amp; Non PUC'!$B$25</f>
        <v>227.85000000000002</v>
      </c>
      <c r="P68" s="354">
        <f>' VVF Sales - PUC &amp; Non PUC'!$B$26</f>
        <v>0</v>
      </c>
      <c r="Q68" s="363">
        <f t="shared" si="8"/>
        <v>738.6400000000001</v>
      </c>
      <c r="S68" s="354">
        <f>' VVF Sales - PUC &amp; Non PUC'!$C$20</f>
        <v>0</v>
      </c>
      <c r="T68" s="354">
        <f>' VVF Sales - PUC &amp; Non PUC'!$C$21</f>
        <v>570.28071859999989</v>
      </c>
      <c r="U68" s="354">
        <f>' VVF Sales - PUC &amp; Non PUC'!$C$22</f>
        <v>0</v>
      </c>
      <c r="V68" s="354">
        <f>' VVF Sales - PUC &amp; Non PUC'!$C$23</f>
        <v>0</v>
      </c>
      <c r="W68" s="354">
        <f>' VVF Sales - PUC &amp; Non PUC'!$C$24</f>
        <v>5.1371925999999997</v>
      </c>
      <c r="X68" s="354">
        <f>' VVF Sales - PUC &amp; Non PUC'!$C$25</f>
        <v>235.68180000000001</v>
      </c>
      <c r="Y68" s="354">
        <f>' VVF Sales - PUC &amp; Non PUC'!$C$26</f>
        <v>0</v>
      </c>
      <c r="Z68" s="363">
        <f t="shared" si="10"/>
        <v>811.0997112</v>
      </c>
      <c r="AB68" s="356">
        <f>' VVF Sales - PUC &amp; Non PUC'!$D$20</f>
        <v>0</v>
      </c>
      <c r="AC68" s="356">
        <f>' VVF Sales - PUC &amp; Non PUC'!$D$21</f>
        <v>189.8</v>
      </c>
      <c r="AD68" s="356">
        <f>' VVF Sales - PUC &amp; Non PUC'!$D$22</f>
        <v>0</v>
      </c>
      <c r="AE68" s="356">
        <f>' VVF Sales - PUC &amp; Non PUC'!$D$23</f>
        <v>45.41</v>
      </c>
      <c r="AF68" s="356">
        <f>' VVF Sales - PUC &amp; Non PUC'!$D$24</f>
        <v>0</v>
      </c>
      <c r="AG68" s="356">
        <f>' VVF Sales - PUC &amp; Non PUC'!$D$25</f>
        <v>25.1</v>
      </c>
      <c r="AH68" s="356">
        <f>' VVF Sales - PUC &amp; Non PUC'!$D$26</f>
        <v>0</v>
      </c>
      <c r="AI68" s="367">
        <f t="shared" si="9"/>
        <v>260.31</v>
      </c>
      <c r="AK68" s="356">
        <f>' VVF Sales - PUC &amp; Non PUC'!$E$20</f>
        <v>0</v>
      </c>
      <c r="AL68" s="356">
        <f>' VVF Sales - PUC &amp; Non PUC'!$E$21</f>
        <v>235.46600000000001</v>
      </c>
      <c r="AM68" s="356">
        <f>' VVF Sales - PUC &amp; Non PUC'!$E$22</f>
        <v>0</v>
      </c>
      <c r="AN68" s="356">
        <f>' VVF Sales - PUC &amp; Non PUC'!$E$23</f>
        <v>57.8125</v>
      </c>
      <c r="AO68" s="356">
        <f>' VVF Sales - PUC &amp; Non PUC'!$E$24</f>
        <v>0</v>
      </c>
      <c r="AP68" s="356">
        <f>' VVF Sales - PUC &amp; Non PUC'!$E$25</f>
        <v>25.094000000000001</v>
      </c>
      <c r="AQ68" s="356">
        <f>' VVF Sales - PUC &amp; Non PUC'!$E$26</f>
        <v>0</v>
      </c>
      <c r="AR68" s="367">
        <f t="shared" si="11"/>
        <v>318.3725</v>
      </c>
      <c r="AT68" s="354">
        <f>'Imports 2014-15'!D151</f>
        <v>0</v>
      </c>
      <c r="AU68" s="354">
        <f>'Imports 2014-15'!E151</f>
        <v>0</v>
      </c>
      <c r="AV68" s="354">
        <f>'Imports 2014-15'!F151</f>
        <v>52.160000000000004</v>
      </c>
      <c r="AW68" s="354">
        <f>'Imports 2014-15'!G151</f>
        <v>5022.21</v>
      </c>
      <c r="AX68" s="354">
        <f>'Imports 2014-15'!H151</f>
        <v>1061.5900000000001</v>
      </c>
      <c r="AY68" s="354">
        <f>'Imports 2014-15'!I151</f>
        <v>132.12</v>
      </c>
      <c r="AZ68" s="354">
        <f>'Imports 2014-15'!J151</f>
        <v>0</v>
      </c>
      <c r="BA68" s="354">
        <f>'Imports 2014-15'!K151</f>
        <v>12</v>
      </c>
      <c r="BB68" s="354">
        <f>'Imports 2014-15'!L151</f>
        <v>0</v>
      </c>
      <c r="BC68" s="354">
        <f>'Imports 2014-15'!M151</f>
        <v>32</v>
      </c>
      <c r="BD68" s="363">
        <f>'Imports 2014-15'!N151</f>
        <v>6312.08</v>
      </c>
      <c r="BF68" s="354">
        <f>'Imports 2014-15'!S151/10^5</f>
        <v>0</v>
      </c>
      <c r="BG68" s="354">
        <f>'Imports 2014-15'!T151/10^5</f>
        <v>0</v>
      </c>
      <c r="BH68" s="354">
        <f>'Imports 2014-15'!U151/10^5</f>
        <v>62.802759499999993</v>
      </c>
      <c r="BI68" s="354">
        <f>'Imports 2014-15'!V151/10^5</f>
        <v>5619.0160631000008</v>
      </c>
      <c r="BJ68" s="354">
        <f>'Imports 2014-15'!W151/10^5</f>
        <v>1341.0383967</v>
      </c>
      <c r="BK68" s="354">
        <f>'Imports 2014-15'!X151/10^5</f>
        <v>158.60925140000001</v>
      </c>
      <c r="BL68" s="354">
        <f>'Imports 2014-15'!Y151/10^5</f>
        <v>0</v>
      </c>
      <c r="BM68" s="354">
        <f>'Imports 2014-15'!Z151/10^5</f>
        <v>13.920426000000001</v>
      </c>
      <c r="BN68" s="354">
        <f>'Imports 2014-15'!AA151/10^5</f>
        <v>0</v>
      </c>
      <c r="BO68" s="354">
        <f>'Imports 2014-15'!AB151/10^5</f>
        <v>32.423423999999997</v>
      </c>
      <c r="BP68" s="363">
        <f>'Imports 2014-15'!AC151/10^5</f>
        <v>7227.8103207000004</v>
      </c>
      <c r="BR68" s="354"/>
      <c r="BS68" s="354"/>
      <c r="BT68" s="354"/>
      <c r="BU68" s="354">
        <v>1543.18</v>
      </c>
      <c r="BV68" s="354"/>
      <c r="BW68" s="354"/>
      <c r="BX68" s="354"/>
      <c r="BY68" s="354">
        <v>935.9849999999999</v>
      </c>
      <c r="BZ68" s="354">
        <v>2750.5900000000006</v>
      </c>
      <c r="CA68" s="354">
        <v>612.80999999999995</v>
      </c>
      <c r="CB68" s="363">
        <f t="shared" si="2"/>
        <v>5842.5650000000005</v>
      </c>
      <c r="CD68" s="354">
        <v>0</v>
      </c>
      <c r="CE68" s="354"/>
      <c r="CF68" s="354">
        <v>0</v>
      </c>
      <c r="CG68" s="354">
        <v>1710.5330925999999</v>
      </c>
      <c r="CH68" s="354">
        <v>0</v>
      </c>
      <c r="CI68" s="354">
        <v>0</v>
      </c>
      <c r="CJ68" s="354"/>
      <c r="CK68" s="354">
        <v>989.34663809999984</v>
      </c>
      <c r="CL68" s="354">
        <v>2525.5484057000003</v>
      </c>
      <c r="CM68" s="354">
        <v>614.82585710000001</v>
      </c>
      <c r="CN68" s="363">
        <f t="shared" si="3"/>
        <v>5840.2539934999995</v>
      </c>
    </row>
    <row r="69" spans="1:92">
      <c r="A69" s="353">
        <v>41760</v>
      </c>
      <c r="B69" s="397">
        <v>0</v>
      </c>
      <c r="C69" s="397">
        <v>0</v>
      </c>
      <c r="D69" s="397">
        <v>0</v>
      </c>
      <c r="E69" s="397">
        <v>0</v>
      </c>
      <c r="F69" s="397">
        <v>0</v>
      </c>
      <c r="G69" s="399"/>
      <c r="H69" s="401">
        <v>0</v>
      </c>
      <c r="I69" s="15"/>
      <c r="J69" s="354">
        <f>' VVF Sales - PUC &amp; Non PUC'!$P$20</f>
        <v>0</v>
      </c>
      <c r="K69" s="354">
        <f>' VVF Sales - PUC &amp; Non PUC'!$P$21</f>
        <v>656.4300000000004</v>
      </c>
      <c r="L69" s="354">
        <f>' VVF Sales - PUC &amp; Non PUC'!$P$22</f>
        <v>0</v>
      </c>
      <c r="M69" s="354">
        <f>' VVF Sales - PUC &amp; Non PUC'!$P$23</f>
        <v>0</v>
      </c>
      <c r="N69" s="354">
        <f>' VVF Sales - PUC &amp; Non PUC'!$P$24</f>
        <v>13</v>
      </c>
      <c r="O69" s="354">
        <f>' VVF Sales - PUC &amp; Non PUC'!$P$25</f>
        <v>316.82499999999999</v>
      </c>
      <c r="P69" s="354">
        <f>' VVF Sales - PUC &amp; Non PUC'!$P$26</f>
        <v>0</v>
      </c>
      <c r="Q69" s="363">
        <f t="shared" si="8"/>
        <v>986.25500000000034</v>
      </c>
      <c r="S69" s="354">
        <f>' VVF Sales - PUC &amp; Non PUC'!$Q$20</f>
        <v>0</v>
      </c>
      <c r="T69" s="354">
        <f>' VVF Sales - PUC &amp; Non PUC'!$Q$21</f>
        <v>764.35472089999985</v>
      </c>
      <c r="U69" s="354">
        <f>' VVF Sales - PUC &amp; Non PUC'!$Q$22</f>
        <v>0</v>
      </c>
      <c r="V69" s="354">
        <f>' VVF Sales - PUC &amp; Non PUC'!$Q$23</f>
        <v>0</v>
      </c>
      <c r="W69" s="354">
        <f>' VVF Sales - PUC &amp; Non PUC'!$Q$24</f>
        <v>14.607328500000001</v>
      </c>
      <c r="X69" s="354">
        <f>' VVF Sales - PUC &amp; Non PUC'!$Q$25</f>
        <v>326.66125</v>
      </c>
      <c r="Y69" s="354">
        <f>' VVF Sales - PUC &amp; Non PUC'!$Q$26</f>
        <v>0</v>
      </c>
      <c r="Z69" s="363">
        <f t="shared" si="10"/>
        <v>1105.6232993999997</v>
      </c>
      <c r="AB69" s="356">
        <f>' VVF Sales - PUC &amp; Non PUC'!$R$20</f>
        <v>0</v>
      </c>
      <c r="AC69" s="356">
        <f>' VVF Sales - PUC &amp; Non PUC'!$R$21</f>
        <v>226.06</v>
      </c>
      <c r="AD69" s="356">
        <f>' VVF Sales - PUC &amp; Non PUC'!$R$22</f>
        <v>0</v>
      </c>
      <c r="AE69" s="356">
        <f>' VVF Sales - PUC &amp; Non PUC'!$R$23</f>
        <v>98.07</v>
      </c>
      <c r="AF69" s="356">
        <f>' VVF Sales - PUC &amp; Non PUC'!$R$24</f>
        <v>0</v>
      </c>
      <c r="AG69" s="356">
        <f>' VVF Sales - PUC &amp; Non PUC'!$R$25</f>
        <v>0</v>
      </c>
      <c r="AH69" s="356">
        <f>' VVF Sales - PUC &amp; Non PUC'!$R$26</f>
        <v>0</v>
      </c>
      <c r="AI69" s="367">
        <f t="shared" si="9"/>
        <v>324.13</v>
      </c>
      <c r="AK69" s="356">
        <f>' VVF Sales - PUC &amp; Non PUC'!$S$20</f>
        <v>0</v>
      </c>
      <c r="AL69" s="356">
        <f>' VVF Sales - PUC &amp; Non PUC'!$S$21</f>
        <v>283.58224999999999</v>
      </c>
      <c r="AM69" s="356">
        <f>' VVF Sales - PUC &amp; Non PUC'!$S$22</f>
        <v>0</v>
      </c>
      <c r="AN69" s="356">
        <f>' VVF Sales - PUC &amp; Non PUC'!$S$23</f>
        <v>116.7033</v>
      </c>
      <c r="AO69" s="356">
        <f>' VVF Sales - PUC &amp; Non PUC'!$S$24</f>
        <v>0</v>
      </c>
      <c r="AP69" s="356">
        <f>' VVF Sales - PUC &amp; Non PUC'!$S$25</f>
        <v>0</v>
      </c>
      <c r="AQ69" s="356">
        <f>' VVF Sales - PUC &amp; Non PUC'!$S$26</f>
        <v>0</v>
      </c>
      <c r="AR69" s="367">
        <f t="shared" si="11"/>
        <v>400.28555</v>
      </c>
      <c r="AT69" s="354">
        <f>'Imports 2014-15'!D152</f>
        <v>0</v>
      </c>
      <c r="AU69" s="354">
        <f>'Imports 2014-15'!E152</f>
        <v>0</v>
      </c>
      <c r="AV69" s="354">
        <f>'Imports 2014-15'!F152</f>
        <v>77.400000000000006</v>
      </c>
      <c r="AW69" s="354">
        <f>'Imports 2014-15'!G152</f>
        <v>5745.41</v>
      </c>
      <c r="AX69" s="354">
        <f>'Imports 2014-15'!H152</f>
        <v>1136.73</v>
      </c>
      <c r="AY69" s="354">
        <f>'Imports 2014-15'!I152</f>
        <v>132.34</v>
      </c>
      <c r="AZ69" s="354">
        <f>'Imports 2014-15'!J152</f>
        <v>0</v>
      </c>
      <c r="BA69" s="354">
        <f>'Imports 2014-15'!K152</f>
        <v>30</v>
      </c>
      <c r="BB69" s="354">
        <f>'Imports 2014-15'!L152</f>
        <v>58</v>
      </c>
      <c r="BC69" s="354">
        <f>'Imports 2014-15'!M152</f>
        <v>0</v>
      </c>
      <c r="BD69" s="363">
        <f>'Imports 2014-15'!N152</f>
        <v>7179.8799999999992</v>
      </c>
      <c r="BF69" s="354">
        <f>'Imports 2014-15'!S152/10^5</f>
        <v>0</v>
      </c>
      <c r="BG69" s="354">
        <f>'Imports 2014-15'!T152/10^5</f>
        <v>0</v>
      </c>
      <c r="BH69" s="354">
        <f>'Imports 2014-15'!U152/10^5</f>
        <v>87.345375199999992</v>
      </c>
      <c r="BI69" s="354">
        <f>'Imports 2014-15'!V152/10^5</f>
        <v>6420.215735400001</v>
      </c>
      <c r="BJ69" s="354">
        <f>'Imports 2014-15'!W152/10^5</f>
        <v>1412.1594488999999</v>
      </c>
      <c r="BK69" s="354">
        <f>'Imports 2014-15'!X152/10^5</f>
        <v>158.65715950000001</v>
      </c>
      <c r="BL69" s="354">
        <f>'Imports 2014-15'!Y152/10^5</f>
        <v>0</v>
      </c>
      <c r="BM69" s="354">
        <f>'Imports 2014-15'!Z152/10^5</f>
        <v>35.739456000000004</v>
      </c>
      <c r="BN69" s="354">
        <f>'Imports 2014-15'!AA152/10^5</f>
        <v>58.972993700000011</v>
      </c>
      <c r="BO69" s="354">
        <f>'Imports 2014-15'!AB152/10^5</f>
        <v>0</v>
      </c>
      <c r="BP69" s="363">
        <f>'Imports 2014-15'!AC152/10^5</f>
        <v>8173.0901687000014</v>
      </c>
      <c r="BR69" s="354"/>
      <c r="BS69" s="354"/>
      <c r="BT69" s="354"/>
      <c r="BU69" s="354">
        <v>844.02</v>
      </c>
      <c r="BV69" s="354"/>
      <c r="BW69" s="354"/>
      <c r="BX69" s="354"/>
      <c r="BY69" s="354">
        <v>913.8069999999999</v>
      </c>
      <c r="BZ69" s="354">
        <v>1902.5950000000003</v>
      </c>
      <c r="CA69" s="354">
        <v>275.35500000000002</v>
      </c>
      <c r="CB69" s="363">
        <f t="shared" si="2"/>
        <v>3935.777</v>
      </c>
      <c r="CD69" s="354">
        <v>0</v>
      </c>
      <c r="CE69" s="354"/>
      <c r="CF69" s="354">
        <v>0</v>
      </c>
      <c r="CG69" s="354">
        <v>955.41548130000024</v>
      </c>
      <c r="CH69" s="354">
        <v>0</v>
      </c>
      <c r="CI69" s="354">
        <v>0</v>
      </c>
      <c r="CJ69" s="354"/>
      <c r="CK69" s="354">
        <v>972.19329269999946</v>
      </c>
      <c r="CL69" s="354">
        <v>1799.6445295999995</v>
      </c>
      <c r="CM69" s="354">
        <v>273.81139410000003</v>
      </c>
      <c r="CN69" s="363">
        <f t="shared" si="3"/>
        <v>4001.0646976999997</v>
      </c>
    </row>
    <row r="70" spans="1:92">
      <c r="A70" s="353">
        <v>41791</v>
      </c>
      <c r="B70" s="397">
        <v>0</v>
      </c>
      <c r="C70" s="397">
        <v>0</v>
      </c>
      <c r="D70" s="397">
        <v>0</v>
      </c>
      <c r="E70" s="397">
        <v>0</v>
      </c>
      <c r="F70" s="397">
        <v>0</v>
      </c>
      <c r="G70" s="399"/>
      <c r="H70" s="401">
        <v>0</v>
      </c>
      <c r="I70" s="15"/>
      <c r="J70" s="354">
        <f>' VVF Sales - PUC &amp; Non PUC'!$AD$20</f>
        <v>0</v>
      </c>
      <c r="K70" s="354">
        <f>' VVF Sales - PUC &amp; Non PUC'!$AD$21</f>
        <v>384.78</v>
      </c>
      <c r="L70" s="354">
        <f>' VVF Sales - PUC &amp; Non PUC'!$AD$22</f>
        <v>0</v>
      </c>
      <c r="M70" s="354">
        <f>' VVF Sales - PUC &amp; Non PUC'!$AD$23</f>
        <v>126.15</v>
      </c>
      <c r="N70" s="354">
        <f>' VVF Sales - PUC &amp; Non PUC'!$AD$24</f>
        <v>13.799999999999999</v>
      </c>
      <c r="O70" s="354">
        <f>' VVF Sales - PUC &amp; Non PUC'!$AD$25</f>
        <v>341.8</v>
      </c>
      <c r="P70" s="354">
        <f>' VVF Sales - PUC &amp; Non PUC'!$AD$26</f>
        <v>0</v>
      </c>
      <c r="Q70" s="363">
        <f t="shared" si="8"/>
        <v>866.53</v>
      </c>
      <c r="S70" s="354">
        <f>' VVF Sales - PUC &amp; Non PUC'!$AE$20</f>
        <v>0</v>
      </c>
      <c r="T70" s="354">
        <f>' VVF Sales - PUC &amp; Non PUC'!$AE$21</f>
        <v>438.5292786</v>
      </c>
      <c r="U70" s="354">
        <f>' VVF Sales - PUC &amp; Non PUC'!$AE$22</f>
        <v>0</v>
      </c>
      <c r="V70" s="354">
        <f>' VVF Sales - PUC &amp; Non PUC'!$AE$23</f>
        <v>140.99061780000002</v>
      </c>
      <c r="W70" s="354">
        <f>' VVF Sales - PUC &amp; Non PUC'!$AE$24</f>
        <v>15.4164607</v>
      </c>
      <c r="X70" s="354">
        <f>' VVF Sales - PUC &amp; Non PUC'!$AE$25</f>
        <v>346.89660799999996</v>
      </c>
      <c r="Y70" s="354">
        <f>' VVF Sales - PUC &amp; Non PUC'!$AE$26</f>
        <v>0</v>
      </c>
      <c r="Z70" s="363">
        <f t="shared" si="10"/>
        <v>941.83296509999991</v>
      </c>
      <c r="AB70" s="356">
        <f>' VVF Sales - PUC &amp; Non PUC'!$AF$20</f>
        <v>0</v>
      </c>
      <c r="AC70" s="356">
        <f>' VVF Sales - PUC &amp; Non PUC'!$AF$21</f>
        <v>83.990000000000009</v>
      </c>
      <c r="AD70" s="356">
        <f>' VVF Sales - PUC &amp; Non PUC'!$AF$22</f>
        <v>0</v>
      </c>
      <c r="AE70" s="356">
        <f>' VVF Sales - PUC &amp; Non PUC'!$AF$23</f>
        <v>0</v>
      </c>
      <c r="AF70" s="356">
        <f>' VVF Sales - PUC &amp; Non PUC'!$AF$24</f>
        <v>0</v>
      </c>
      <c r="AG70" s="356">
        <f>' VVF Sales - PUC &amp; Non PUC'!$AF$25</f>
        <v>4.5</v>
      </c>
      <c r="AH70" s="356">
        <f>' VVF Sales - PUC &amp; Non PUC'!$AF$26</f>
        <v>0</v>
      </c>
      <c r="AI70" s="367">
        <f t="shared" si="9"/>
        <v>88.490000000000009</v>
      </c>
      <c r="AK70" s="356">
        <f>' VVF Sales - PUC &amp; Non PUC'!$AG$20</f>
        <v>0</v>
      </c>
      <c r="AL70" s="356">
        <f>' VVF Sales - PUC &amp; Non PUC'!$AG$21</f>
        <v>118.4259</v>
      </c>
      <c r="AM70" s="356">
        <f>' VVF Sales - PUC &amp; Non PUC'!$AG$22</f>
        <v>0</v>
      </c>
      <c r="AN70" s="356">
        <f>' VVF Sales - PUC &amp; Non PUC'!$AG$23</f>
        <v>0</v>
      </c>
      <c r="AO70" s="356">
        <f>' VVF Sales - PUC &amp; Non PUC'!$AG$24</f>
        <v>0</v>
      </c>
      <c r="AP70" s="356">
        <f>' VVF Sales - PUC &amp; Non PUC'!$AG$25</f>
        <v>4.6574999999999998</v>
      </c>
      <c r="AQ70" s="356">
        <f>' VVF Sales - PUC &amp; Non PUC'!$AG$26</f>
        <v>0</v>
      </c>
      <c r="AR70" s="367">
        <f t="shared" si="11"/>
        <v>123.0834</v>
      </c>
      <c r="AT70" s="354">
        <f>'Imports 2014-15'!D153</f>
        <v>0</v>
      </c>
      <c r="AU70" s="354">
        <f>'Imports 2014-15'!E153</f>
        <v>0</v>
      </c>
      <c r="AV70" s="354">
        <f>'Imports 2014-15'!F153</f>
        <v>79.759999999999991</v>
      </c>
      <c r="AW70" s="354">
        <f>'Imports 2014-15'!G153</f>
        <v>5179.33</v>
      </c>
      <c r="AX70" s="354">
        <f>'Imports 2014-15'!H153</f>
        <v>877.72</v>
      </c>
      <c r="AY70" s="354">
        <f>'Imports 2014-15'!I153</f>
        <v>134.64000000000001</v>
      </c>
      <c r="AZ70" s="354">
        <f>'Imports 2014-15'!J153</f>
        <v>0</v>
      </c>
      <c r="BA70" s="354">
        <f>'Imports 2014-15'!K153</f>
        <v>5.5</v>
      </c>
      <c r="BB70" s="354">
        <f>'Imports 2014-15'!L153</f>
        <v>76.5</v>
      </c>
      <c r="BC70" s="354">
        <f>'Imports 2014-15'!M153</f>
        <v>15</v>
      </c>
      <c r="BD70" s="363">
        <f>'Imports 2014-15'!N153</f>
        <v>6368.4500000000007</v>
      </c>
      <c r="BF70" s="354">
        <f>'Imports 2014-15'!S153/10^5</f>
        <v>0</v>
      </c>
      <c r="BG70" s="354">
        <f>'Imports 2014-15'!T153/10^5</f>
        <v>0</v>
      </c>
      <c r="BH70" s="354">
        <f>'Imports 2014-15'!U153/10^5</f>
        <v>95.159166099999993</v>
      </c>
      <c r="BI70" s="354">
        <f>'Imports 2014-15'!V153/10^5</f>
        <v>5788.6741262000005</v>
      </c>
      <c r="BJ70" s="354">
        <f>'Imports 2014-15'!W153/10^5</f>
        <v>1013.4836153</v>
      </c>
      <c r="BK70" s="354">
        <f>'Imports 2014-15'!X153/10^5</f>
        <v>151.70375390000001</v>
      </c>
      <c r="BL70" s="354">
        <f>'Imports 2014-15'!Y153/10^5</f>
        <v>0</v>
      </c>
      <c r="BM70" s="354">
        <f>'Imports 2014-15'!Z153/10^5</f>
        <v>5.9593206000000007</v>
      </c>
      <c r="BN70" s="354">
        <f>'Imports 2014-15'!AA153/10^5</f>
        <v>77.883085199999996</v>
      </c>
      <c r="BO70" s="354">
        <f>'Imports 2014-15'!AB153/10^5</f>
        <v>14.961003799999999</v>
      </c>
      <c r="BP70" s="363">
        <f>'Imports 2014-15'!AC153/10^5</f>
        <v>7147.8240710999989</v>
      </c>
      <c r="BR70" s="354"/>
      <c r="BS70" s="354"/>
      <c r="BT70" s="354"/>
      <c r="BU70" s="354">
        <v>246.85</v>
      </c>
      <c r="BV70" s="354">
        <v>4042.35</v>
      </c>
      <c r="BW70" s="354">
        <v>263.14000000000004</v>
      </c>
      <c r="BX70" s="354"/>
      <c r="BY70" s="354">
        <v>971.08500000000015</v>
      </c>
      <c r="BZ70" s="354">
        <v>2891.9799999999991</v>
      </c>
      <c r="CA70" s="354">
        <v>497.77</v>
      </c>
      <c r="CB70" s="363">
        <f t="shared" si="2"/>
        <v>8913.1749999999993</v>
      </c>
      <c r="CD70" s="354">
        <v>0</v>
      </c>
      <c r="CE70" s="354"/>
      <c r="CF70" s="354">
        <v>0</v>
      </c>
      <c r="CG70" s="354">
        <v>223.55909</v>
      </c>
      <c r="CH70" s="354">
        <v>4320.0068239999991</v>
      </c>
      <c r="CI70" s="354">
        <v>243.71986999999999</v>
      </c>
      <c r="CJ70" s="354"/>
      <c r="CK70" s="354">
        <v>1029.3921029999999</v>
      </c>
      <c r="CL70" s="354">
        <v>2698.3523860000028</v>
      </c>
      <c r="CM70" s="354">
        <v>496.06999800000006</v>
      </c>
      <c r="CN70" s="363">
        <f t="shared" si="3"/>
        <v>9011.100271000003</v>
      </c>
    </row>
    <row r="71" spans="1:92">
      <c r="A71" s="353">
        <v>41821</v>
      </c>
      <c r="B71" s="397">
        <v>0</v>
      </c>
      <c r="C71" s="397">
        <v>0</v>
      </c>
      <c r="D71" s="397">
        <v>0</v>
      </c>
      <c r="E71" s="397">
        <v>0</v>
      </c>
      <c r="F71" s="397">
        <v>0</v>
      </c>
      <c r="G71" s="399"/>
      <c r="H71" s="401">
        <v>0</v>
      </c>
      <c r="I71" s="15"/>
      <c r="J71" s="354">
        <f>' VVF Sales - PUC &amp; Non PUC'!$AR$20</f>
        <v>14.62</v>
      </c>
      <c r="K71" s="354">
        <f>' VVF Sales - PUC &amp; Non PUC'!$AR$21</f>
        <v>631.2399999999999</v>
      </c>
      <c r="L71" s="354">
        <f>' VVF Sales - PUC &amp; Non PUC'!$AR$22</f>
        <v>0</v>
      </c>
      <c r="M71" s="354">
        <f>' VVF Sales - PUC &amp; Non PUC'!$AR$23</f>
        <v>112.88999999999999</v>
      </c>
      <c r="N71" s="354">
        <f>' VVF Sales - PUC &amp; Non PUC'!$AR$24</f>
        <v>10</v>
      </c>
      <c r="O71" s="354">
        <f>' VVF Sales - PUC &amp; Non PUC'!$AR$25</f>
        <v>281.92499999999995</v>
      </c>
      <c r="P71" s="354">
        <f>' VVF Sales - PUC &amp; Non PUC'!$AR$26</f>
        <v>0</v>
      </c>
      <c r="Q71" s="363">
        <f t="shared" si="8"/>
        <v>1050.6749999999997</v>
      </c>
      <c r="S71" s="354">
        <f>' VVF Sales - PUC &amp; Non PUC'!$AS$20</f>
        <v>23.687324</v>
      </c>
      <c r="T71" s="354">
        <f>' VVF Sales - PUC &amp; Non PUC'!$AS$21</f>
        <v>707.42374230000019</v>
      </c>
      <c r="U71" s="354">
        <f>' VVF Sales - PUC &amp; Non PUC'!$AS$22</f>
        <v>0</v>
      </c>
      <c r="V71" s="354">
        <f>' VVF Sales - PUC &amp; Non PUC'!$AS$23</f>
        <v>122.9961617</v>
      </c>
      <c r="W71" s="354">
        <f>' VVF Sales - PUC &amp; Non PUC'!$AS$24</f>
        <v>10.924818700000001</v>
      </c>
      <c r="X71" s="354">
        <f>' VVF Sales - PUC &amp; Non PUC'!$AS$25</f>
        <v>281.88263380000001</v>
      </c>
      <c r="Y71" s="354">
        <f>' VVF Sales - PUC &amp; Non PUC'!$AS$26</f>
        <v>0</v>
      </c>
      <c r="Z71" s="363">
        <f t="shared" si="10"/>
        <v>1146.9146805</v>
      </c>
      <c r="AB71" s="356">
        <f>' VVF Sales - PUC &amp; Non PUC'!$AT$20</f>
        <v>0</v>
      </c>
      <c r="AC71" s="356">
        <f>' VVF Sales - PUC &amp; Non PUC'!$AT$21</f>
        <v>174.92</v>
      </c>
      <c r="AD71" s="356">
        <f>' VVF Sales - PUC &amp; Non PUC'!$AT$22</f>
        <v>0</v>
      </c>
      <c r="AE71" s="356">
        <f>' VVF Sales - PUC &amp; Non PUC'!$AT$23</f>
        <v>0</v>
      </c>
      <c r="AF71" s="356">
        <f>' VVF Sales - PUC &amp; Non PUC'!$AT$24</f>
        <v>0</v>
      </c>
      <c r="AG71" s="356">
        <f>' VVF Sales - PUC &amp; Non PUC'!$AT$25</f>
        <v>6.35</v>
      </c>
      <c r="AH71" s="356">
        <f>' VVF Sales - PUC &amp; Non PUC'!$AT$26</f>
        <v>0</v>
      </c>
      <c r="AI71" s="367">
        <f t="shared" si="9"/>
        <v>181.26999999999998</v>
      </c>
      <c r="AK71" s="356">
        <f>' VVF Sales - PUC &amp; Non PUC'!$AU$20</f>
        <v>0</v>
      </c>
      <c r="AL71" s="356">
        <f>' VVF Sales - PUC &amp; Non PUC'!$AU$21</f>
        <v>207.0872</v>
      </c>
      <c r="AM71" s="356">
        <f>' VVF Sales - PUC &amp; Non PUC'!$AU$22</f>
        <v>0</v>
      </c>
      <c r="AN71" s="356">
        <f>' VVF Sales - PUC &amp; Non PUC'!$AU$23</f>
        <v>0</v>
      </c>
      <c r="AO71" s="356">
        <f>' VVF Sales - PUC &amp; Non PUC'!$AU$24</f>
        <v>0</v>
      </c>
      <c r="AP71" s="356">
        <f>' VVF Sales - PUC &amp; Non PUC'!$AU$25</f>
        <v>6.4682500000000003</v>
      </c>
      <c r="AQ71" s="356">
        <f>' VVF Sales - PUC &amp; Non PUC'!$AU$26</f>
        <v>0</v>
      </c>
      <c r="AR71" s="367">
        <f t="shared" si="11"/>
        <v>213.55545000000001</v>
      </c>
      <c r="AT71" s="354">
        <f>'Imports 2014-15'!D154</f>
        <v>0</v>
      </c>
      <c r="AU71" s="354">
        <f>'Imports 2014-15'!E154</f>
        <v>0</v>
      </c>
      <c r="AV71" s="354">
        <f>'Imports 2014-15'!F154</f>
        <v>48.36</v>
      </c>
      <c r="AW71" s="354">
        <f>'Imports 2014-15'!G154</f>
        <v>5389.68</v>
      </c>
      <c r="AX71" s="354">
        <f>'Imports 2014-15'!H154</f>
        <v>497.67</v>
      </c>
      <c r="AY71" s="354">
        <f>'Imports 2014-15'!I154</f>
        <v>458.59999999999997</v>
      </c>
      <c r="AZ71" s="354">
        <f>'Imports 2014-15'!J154</f>
        <v>3.4</v>
      </c>
      <c r="BA71" s="354">
        <f>'Imports 2014-15'!K154</f>
        <v>41</v>
      </c>
      <c r="BB71" s="354">
        <f>'Imports 2014-15'!L154</f>
        <v>28</v>
      </c>
      <c r="BC71" s="354">
        <f>'Imports 2014-15'!M154</f>
        <v>17</v>
      </c>
      <c r="BD71" s="363">
        <f>'Imports 2014-15'!N154</f>
        <v>6483.71</v>
      </c>
      <c r="BF71" s="354">
        <f>'Imports 2014-15'!S154/10^5</f>
        <v>0</v>
      </c>
      <c r="BG71" s="354">
        <f>'Imports 2014-15'!T154/10^5</f>
        <v>0</v>
      </c>
      <c r="BH71" s="354">
        <f>'Imports 2014-15'!U154/10^5</f>
        <v>56.563524900000004</v>
      </c>
      <c r="BI71" s="354">
        <f>'Imports 2014-15'!V154/10^5</f>
        <v>6030.8962807000007</v>
      </c>
      <c r="BJ71" s="354">
        <f>'Imports 2014-15'!W154/10^5</f>
        <v>584.07543750000002</v>
      </c>
      <c r="BK71" s="354">
        <f>'Imports 2014-15'!X154/10^5</f>
        <v>529.31949860000009</v>
      </c>
      <c r="BL71" s="354">
        <f>'Imports 2014-15'!Y154/10^5</f>
        <v>4.4815417000000002</v>
      </c>
      <c r="BM71" s="354">
        <f>'Imports 2014-15'!Z154/10^5</f>
        <v>47.819732700000003</v>
      </c>
      <c r="BN71" s="354">
        <f>'Imports 2014-15'!AA154/10^5</f>
        <v>27.518183499999999</v>
      </c>
      <c r="BO71" s="354">
        <f>'Imports 2014-15'!AB154/10^5</f>
        <v>17.504835199999999</v>
      </c>
      <c r="BP71" s="363">
        <f>'Imports 2014-15'!AC154/10^5</f>
        <v>7298.1790348000004</v>
      </c>
      <c r="BR71" s="354"/>
      <c r="BS71" s="354"/>
      <c r="BT71" s="354"/>
      <c r="BU71" s="354">
        <v>315.45000000000005</v>
      </c>
      <c r="BV71" s="354"/>
      <c r="BW71" s="354">
        <v>306.07</v>
      </c>
      <c r="BX71" s="354"/>
      <c r="BY71" s="354">
        <v>559.74500000000012</v>
      </c>
      <c r="BZ71" s="354">
        <v>2379.860000000001</v>
      </c>
      <c r="CA71" s="354">
        <v>328.48499999999996</v>
      </c>
      <c r="CB71" s="363">
        <f t="shared" si="2"/>
        <v>3889.610000000001</v>
      </c>
      <c r="CD71" s="354">
        <v>0</v>
      </c>
      <c r="CE71" s="354"/>
      <c r="CF71" s="354">
        <v>0</v>
      </c>
      <c r="CG71" s="354">
        <v>330.87259399999999</v>
      </c>
      <c r="CH71" s="354">
        <v>0</v>
      </c>
      <c r="CI71" s="354">
        <v>275.28835019999997</v>
      </c>
      <c r="CJ71" s="354"/>
      <c r="CK71" s="354">
        <v>593.45258510000008</v>
      </c>
      <c r="CL71" s="354">
        <v>2262.1100293</v>
      </c>
      <c r="CM71" s="354">
        <v>334.12264729999998</v>
      </c>
      <c r="CN71" s="363">
        <f t="shared" si="3"/>
        <v>3795.8462058999999</v>
      </c>
    </row>
    <row r="72" spans="1:92">
      <c r="A72" s="353">
        <v>41852</v>
      </c>
      <c r="B72" s="397">
        <v>0</v>
      </c>
      <c r="C72" s="397">
        <v>0</v>
      </c>
      <c r="D72" s="397">
        <v>0</v>
      </c>
      <c r="E72" s="397">
        <v>0</v>
      </c>
      <c r="F72" s="397">
        <v>0</v>
      </c>
      <c r="G72" s="399"/>
      <c r="H72" s="401">
        <v>0</v>
      </c>
      <c r="I72" s="15"/>
      <c r="J72" s="354">
        <f>' VVF Sales - PUC &amp; Non PUC'!$BF$20</f>
        <v>0</v>
      </c>
      <c r="K72" s="354">
        <f>' VVF Sales - PUC &amp; Non PUC'!$BF$21</f>
        <v>530.21999999999991</v>
      </c>
      <c r="L72" s="354">
        <f>' VVF Sales - PUC &amp; Non PUC'!$BF$22</f>
        <v>9.65</v>
      </c>
      <c r="M72" s="354">
        <f>' VVF Sales - PUC &amp; Non PUC'!$BF$23</f>
        <v>57.28</v>
      </c>
      <c r="N72" s="354">
        <f>' VVF Sales - PUC &amp; Non PUC'!$BF$24</f>
        <v>10</v>
      </c>
      <c r="O72" s="354">
        <f>' VVF Sales - PUC &amp; Non PUC'!$BF$25</f>
        <v>185.3</v>
      </c>
      <c r="P72" s="354">
        <f>' VVF Sales - PUC &amp; Non PUC'!$BF$26</f>
        <v>2.5</v>
      </c>
      <c r="Q72" s="363">
        <f t="shared" si="8"/>
        <v>794.94999999999982</v>
      </c>
      <c r="S72" s="354">
        <f>' VVF Sales - PUC &amp; Non PUC'!$BG$20</f>
        <v>0</v>
      </c>
      <c r="T72" s="354">
        <f>' VVF Sales - PUC &amp; Non PUC'!$BG$21</f>
        <v>584.04082110000013</v>
      </c>
      <c r="U72" s="354">
        <f>' VVF Sales - PUC &amp; Non PUC'!$BG$22</f>
        <v>10.6963852</v>
      </c>
      <c r="V72" s="354">
        <f>' VVF Sales - PUC &amp; Non PUC'!$BG$23</f>
        <v>65.517644199999992</v>
      </c>
      <c r="W72" s="354">
        <f>' VVF Sales - PUC &amp; Non PUC'!$BG$24</f>
        <v>10.9012046</v>
      </c>
      <c r="X72" s="354">
        <f>' VVF Sales - PUC &amp; Non PUC'!$BG$25</f>
        <v>191.25313370000001</v>
      </c>
      <c r="Y72" s="354">
        <f>' VVF Sales - PUC &amp; Non PUC'!$BG$26</f>
        <v>2.6024096000000001</v>
      </c>
      <c r="Z72" s="363">
        <f t="shared" si="10"/>
        <v>865.01159840000014</v>
      </c>
      <c r="AB72" s="356">
        <f>' VVF Sales - PUC &amp; Non PUC'!$BH$20</f>
        <v>0</v>
      </c>
      <c r="AC72" s="356">
        <f>' VVF Sales - PUC &amp; Non PUC'!$BH$21</f>
        <v>111.31</v>
      </c>
      <c r="AD72" s="356">
        <f>' VVF Sales - PUC &amp; Non PUC'!$BH$22</f>
        <v>0</v>
      </c>
      <c r="AE72" s="356">
        <f>' VVF Sales - PUC &amp; Non PUC'!$BH$23</f>
        <v>69.050000000000011</v>
      </c>
      <c r="AF72" s="356">
        <f>' VVF Sales - PUC &amp; Non PUC'!$BH$24</f>
        <v>0</v>
      </c>
      <c r="AG72" s="356">
        <f>' VVF Sales - PUC &amp; Non PUC'!$BH$25</f>
        <v>0</v>
      </c>
      <c r="AH72" s="356">
        <f>' VVF Sales - PUC &amp; Non PUC'!$BH$26</f>
        <v>0</v>
      </c>
      <c r="AI72" s="367">
        <f t="shared" si="9"/>
        <v>180.36</v>
      </c>
      <c r="AK72" s="356">
        <f>' VVF Sales - PUC &amp; Non PUC'!$BI$20</f>
        <v>0</v>
      </c>
      <c r="AL72" s="356">
        <f>' VVF Sales - PUC &amp; Non PUC'!$BI$21</f>
        <v>138.28105200000002</v>
      </c>
      <c r="AM72" s="356">
        <f>' VVF Sales - PUC &amp; Non PUC'!$BI$22</f>
        <v>0</v>
      </c>
      <c r="AN72" s="356">
        <f>' VVF Sales - PUC &amp; Non PUC'!$BI$23</f>
        <v>76.798900000000003</v>
      </c>
      <c r="AO72" s="356">
        <f>' VVF Sales - PUC &amp; Non PUC'!$BI$24</f>
        <v>0</v>
      </c>
      <c r="AP72" s="356">
        <f>' VVF Sales - PUC &amp; Non PUC'!$BI$25</f>
        <v>0</v>
      </c>
      <c r="AQ72" s="356">
        <f>' VVF Sales - PUC &amp; Non PUC'!$BI$26</f>
        <v>0</v>
      </c>
      <c r="AR72" s="367">
        <f t="shared" si="11"/>
        <v>215.07995200000002</v>
      </c>
      <c r="AT72" s="354">
        <f>'Imports 2014-15'!D155</f>
        <v>20.07</v>
      </c>
      <c r="AU72" s="354">
        <f>'Imports 2014-15'!E155</f>
        <v>0</v>
      </c>
      <c r="AV72" s="354">
        <f>'Imports 2014-15'!F155</f>
        <v>10.199999999999999</v>
      </c>
      <c r="AW72" s="354">
        <f>'Imports 2014-15'!G155</f>
        <v>3295.46</v>
      </c>
      <c r="AX72" s="354">
        <f>'Imports 2014-15'!H155</f>
        <v>837.48</v>
      </c>
      <c r="AY72" s="354">
        <f>'Imports 2014-15'!I155</f>
        <v>0</v>
      </c>
      <c r="AZ72" s="354">
        <f>'Imports 2014-15'!J155</f>
        <v>0</v>
      </c>
      <c r="BA72" s="354">
        <f>'Imports 2014-15'!K155</f>
        <v>30</v>
      </c>
      <c r="BB72" s="354">
        <f>'Imports 2014-15'!L155</f>
        <v>0</v>
      </c>
      <c r="BC72" s="354">
        <f>'Imports 2014-15'!M155</f>
        <v>60</v>
      </c>
      <c r="BD72" s="363">
        <f>'Imports 2014-15'!N155</f>
        <v>4253.21</v>
      </c>
      <c r="BF72" s="354">
        <f>'Imports 2014-15'!S155/10^5</f>
        <v>39.722019799999998</v>
      </c>
      <c r="BG72" s="354">
        <f>'Imports 2014-15'!T155/10^5</f>
        <v>0</v>
      </c>
      <c r="BH72" s="354">
        <f>'Imports 2014-15'!U155/10^5</f>
        <v>11.881296599999999</v>
      </c>
      <c r="BI72" s="354">
        <f>'Imports 2014-15'!V155/10^5</f>
        <v>3688.8514416999997</v>
      </c>
      <c r="BJ72" s="354">
        <f>'Imports 2014-15'!W155/10^5</f>
        <v>910.41078300000015</v>
      </c>
      <c r="BK72" s="354">
        <f>'Imports 2014-15'!X155/10^5</f>
        <v>0</v>
      </c>
      <c r="BL72" s="354">
        <f>'Imports 2014-15'!Y155/10^5</f>
        <v>0</v>
      </c>
      <c r="BM72" s="354">
        <f>'Imports 2014-15'!Z155/10^5</f>
        <v>35.680673999999996</v>
      </c>
      <c r="BN72" s="354">
        <f>'Imports 2014-15'!AA155/10^5</f>
        <v>0</v>
      </c>
      <c r="BO72" s="354">
        <f>'Imports 2014-15'!AB155/10^5</f>
        <v>61.814272500000001</v>
      </c>
      <c r="BP72" s="363">
        <f>'Imports 2014-15'!AC155/10^5</f>
        <v>4748.360487599999</v>
      </c>
      <c r="BR72" s="354"/>
      <c r="BS72" s="354"/>
      <c r="BT72" s="354"/>
      <c r="BU72" s="354">
        <v>618.20999999999992</v>
      </c>
      <c r="BV72" s="354">
        <v>1508.05</v>
      </c>
      <c r="BW72" s="354">
        <v>226.51</v>
      </c>
      <c r="BX72" s="354"/>
      <c r="BY72" s="354">
        <v>825.96999999999991</v>
      </c>
      <c r="BZ72" s="354">
        <v>2003.1399999999994</v>
      </c>
      <c r="CA72" s="354">
        <v>602.05999999999983</v>
      </c>
      <c r="CB72" s="363">
        <f t="shared" si="2"/>
        <v>5783.9399999999987</v>
      </c>
      <c r="CD72" s="354">
        <v>0</v>
      </c>
      <c r="CE72" s="354"/>
      <c r="CF72" s="354">
        <v>0</v>
      </c>
      <c r="CG72" s="354">
        <v>684.03954999999996</v>
      </c>
      <c r="CH72" s="354">
        <v>1412.35715</v>
      </c>
      <c r="CI72" s="354">
        <v>216.29361200000002</v>
      </c>
      <c r="CJ72" s="354"/>
      <c r="CK72" s="354">
        <v>878.68694249999987</v>
      </c>
      <c r="CL72" s="354">
        <v>1949.325005200001</v>
      </c>
      <c r="CM72" s="354">
        <v>634.41561129999991</v>
      </c>
      <c r="CN72" s="363">
        <f t="shared" si="3"/>
        <v>5775.1178710000013</v>
      </c>
    </row>
    <row r="73" spans="1:92">
      <c r="A73" s="353">
        <v>41883</v>
      </c>
      <c r="B73" s="397">
        <v>0</v>
      </c>
      <c r="C73" s="397">
        <v>0</v>
      </c>
      <c r="D73" s="397">
        <v>0</v>
      </c>
      <c r="E73" s="397">
        <v>0</v>
      </c>
      <c r="F73" s="397">
        <v>0</v>
      </c>
      <c r="G73" s="399"/>
      <c r="H73" s="401">
        <v>0.2</v>
      </c>
      <c r="I73" s="15"/>
      <c r="J73" s="354">
        <f>' VVF Sales - PUC &amp; Non PUC'!$BT$20</f>
        <v>0</v>
      </c>
      <c r="K73" s="354">
        <f>' VVF Sales - PUC &amp; Non PUC'!$BT$21</f>
        <v>513.78000000000009</v>
      </c>
      <c r="L73" s="354">
        <f>' VVF Sales - PUC &amp; Non PUC'!$BT$22</f>
        <v>0</v>
      </c>
      <c r="M73" s="354">
        <f>' VVF Sales - PUC &amp; Non PUC'!$BT$23</f>
        <v>3.4089999999999998</v>
      </c>
      <c r="N73" s="354">
        <f>' VVF Sales - PUC &amp; Non PUC'!$BT$24</f>
        <v>11</v>
      </c>
      <c r="O73" s="354">
        <f>' VVF Sales - PUC &amp; Non PUC'!$BT$25</f>
        <v>252.7</v>
      </c>
      <c r="P73" s="354">
        <f>' VVF Sales - PUC &amp; Non PUC'!$BT$26</f>
        <v>5</v>
      </c>
      <c r="Q73" s="363">
        <f t="shared" si="8"/>
        <v>785.88900000000012</v>
      </c>
      <c r="S73" s="354">
        <f>' VVF Sales - PUC &amp; Non PUC'!$BU$20</f>
        <v>0</v>
      </c>
      <c r="T73" s="354">
        <f>' VVF Sales - PUC &amp; Non PUC'!$BU$21</f>
        <v>487.78690840000002</v>
      </c>
      <c r="U73" s="354">
        <f>' VVF Sales - PUC &amp; Non PUC'!$BU$22</f>
        <v>0</v>
      </c>
      <c r="V73" s="354">
        <f>' VVF Sales - PUC &amp; Non PUC'!$BU$23</f>
        <v>3.1871923999999998</v>
      </c>
      <c r="W73" s="354">
        <f>' VVF Sales - PUC &amp; Non PUC'!$BU$24</f>
        <v>11.957108299999998</v>
      </c>
      <c r="X73" s="354">
        <f>' VVF Sales - PUC &amp; Non PUC'!$BU$25</f>
        <v>257.9406568</v>
      </c>
      <c r="Y73" s="354">
        <f>' VVF Sales - PUC &amp; Non PUC'!$BU$26</f>
        <v>5.1084334999999994</v>
      </c>
      <c r="Z73" s="363">
        <f t="shared" si="10"/>
        <v>765.98029940000015</v>
      </c>
      <c r="AB73" s="356">
        <f>' VVF Sales - PUC &amp; Non PUC'!$BV$20</f>
        <v>0</v>
      </c>
      <c r="AC73" s="356">
        <f>' VVF Sales - PUC &amp; Non PUC'!$BV$21</f>
        <v>275.59999999999997</v>
      </c>
      <c r="AD73" s="356">
        <f>' VVF Sales - PUC &amp; Non PUC'!$BV$22</f>
        <v>0</v>
      </c>
      <c r="AE73" s="356">
        <f>' VVF Sales - PUC &amp; Non PUC'!$BV$23</f>
        <v>96.640999999999991</v>
      </c>
      <c r="AF73" s="356">
        <f>' VVF Sales - PUC &amp; Non PUC'!$BV$24</f>
        <v>0</v>
      </c>
      <c r="AG73" s="356">
        <f>' VVF Sales - PUC &amp; Non PUC'!$BV$25</f>
        <v>0</v>
      </c>
      <c r="AH73" s="356">
        <f>' VVF Sales - PUC &amp; Non PUC'!$BV$26</f>
        <v>0</v>
      </c>
      <c r="AI73" s="367">
        <f t="shared" si="9"/>
        <v>372.24099999999999</v>
      </c>
      <c r="AK73" s="356">
        <f>' VVF Sales - PUC &amp; Non PUC'!$BW$20</f>
        <v>0</v>
      </c>
      <c r="AL73" s="356">
        <f>' VVF Sales - PUC &amp; Non PUC'!$BW$21</f>
        <v>275.3082</v>
      </c>
      <c r="AM73" s="356">
        <f>' VVF Sales - PUC &amp; Non PUC'!$BW$22</f>
        <v>0</v>
      </c>
      <c r="AN73" s="356">
        <f>' VVF Sales - PUC &amp; Non PUC'!$BW$23</f>
        <v>84.077669999999998</v>
      </c>
      <c r="AO73" s="356">
        <f>' VVF Sales - PUC &amp; Non PUC'!$BW$24</f>
        <v>0</v>
      </c>
      <c r="AP73" s="356">
        <f>' VVF Sales - PUC &amp; Non PUC'!$BW$25</f>
        <v>0</v>
      </c>
      <c r="AQ73" s="356">
        <f>' VVF Sales - PUC &amp; Non PUC'!$BW$26</f>
        <v>0</v>
      </c>
      <c r="AR73" s="367">
        <f t="shared" si="11"/>
        <v>359.38587000000001</v>
      </c>
      <c r="AT73" s="354">
        <f>'Imports 2014-15'!D156</f>
        <v>0</v>
      </c>
      <c r="AU73" s="354">
        <f>'Imports 2014-15'!E156</f>
        <v>37.57</v>
      </c>
      <c r="AV73" s="354">
        <f>'Imports 2014-15'!F156</f>
        <v>336.755</v>
      </c>
      <c r="AW73" s="354">
        <f>'Imports 2014-15'!G156</f>
        <v>5755.3599999999988</v>
      </c>
      <c r="AX73" s="354">
        <f>'Imports 2014-15'!H156</f>
        <v>996.3</v>
      </c>
      <c r="AY73" s="354">
        <f>'Imports 2014-15'!I156</f>
        <v>98.699999999999989</v>
      </c>
      <c r="AZ73" s="354">
        <f>'Imports 2014-15'!J156</f>
        <v>0</v>
      </c>
      <c r="BA73" s="354">
        <f>'Imports 2014-15'!K156</f>
        <v>102</v>
      </c>
      <c r="BB73" s="354">
        <f>'Imports 2014-15'!L156</f>
        <v>90</v>
      </c>
      <c r="BC73" s="354">
        <f>'Imports 2014-15'!M156</f>
        <v>30</v>
      </c>
      <c r="BD73" s="363">
        <f>'Imports 2014-15'!N156</f>
        <v>7446.6849999999986</v>
      </c>
      <c r="BF73" s="354">
        <f>'Imports 2014-15'!S156/10^5</f>
        <v>0</v>
      </c>
      <c r="BG73" s="354">
        <f>'Imports 2014-15'!T156/10^5</f>
        <v>57.1724514</v>
      </c>
      <c r="BH73" s="354">
        <f>'Imports 2014-15'!U156/10^5</f>
        <v>384.82371939999996</v>
      </c>
      <c r="BI73" s="354">
        <f>'Imports 2014-15'!V156/10^5</f>
        <v>5770.4252292000019</v>
      </c>
      <c r="BJ73" s="354">
        <f>'Imports 2014-15'!W156/10^5</f>
        <v>1003.0730016999998</v>
      </c>
      <c r="BK73" s="354">
        <f>'Imports 2014-15'!X156/10^5</f>
        <v>97.971771299999986</v>
      </c>
      <c r="BL73" s="354">
        <f>'Imports 2014-15'!Y156/10^5</f>
        <v>0</v>
      </c>
      <c r="BM73" s="354">
        <f>'Imports 2014-15'!Z156/10^5</f>
        <v>116.6356838</v>
      </c>
      <c r="BN73" s="354">
        <f>'Imports 2014-15'!AA156/10^5</f>
        <v>85.751045300000015</v>
      </c>
      <c r="BO73" s="354">
        <f>'Imports 2014-15'!AB156/10^5</f>
        <v>30.5594438</v>
      </c>
      <c r="BP73" s="363">
        <f>'Imports 2014-15'!AC156/10^5</f>
        <v>7546.4123459000011</v>
      </c>
      <c r="BR73" s="354"/>
      <c r="BS73" s="354"/>
      <c r="BT73" s="354"/>
      <c r="BU73" s="354">
        <v>972.24</v>
      </c>
      <c r="BV73" s="354"/>
      <c r="BW73" s="354"/>
      <c r="BX73" s="354"/>
      <c r="BY73" s="354">
        <v>742.72499999999991</v>
      </c>
      <c r="BZ73" s="354">
        <v>2497.6302000000001</v>
      </c>
      <c r="CA73" s="354">
        <v>418.88999999999993</v>
      </c>
      <c r="CB73" s="363">
        <f t="shared" ref="CB73:CB103" si="12">SUM(BR73:CA73)</f>
        <v>4631.4852000000001</v>
      </c>
      <c r="CD73" s="354">
        <v>0</v>
      </c>
      <c r="CE73" s="354"/>
      <c r="CF73" s="354">
        <v>0</v>
      </c>
      <c r="CG73" s="354">
        <v>923.24234530000001</v>
      </c>
      <c r="CH73" s="354">
        <v>0</v>
      </c>
      <c r="CI73" s="354">
        <v>0</v>
      </c>
      <c r="CJ73" s="354"/>
      <c r="CK73" s="354">
        <v>756.74471110000025</v>
      </c>
      <c r="CL73" s="354">
        <v>2285.6714530000004</v>
      </c>
      <c r="CM73" s="354">
        <v>435.5204710000001</v>
      </c>
      <c r="CN73" s="363">
        <f t="shared" ref="CN73:CN103" si="13">SUM(CD73:CM73)</f>
        <v>4401.1789804000009</v>
      </c>
    </row>
    <row r="74" spans="1:92">
      <c r="A74" s="353">
        <v>41913</v>
      </c>
      <c r="B74" s="397">
        <v>0</v>
      </c>
      <c r="C74" s="397">
        <v>0</v>
      </c>
      <c r="D74" s="397">
        <v>0</v>
      </c>
      <c r="E74" s="397">
        <v>0</v>
      </c>
      <c r="F74" s="397">
        <v>0</v>
      </c>
      <c r="G74" s="399"/>
      <c r="H74" s="401">
        <v>0.2</v>
      </c>
      <c r="I74" s="15"/>
      <c r="J74" s="354">
        <f>' VVF Sales - PUC &amp; Non PUC'!$CH$20</f>
        <v>0</v>
      </c>
      <c r="K74" s="354">
        <f>' VVF Sales - PUC &amp; Non PUC'!$CH$21</f>
        <v>334.21</v>
      </c>
      <c r="L74" s="354">
        <f>' VVF Sales - PUC &amp; Non PUC'!$CH$22</f>
        <v>0</v>
      </c>
      <c r="M74" s="354">
        <f>' VVF Sales - PUC &amp; Non PUC'!$CH$23</f>
        <v>20.43</v>
      </c>
      <c r="N74" s="354">
        <f>' VVF Sales - PUC &amp; Non PUC'!$CH$24</f>
        <v>2.5</v>
      </c>
      <c r="O74" s="354">
        <f>' VVF Sales - PUC &amp; Non PUC'!$CH$25</f>
        <v>246.50000000000003</v>
      </c>
      <c r="P74" s="354">
        <f>' VVF Sales - PUC &amp; Non PUC'!$CH$26</f>
        <v>34.299999999999997</v>
      </c>
      <c r="Q74" s="363">
        <f t="shared" si="8"/>
        <v>637.93999999999994</v>
      </c>
      <c r="S74" s="354">
        <f>' VVF Sales - PUC &amp; Non PUC'!$CI$20</f>
        <v>0</v>
      </c>
      <c r="T74" s="354">
        <f>' VVF Sales - PUC &amp; Non PUC'!$CI$21</f>
        <v>304.21342820000007</v>
      </c>
      <c r="U74" s="354">
        <f>' VVF Sales - PUC &amp; Non PUC'!$CI$22</f>
        <v>0</v>
      </c>
      <c r="V74" s="354">
        <f>' VVF Sales - PUC &amp; Non PUC'!$CI$23</f>
        <v>19.100715900000001</v>
      </c>
      <c r="W74" s="354">
        <f>' VVF Sales - PUC &amp; Non PUC'!$CI$24</f>
        <v>2.7614550000000002</v>
      </c>
      <c r="X74" s="354">
        <f>' VVF Sales - PUC &amp; Non PUC'!$CI$25</f>
        <v>251.67124260000003</v>
      </c>
      <c r="Y74" s="354">
        <f>' VVF Sales - PUC &amp; Non PUC'!$CI$26</f>
        <v>35.199995399999999</v>
      </c>
      <c r="Z74" s="363">
        <f t="shared" si="10"/>
        <v>612.94683710000015</v>
      </c>
      <c r="AB74" s="356">
        <f>' VVF Sales - PUC &amp; Non PUC'!$CJ$20</f>
        <v>0</v>
      </c>
      <c r="AC74" s="356">
        <f>' VVF Sales - PUC &amp; Non PUC'!$CJ$21</f>
        <v>390.3</v>
      </c>
      <c r="AD74" s="356">
        <f>' VVF Sales - PUC &amp; Non PUC'!$CJ$22</f>
        <v>0</v>
      </c>
      <c r="AE74" s="356">
        <f>' VVF Sales - PUC &amp; Non PUC'!$CJ$23</f>
        <v>0</v>
      </c>
      <c r="AF74" s="356">
        <f>' VVF Sales - PUC &amp; Non PUC'!$CJ$24</f>
        <v>0</v>
      </c>
      <c r="AG74" s="356">
        <f>' VVF Sales - PUC &amp; Non PUC'!$CJ$25</f>
        <v>0</v>
      </c>
      <c r="AH74" s="356">
        <f>' VVF Sales - PUC &amp; Non PUC'!$CJ$26</f>
        <v>0</v>
      </c>
      <c r="AI74" s="367">
        <f t="shared" si="9"/>
        <v>390.3</v>
      </c>
      <c r="AK74" s="356">
        <f>' VVF Sales - PUC &amp; Non PUC'!$CK$20</f>
        <v>0</v>
      </c>
      <c r="AL74" s="356">
        <f>' VVF Sales - PUC &amp; Non PUC'!$CK$21</f>
        <v>332.75757299999998</v>
      </c>
      <c r="AM74" s="356">
        <f>' VVF Sales - PUC &amp; Non PUC'!$CK$22</f>
        <v>0</v>
      </c>
      <c r="AN74" s="356">
        <f>' VVF Sales - PUC &amp; Non PUC'!$CK$23</f>
        <v>0</v>
      </c>
      <c r="AO74" s="356">
        <f>' VVF Sales - PUC &amp; Non PUC'!$CK$24</f>
        <v>0</v>
      </c>
      <c r="AP74" s="356">
        <f>' VVF Sales - PUC &amp; Non PUC'!$CK$25</f>
        <v>0</v>
      </c>
      <c r="AQ74" s="356">
        <f>' VVF Sales - PUC &amp; Non PUC'!$CK$26</f>
        <v>0</v>
      </c>
      <c r="AR74" s="367">
        <f t="shared" si="11"/>
        <v>332.75757299999998</v>
      </c>
      <c r="AT74" s="354">
        <f>'Imports 2014-15'!D157</f>
        <v>0</v>
      </c>
      <c r="AU74" s="354">
        <f>'Imports 2014-15'!E157</f>
        <v>0</v>
      </c>
      <c r="AV74" s="354">
        <f>'Imports 2014-15'!F157</f>
        <v>42.98</v>
      </c>
      <c r="AW74" s="354">
        <f>'Imports 2014-15'!G157</f>
        <v>5021.3900000000003</v>
      </c>
      <c r="AX74" s="354">
        <f>'Imports 2014-15'!H157</f>
        <v>1055.99</v>
      </c>
      <c r="AY74" s="354">
        <f>'Imports 2014-15'!I157</f>
        <v>215.04</v>
      </c>
      <c r="AZ74" s="354">
        <f>'Imports 2014-15'!J157</f>
        <v>0</v>
      </c>
      <c r="BA74" s="354">
        <f>'Imports 2014-15'!K157</f>
        <v>0</v>
      </c>
      <c r="BB74" s="354">
        <f>'Imports 2014-15'!L157</f>
        <v>20</v>
      </c>
      <c r="BC74" s="354">
        <f>'Imports 2014-15'!M157</f>
        <v>2</v>
      </c>
      <c r="BD74" s="363">
        <f>'Imports 2014-15'!N157</f>
        <v>6357.4</v>
      </c>
      <c r="BF74" s="354">
        <f>'Imports 2014-15'!S157/10^5</f>
        <v>0</v>
      </c>
      <c r="BG74" s="354">
        <f>'Imports 2014-15'!T157/10^5</f>
        <v>0</v>
      </c>
      <c r="BH74" s="354">
        <f>'Imports 2014-15'!U157/10^5</f>
        <v>50.881551100000003</v>
      </c>
      <c r="BI74" s="354">
        <f>'Imports 2014-15'!V157/10^5</f>
        <v>4492.8733195999994</v>
      </c>
      <c r="BJ74" s="354">
        <f>'Imports 2014-15'!W157/10^5</f>
        <v>962.80470050000008</v>
      </c>
      <c r="BK74" s="354">
        <f>'Imports 2014-15'!X157/10^5</f>
        <v>209.32866179999999</v>
      </c>
      <c r="BL74" s="354">
        <f>'Imports 2014-15'!Y157/10^5</f>
        <v>0</v>
      </c>
      <c r="BM74" s="354">
        <f>'Imports 2014-15'!Z157/10^5</f>
        <v>0</v>
      </c>
      <c r="BN74" s="354">
        <f>'Imports 2014-15'!AA157/10^5</f>
        <v>20.535183100000001</v>
      </c>
      <c r="BO74" s="354">
        <f>'Imports 2014-15'!AB157/10^5</f>
        <v>1.9816411999999999</v>
      </c>
      <c r="BP74" s="363">
        <f>'Imports 2014-15'!AC157/10^5</f>
        <v>5738.4050572999977</v>
      </c>
      <c r="BR74" s="354"/>
      <c r="BS74" s="354"/>
      <c r="BT74" s="354"/>
      <c r="BU74" s="354">
        <v>2146.3350000000005</v>
      </c>
      <c r="BV74" s="354">
        <v>326.09000000000003</v>
      </c>
      <c r="BW74" s="354"/>
      <c r="BX74" s="354"/>
      <c r="BY74" s="354">
        <v>794.30000000000007</v>
      </c>
      <c r="BZ74" s="354">
        <v>1794.7900000000002</v>
      </c>
      <c r="CA74" s="354">
        <v>449.99</v>
      </c>
      <c r="CB74" s="363">
        <f t="shared" si="12"/>
        <v>5511.505000000001</v>
      </c>
      <c r="CD74" s="354">
        <v>0</v>
      </c>
      <c r="CE74" s="354"/>
      <c r="CF74" s="354">
        <v>0</v>
      </c>
      <c r="CG74" s="354">
        <v>1844.8421737000003</v>
      </c>
      <c r="CH74" s="354">
        <v>263.93664940000002</v>
      </c>
      <c r="CI74" s="354">
        <v>0</v>
      </c>
      <c r="CJ74" s="354"/>
      <c r="CK74" s="354">
        <v>761.38943500000005</v>
      </c>
      <c r="CL74" s="354">
        <v>1704.1252371000007</v>
      </c>
      <c r="CM74" s="354">
        <v>472.65603670000002</v>
      </c>
      <c r="CN74" s="363">
        <f t="shared" si="13"/>
        <v>5046.9495319000016</v>
      </c>
    </row>
    <row r="75" spans="1:92">
      <c r="A75" s="353">
        <v>41944</v>
      </c>
      <c r="B75" s="397">
        <v>0</v>
      </c>
      <c r="C75" s="397">
        <v>0</v>
      </c>
      <c r="D75" s="397">
        <v>0</v>
      </c>
      <c r="E75" s="397">
        <v>0</v>
      </c>
      <c r="F75" s="397">
        <v>0</v>
      </c>
      <c r="G75" s="399"/>
      <c r="H75" s="401">
        <v>0.2</v>
      </c>
      <c r="I75" s="15"/>
      <c r="J75" s="354">
        <f>' VVF Sales - PUC &amp; Non PUC'!$CV$20</f>
        <v>0</v>
      </c>
      <c r="K75" s="354">
        <f>' VVF Sales - PUC &amp; Non PUC'!$CV$21</f>
        <v>420.49</v>
      </c>
      <c r="L75" s="354">
        <f>' VVF Sales - PUC &amp; Non PUC'!$CV$22</f>
        <v>0</v>
      </c>
      <c r="M75" s="354">
        <f>' VVF Sales - PUC &amp; Non PUC'!$CV$23</f>
        <v>19.78</v>
      </c>
      <c r="N75" s="354">
        <f>' VVF Sales - PUC &amp; Non PUC'!$CV$24</f>
        <v>18.774999999999999</v>
      </c>
      <c r="O75" s="354">
        <f>' VVF Sales - PUC &amp; Non PUC'!$CV$25</f>
        <v>223.52500000000003</v>
      </c>
      <c r="P75" s="354">
        <f>' VVF Sales - PUC &amp; Non PUC'!$CV$26</f>
        <v>43.45</v>
      </c>
      <c r="Q75" s="363">
        <f t="shared" si="8"/>
        <v>726.02</v>
      </c>
      <c r="S75" s="354">
        <f>' VVF Sales - PUC &amp; Non PUC'!$CW$20</f>
        <v>0</v>
      </c>
      <c r="T75" s="354">
        <f>' VVF Sales - PUC &amp; Non PUC'!$CW$21</f>
        <v>374.18271359999994</v>
      </c>
      <c r="U75" s="354">
        <f>' VVF Sales - PUC &amp; Non PUC'!$CW$22</f>
        <v>0</v>
      </c>
      <c r="V75" s="354">
        <f>' VVF Sales - PUC &amp; Non PUC'!$CW$23</f>
        <v>21.4481918</v>
      </c>
      <c r="W75" s="354">
        <f>' VVF Sales - PUC &amp; Non PUC'!$CW$24</f>
        <v>19.7464309</v>
      </c>
      <c r="X75" s="354">
        <f>' VVF Sales - PUC &amp; Non PUC'!$CW$25</f>
        <v>229.97729800000002</v>
      </c>
      <c r="Y75" s="354">
        <f>' VVF Sales - PUC &amp; Non PUC'!$CW$26</f>
        <v>44.421444600000008</v>
      </c>
      <c r="Z75" s="363">
        <f t="shared" si="10"/>
        <v>689.77607890000002</v>
      </c>
      <c r="AB75" s="356">
        <f>' VVF Sales - PUC &amp; Non PUC'!$CX$20</f>
        <v>0</v>
      </c>
      <c r="AC75" s="356">
        <f>' VVF Sales - PUC &amp; Non PUC'!$CX$21</f>
        <v>153.98000000000002</v>
      </c>
      <c r="AD75" s="356">
        <f>' VVF Sales - PUC &amp; Non PUC'!$CX$22</f>
        <v>0</v>
      </c>
      <c r="AE75" s="356">
        <f>' VVF Sales - PUC &amp; Non PUC'!$CX$23</f>
        <v>0</v>
      </c>
      <c r="AF75" s="356">
        <f>' VVF Sales - PUC &amp; Non PUC'!$CX$24</f>
        <v>0</v>
      </c>
      <c r="AG75" s="356">
        <f>' VVF Sales - PUC &amp; Non PUC'!$CX$25</f>
        <v>3.3</v>
      </c>
      <c r="AH75" s="356">
        <f>' VVF Sales - PUC &amp; Non PUC'!$CX$26</f>
        <v>0</v>
      </c>
      <c r="AI75" s="367">
        <f t="shared" si="9"/>
        <v>157.28000000000003</v>
      </c>
      <c r="AK75" s="356">
        <f>' VVF Sales - PUC &amp; Non PUC'!$CY$20</f>
        <v>0</v>
      </c>
      <c r="AL75" s="356">
        <f>' VVF Sales - PUC &amp; Non PUC'!$CY$21</f>
        <v>133.64840000000001</v>
      </c>
      <c r="AM75" s="356">
        <f>' VVF Sales - PUC &amp; Non PUC'!$CY$22</f>
        <v>0</v>
      </c>
      <c r="AN75" s="356">
        <f>' VVF Sales - PUC &amp; Non PUC'!$CY$23</f>
        <v>0</v>
      </c>
      <c r="AO75" s="356">
        <f>' VVF Sales - PUC &amp; Non PUC'!$CY$24</f>
        <v>0</v>
      </c>
      <c r="AP75" s="356">
        <f>' VVF Sales - PUC &amp; Non PUC'!$CY$25</f>
        <v>3.234</v>
      </c>
      <c r="AQ75" s="356">
        <f>' VVF Sales - PUC &amp; Non PUC'!$CY$26</f>
        <v>0</v>
      </c>
      <c r="AR75" s="367">
        <f t="shared" si="11"/>
        <v>136.88240000000002</v>
      </c>
      <c r="AT75" s="354">
        <f>'Imports 2014-15'!D158</f>
        <v>0</v>
      </c>
      <c r="AU75" s="354">
        <f>'Imports 2014-15'!E158</f>
        <v>0</v>
      </c>
      <c r="AV75" s="354">
        <f>'Imports 2014-15'!F158</f>
        <v>19.579999999999998</v>
      </c>
      <c r="AW75" s="354">
        <f>'Imports 2014-15'!G158</f>
        <v>3464.3899999999994</v>
      </c>
      <c r="AX75" s="354">
        <f>'Imports 2014-15'!H158</f>
        <v>739.48</v>
      </c>
      <c r="AY75" s="354">
        <f>'Imports 2014-15'!I158</f>
        <v>272.27</v>
      </c>
      <c r="AZ75" s="354">
        <f>'Imports 2014-15'!J158</f>
        <v>0</v>
      </c>
      <c r="BA75" s="354">
        <f>'Imports 2014-15'!K158</f>
        <v>45</v>
      </c>
      <c r="BB75" s="354">
        <f>'Imports 2014-15'!L158</f>
        <v>0</v>
      </c>
      <c r="BC75" s="354">
        <f>'Imports 2014-15'!M158</f>
        <v>0</v>
      </c>
      <c r="BD75" s="363">
        <f>'Imports 2014-15'!N158</f>
        <v>4540.7199999999993</v>
      </c>
      <c r="BF75" s="354">
        <f>'Imports 2014-15'!S158/10^5</f>
        <v>0</v>
      </c>
      <c r="BG75" s="354">
        <f>'Imports 2014-15'!T158/10^5</f>
        <v>0</v>
      </c>
      <c r="BH75" s="354">
        <f>'Imports 2014-15'!U158/10^5</f>
        <v>17.826697199999998</v>
      </c>
      <c r="BI75" s="354">
        <f>'Imports 2014-15'!V158/10^5</f>
        <v>2880.9092343000002</v>
      </c>
      <c r="BJ75" s="354">
        <f>'Imports 2014-15'!W158/10^5</f>
        <v>621.26803629999995</v>
      </c>
      <c r="BK75" s="354">
        <f>'Imports 2014-15'!X158/10^5</f>
        <v>240.60321210000001</v>
      </c>
      <c r="BL75" s="354">
        <f>'Imports 2014-15'!Y158/10^5</f>
        <v>0</v>
      </c>
      <c r="BM75" s="354">
        <f>'Imports 2014-15'!Z158/10^5</f>
        <v>52.173191299999999</v>
      </c>
      <c r="BN75" s="354">
        <f>'Imports 2014-15'!AA158/10^5</f>
        <v>0</v>
      </c>
      <c r="BO75" s="354">
        <f>'Imports 2014-15'!AB158/10^5</f>
        <v>0</v>
      </c>
      <c r="BP75" s="363">
        <f>'Imports 2014-15'!AC158/10^5</f>
        <v>3812.7803712</v>
      </c>
      <c r="BR75" s="354"/>
      <c r="BS75" s="354"/>
      <c r="BT75" s="354"/>
      <c r="BU75" s="354">
        <v>2001.85</v>
      </c>
      <c r="BV75" s="354">
        <v>260.14</v>
      </c>
      <c r="BW75" s="354"/>
      <c r="BX75" s="354"/>
      <c r="BY75" s="354">
        <v>700.81000000000006</v>
      </c>
      <c r="BZ75" s="354">
        <v>2399.0900000000006</v>
      </c>
      <c r="CA75" s="354">
        <v>313.36999999999995</v>
      </c>
      <c r="CB75" s="363">
        <f t="shared" si="12"/>
        <v>5675.26</v>
      </c>
      <c r="CD75" s="354">
        <v>0</v>
      </c>
      <c r="CE75" s="354"/>
      <c r="CF75" s="354">
        <v>0</v>
      </c>
      <c r="CG75" s="354">
        <v>1550.4496913000003</v>
      </c>
      <c r="CH75" s="354">
        <v>197.21903719999997</v>
      </c>
      <c r="CI75" s="354">
        <v>0</v>
      </c>
      <c r="CJ75" s="354"/>
      <c r="CK75" s="354">
        <v>671.41454780000004</v>
      </c>
      <c r="CL75" s="354">
        <v>2033.9646908999994</v>
      </c>
      <c r="CM75" s="354">
        <v>322.70421470000008</v>
      </c>
      <c r="CN75" s="363">
        <f t="shared" si="13"/>
        <v>4775.7521819000003</v>
      </c>
    </row>
    <row r="76" spans="1:92">
      <c r="A76" s="353">
        <v>41974</v>
      </c>
      <c r="B76" s="397">
        <v>0</v>
      </c>
      <c r="C76" s="397">
        <v>0</v>
      </c>
      <c r="D76" s="397">
        <v>0</v>
      </c>
      <c r="E76" s="397">
        <v>0</v>
      </c>
      <c r="F76" s="397">
        <v>0</v>
      </c>
      <c r="G76" s="399"/>
      <c r="H76" s="401">
        <v>0.2</v>
      </c>
      <c r="I76" s="15"/>
      <c r="J76" s="354">
        <f>' VVF Sales - PUC &amp; Non PUC'!$DJ$20</f>
        <v>0</v>
      </c>
      <c r="K76" s="354">
        <f>' VVF Sales - PUC &amp; Non PUC'!$DJ$21</f>
        <v>664.94999999999993</v>
      </c>
      <c r="L76" s="354">
        <f>' VVF Sales - PUC &amp; Non PUC'!$DJ$22</f>
        <v>0</v>
      </c>
      <c r="M76" s="354">
        <f>' VVF Sales - PUC &amp; Non PUC'!$DJ$23</f>
        <v>0</v>
      </c>
      <c r="N76" s="354">
        <f>' VVF Sales - PUC &amp; Non PUC'!$DJ$24</f>
        <v>4.2249999999999996</v>
      </c>
      <c r="O76" s="354">
        <f>' VVF Sales - PUC &amp; Non PUC'!$DJ$25</f>
        <v>199.875</v>
      </c>
      <c r="P76" s="354">
        <f>' VVF Sales - PUC &amp; Non PUC'!$DJ$26</f>
        <v>16.55</v>
      </c>
      <c r="Q76" s="363">
        <f t="shared" si="8"/>
        <v>885.59999999999991</v>
      </c>
      <c r="S76" s="354">
        <f>' VVF Sales - PUC &amp; Non PUC'!$DK$20</f>
        <v>0</v>
      </c>
      <c r="T76" s="354">
        <f>' VVF Sales - PUC &amp; Non PUC'!$DK$21</f>
        <v>578.50786919999996</v>
      </c>
      <c r="U76" s="354">
        <f>' VVF Sales - PUC &amp; Non PUC'!$DK$22</f>
        <v>0</v>
      </c>
      <c r="V76" s="354">
        <f>' VVF Sales - PUC &amp; Non PUC'!$DK$23</f>
        <v>0</v>
      </c>
      <c r="W76" s="354">
        <f>' VVF Sales - PUC &amp; Non PUC'!$DK$24</f>
        <v>4.4415963999999999</v>
      </c>
      <c r="X76" s="354">
        <f>' VVF Sales - PUC &amp; Non PUC'!$DK$25</f>
        <v>202.97430600000001</v>
      </c>
      <c r="Y76" s="354">
        <f>' VVF Sales - PUC &amp; Non PUC'!$DK$26</f>
        <v>16.990601899999998</v>
      </c>
      <c r="Z76" s="363">
        <f t="shared" si="10"/>
        <v>802.91437350000001</v>
      </c>
      <c r="AB76" s="356">
        <f>' VVF Sales - PUC &amp; Non PUC'!$DL$20</f>
        <v>0</v>
      </c>
      <c r="AC76" s="356">
        <f>' VVF Sales - PUC &amp; Non PUC'!$DL$21</f>
        <v>159.41</v>
      </c>
      <c r="AD76" s="356">
        <f>' VVF Sales - PUC &amp; Non PUC'!$DL$22</f>
        <v>0</v>
      </c>
      <c r="AE76" s="356">
        <f>' VVF Sales - PUC &amp; Non PUC'!$DL$23</f>
        <v>0</v>
      </c>
      <c r="AF76" s="356">
        <f>' VVF Sales - PUC &amp; Non PUC'!$DL$24</f>
        <v>0</v>
      </c>
      <c r="AG76" s="356">
        <f>' VVF Sales - PUC &amp; Non PUC'!$DL$25</f>
        <v>0</v>
      </c>
      <c r="AH76" s="356">
        <f>' VVF Sales - PUC &amp; Non PUC'!$DL$26</f>
        <v>0</v>
      </c>
      <c r="AI76" s="367">
        <f t="shared" si="9"/>
        <v>159.41</v>
      </c>
      <c r="AK76" s="356">
        <f>' VVF Sales - PUC &amp; Non PUC'!$DM$20</f>
        <v>0</v>
      </c>
      <c r="AL76" s="356">
        <f>' VVF Sales - PUC &amp; Non PUC'!$DM$21</f>
        <v>144.6867</v>
      </c>
      <c r="AM76" s="356">
        <f>' VVF Sales - PUC &amp; Non PUC'!$DM$22</f>
        <v>0</v>
      </c>
      <c r="AN76" s="356">
        <f>' VVF Sales - PUC &amp; Non PUC'!$DM$23</f>
        <v>0</v>
      </c>
      <c r="AO76" s="356">
        <f>' VVF Sales - PUC &amp; Non PUC'!$DM$24</f>
        <v>0</v>
      </c>
      <c r="AP76" s="356">
        <f>' VVF Sales - PUC &amp; Non PUC'!$DM$25</f>
        <v>0</v>
      </c>
      <c r="AQ76" s="356">
        <f>' VVF Sales - PUC &amp; Non PUC'!$DM$26</f>
        <v>0</v>
      </c>
      <c r="AR76" s="367">
        <f t="shared" si="11"/>
        <v>144.6867</v>
      </c>
      <c r="AT76" s="354">
        <f>'Imports 2014-15'!D159</f>
        <v>0</v>
      </c>
      <c r="AU76" s="354">
        <f>'Imports 2014-15'!E159</f>
        <v>0</v>
      </c>
      <c r="AV76" s="354">
        <f>'Imports 2014-15'!F159</f>
        <v>406.29</v>
      </c>
      <c r="AW76" s="354">
        <f>'Imports 2014-15'!G159</f>
        <v>4440.1600000000008</v>
      </c>
      <c r="AX76" s="354">
        <f>'Imports 2014-15'!H159</f>
        <v>757.91000000000008</v>
      </c>
      <c r="AY76" s="354">
        <f>'Imports 2014-15'!I159</f>
        <v>98.69</v>
      </c>
      <c r="AZ76" s="354">
        <f>'Imports 2014-15'!J159</f>
        <v>2.72</v>
      </c>
      <c r="BA76" s="354">
        <f>'Imports 2014-15'!K159</f>
        <v>13</v>
      </c>
      <c r="BB76" s="354">
        <f>'Imports 2014-15'!L159</f>
        <v>16</v>
      </c>
      <c r="BC76" s="354">
        <f>'Imports 2014-15'!M159</f>
        <v>0</v>
      </c>
      <c r="BD76" s="363">
        <f>'Imports 2014-15'!N159</f>
        <v>5734.77</v>
      </c>
      <c r="BF76" s="354">
        <f>'Imports 2014-15'!S159/10^5</f>
        <v>0</v>
      </c>
      <c r="BG76" s="354">
        <f>'Imports 2014-15'!T159/10^5</f>
        <v>0</v>
      </c>
      <c r="BH76" s="354">
        <f>'Imports 2014-15'!U159/10^5</f>
        <v>339.96267280000001</v>
      </c>
      <c r="BI76" s="354">
        <f>'Imports 2014-15'!V159/10^5</f>
        <v>3614.4811869999994</v>
      </c>
      <c r="BJ76" s="354">
        <f>'Imports 2014-15'!W159/10^5</f>
        <v>686.13728430000003</v>
      </c>
      <c r="BK76" s="354">
        <f>'Imports 2014-15'!X159/10^5</f>
        <v>84.014211500000002</v>
      </c>
      <c r="BL76" s="354">
        <f>'Imports 2014-15'!Y159/10^5</f>
        <v>2.8375828999999997</v>
      </c>
      <c r="BM76" s="354">
        <f>'Imports 2014-15'!Z159/10^5</f>
        <v>14.246335199999997</v>
      </c>
      <c r="BN76" s="354">
        <f>'Imports 2014-15'!AA159/10^5</f>
        <v>13.7579776</v>
      </c>
      <c r="BO76" s="354">
        <f>'Imports 2014-15'!AB159/10^5</f>
        <v>0</v>
      </c>
      <c r="BP76" s="363">
        <f>'Imports 2014-15'!AC159/10^5</f>
        <v>4755.4372512999989</v>
      </c>
      <c r="BR76" s="354"/>
      <c r="BS76" s="354"/>
      <c r="BT76" s="354"/>
      <c r="BU76" s="354">
        <v>2072.7200000000003</v>
      </c>
      <c r="BV76" s="354">
        <v>2006.85</v>
      </c>
      <c r="BW76" s="354">
        <v>264.51</v>
      </c>
      <c r="BX76" s="354"/>
      <c r="BY76" s="354">
        <v>827.34999999999991</v>
      </c>
      <c r="BZ76" s="354">
        <v>2213.0550000000003</v>
      </c>
      <c r="CA76" s="354">
        <v>494.25500000000005</v>
      </c>
      <c r="CB76" s="363">
        <f t="shared" si="12"/>
        <v>7878.7400000000007</v>
      </c>
      <c r="CD76" s="354">
        <v>0</v>
      </c>
      <c r="CE76" s="354"/>
      <c r="CF76" s="354">
        <v>0</v>
      </c>
      <c r="CG76" s="354">
        <v>1621.4747279000003</v>
      </c>
      <c r="CH76" s="354">
        <v>1437.4900480000001</v>
      </c>
      <c r="CI76" s="354">
        <v>197.473781</v>
      </c>
      <c r="CJ76" s="354"/>
      <c r="CK76" s="354">
        <v>782.87524559999997</v>
      </c>
      <c r="CL76" s="354">
        <v>1989.0801297999997</v>
      </c>
      <c r="CM76" s="354">
        <v>503.54613539999997</v>
      </c>
      <c r="CN76" s="363">
        <f t="shared" si="13"/>
        <v>6531.9400677000003</v>
      </c>
    </row>
    <row r="77" spans="1:92">
      <c r="A77" s="353">
        <v>42005</v>
      </c>
      <c r="B77" s="397">
        <v>0</v>
      </c>
      <c r="C77" s="397">
        <v>0</v>
      </c>
      <c r="D77" s="397">
        <v>0</v>
      </c>
      <c r="E77" s="397">
        <v>0</v>
      </c>
      <c r="F77" s="397">
        <v>0</v>
      </c>
      <c r="G77" s="399"/>
      <c r="H77" s="401">
        <v>0.2</v>
      </c>
      <c r="I77" s="15"/>
      <c r="J77" s="354">
        <f>' VVF Sales - PUC &amp; Non PUC'!$DX$20</f>
        <v>0</v>
      </c>
      <c r="K77" s="354">
        <f>' VVF Sales - PUC &amp; Non PUC'!$DX$21</f>
        <v>788.53000000000009</v>
      </c>
      <c r="L77" s="354">
        <f>' VVF Sales - PUC &amp; Non PUC'!$DX$22</f>
        <v>15.75</v>
      </c>
      <c r="M77" s="354">
        <f>' VVF Sales - PUC &amp; Non PUC'!$DX$23</f>
        <v>55.39</v>
      </c>
      <c r="N77" s="354">
        <f>' VVF Sales - PUC &amp; Non PUC'!$DX$24</f>
        <v>3.7749999999999999</v>
      </c>
      <c r="O77" s="354">
        <f>' VVF Sales - PUC &amp; Non PUC'!$DX$25</f>
        <v>247.17500000000001</v>
      </c>
      <c r="P77" s="354">
        <f>' VVF Sales - PUC &amp; Non PUC'!$DX$26</f>
        <v>0.45</v>
      </c>
      <c r="Q77" s="363">
        <f t="shared" si="8"/>
        <v>1111.0700000000002</v>
      </c>
      <c r="S77" s="354">
        <f>' VVF Sales - PUC &amp; Non PUC'!$DY$20</f>
        <v>0</v>
      </c>
      <c r="T77" s="354">
        <f>' VVF Sales - PUC &amp; Non PUC'!$DY$21</f>
        <v>708.64454880000005</v>
      </c>
      <c r="U77" s="354">
        <f>' VVF Sales - PUC &amp; Non PUC'!$DY$22</f>
        <v>13.662649399999999</v>
      </c>
      <c r="V77" s="354">
        <f>' VVF Sales - PUC &amp; Non PUC'!$DY$23</f>
        <v>54.455709200000001</v>
      </c>
      <c r="W77" s="354">
        <f>' VVF Sales - PUC &amp; Non PUC'!$DY$24</f>
        <v>3.9684062000000004</v>
      </c>
      <c r="X77" s="354">
        <f>' VVF Sales - PUC &amp; Non PUC'!$DY$25</f>
        <v>251.97003259999997</v>
      </c>
      <c r="Y77" s="354">
        <f>' VVF Sales - PUC &amp; Non PUC'!$DY$26</f>
        <v>0.45900000000000002</v>
      </c>
      <c r="Z77" s="363">
        <f t="shared" si="10"/>
        <v>1033.1603462</v>
      </c>
      <c r="AB77" s="356">
        <f>' VVF Sales - PUC &amp; Non PUC'!$DZ$20</f>
        <v>0</v>
      </c>
      <c r="AC77" s="356">
        <f>' VVF Sales - PUC &amp; Non PUC'!$DZ$21</f>
        <v>216.94000000000003</v>
      </c>
      <c r="AD77" s="356">
        <f>' VVF Sales - PUC &amp; Non PUC'!$DZ$22</f>
        <v>0</v>
      </c>
      <c r="AE77" s="356">
        <f>' VVF Sales - PUC &amp; Non PUC'!$DZ$23</f>
        <v>0</v>
      </c>
      <c r="AF77" s="356">
        <f>' VVF Sales - PUC &amp; Non PUC'!$DZ$24</f>
        <v>0</v>
      </c>
      <c r="AG77" s="356">
        <f>' VVF Sales - PUC &amp; Non PUC'!$DZ$25</f>
        <v>0</v>
      </c>
      <c r="AH77" s="356">
        <f>' VVF Sales - PUC &amp; Non PUC'!$DZ$26</f>
        <v>0</v>
      </c>
      <c r="AI77" s="367">
        <f t="shared" si="9"/>
        <v>216.94000000000003</v>
      </c>
      <c r="AK77" s="356">
        <f>' VVF Sales - PUC &amp; Non PUC'!$EA$20</f>
        <v>0</v>
      </c>
      <c r="AL77" s="356">
        <f>' VVF Sales - PUC &amp; Non PUC'!$EA$21</f>
        <v>198.81354999999999</v>
      </c>
      <c r="AM77" s="356">
        <f>' VVF Sales - PUC &amp; Non PUC'!$EA$22</f>
        <v>0</v>
      </c>
      <c r="AN77" s="356">
        <f>' VVF Sales - PUC &amp; Non PUC'!$EA$23</f>
        <v>0</v>
      </c>
      <c r="AO77" s="356">
        <f>' VVF Sales - PUC &amp; Non PUC'!$EA$24</f>
        <v>0</v>
      </c>
      <c r="AP77" s="356">
        <f>' VVF Sales - PUC &amp; Non PUC'!$EA$25</f>
        <v>0</v>
      </c>
      <c r="AQ77" s="356">
        <f>' VVF Sales - PUC &amp; Non PUC'!$EA$26</f>
        <v>0</v>
      </c>
      <c r="AR77" s="367">
        <f t="shared" si="11"/>
        <v>198.81354999999999</v>
      </c>
      <c r="AT77" s="354">
        <f>'Imports 2014-15'!D160</f>
        <v>0</v>
      </c>
      <c r="AU77" s="354">
        <f>'Imports 2014-15'!E160</f>
        <v>0</v>
      </c>
      <c r="AV77" s="354">
        <f>'Imports 2014-15'!F160</f>
        <v>26.45</v>
      </c>
      <c r="AW77" s="354">
        <f>'Imports 2014-15'!G160</f>
        <v>3727.2200000000007</v>
      </c>
      <c r="AX77" s="354">
        <f>'Imports 2014-15'!H160</f>
        <v>916.73</v>
      </c>
      <c r="AY77" s="354">
        <f>'Imports 2014-15'!I160</f>
        <v>77.959999999999994</v>
      </c>
      <c r="AZ77" s="354">
        <f>'Imports 2014-15'!J160</f>
        <v>0</v>
      </c>
      <c r="BA77" s="354">
        <f>'Imports 2014-15'!K160</f>
        <v>13.4</v>
      </c>
      <c r="BB77" s="354">
        <f>'Imports 2014-15'!L160</f>
        <v>16</v>
      </c>
      <c r="BC77" s="354">
        <f>'Imports 2014-15'!M160</f>
        <v>0.6</v>
      </c>
      <c r="BD77" s="363">
        <f>'Imports 2014-15'!N160</f>
        <v>4778.3600000000006</v>
      </c>
      <c r="BF77" s="354">
        <f>'Imports 2014-15'!S160/10^5</f>
        <v>0</v>
      </c>
      <c r="BG77" s="354">
        <f>'Imports 2014-15'!T160/10^5</f>
        <v>0</v>
      </c>
      <c r="BH77" s="354">
        <f>'Imports 2014-15'!U160/10^5</f>
        <v>25.258520400000002</v>
      </c>
      <c r="BI77" s="354">
        <f>'Imports 2014-15'!V160/10^5</f>
        <v>3197.4480574999993</v>
      </c>
      <c r="BJ77" s="354">
        <f>'Imports 2014-15'!W160/10^5</f>
        <v>841.19604709999999</v>
      </c>
      <c r="BK77" s="354">
        <f>'Imports 2014-15'!X160/10^5</f>
        <v>76.05709929999999</v>
      </c>
      <c r="BL77" s="354">
        <f>'Imports 2014-15'!Y160/10^5</f>
        <v>0</v>
      </c>
      <c r="BM77" s="354">
        <f>'Imports 2014-15'!Z160/10^5</f>
        <v>13.991060299999997</v>
      </c>
      <c r="BN77" s="354">
        <f>'Imports 2014-15'!AA160/10^5</f>
        <v>14.420537599999999</v>
      </c>
      <c r="BO77" s="354">
        <f>'Imports 2014-15'!AB160/10^5</f>
        <v>0.61739270000000002</v>
      </c>
      <c r="BP77" s="363">
        <f>'Imports 2014-15'!AC160/10^5</f>
        <v>4168.9887148999987</v>
      </c>
      <c r="BR77" s="354"/>
      <c r="BS77" s="354"/>
      <c r="BT77" s="354"/>
      <c r="BU77" s="354">
        <v>2395.7400000000002</v>
      </c>
      <c r="BV77" s="354"/>
      <c r="BW77" s="354">
        <v>240.66</v>
      </c>
      <c r="BX77" s="354"/>
      <c r="BY77" s="354">
        <v>477.96000000000004</v>
      </c>
      <c r="BZ77" s="354">
        <v>2271.4850000000001</v>
      </c>
      <c r="CA77" s="354">
        <v>269.17499999999995</v>
      </c>
      <c r="CB77" s="363">
        <f t="shared" si="12"/>
        <v>5655.02</v>
      </c>
      <c r="CD77" s="354">
        <v>0</v>
      </c>
      <c r="CE77" s="354"/>
      <c r="CF77" s="354">
        <v>0</v>
      </c>
      <c r="CG77" s="354">
        <v>1867.5970660999999</v>
      </c>
      <c r="CH77" s="354">
        <v>0</v>
      </c>
      <c r="CI77" s="354">
        <v>167.1784432</v>
      </c>
      <c r="CJ77" s="354"/>
      <c r="CK77" s="354">
        <v>453.28179850000009</v>
      </c>
      <c r="CL77" s="354">
        <v>2003.8013994000003</v>
      </c>
      <c r="CM77" s="354">
        <v>274.29223389999999</v>
      </c>
      <c r="CN77" s="363">
        <f t="shared" si="13"/>
        <v>4766.1509410999997</v>
      </c>
    </row>
    <row r="78" spans="1:92">
      <c r="A78" s="353">
        <v>42036</v>
      </c>
      <c r="B78" s="397">
        <v>0</v>
      </c>
      <c r="C78" s="397">
        <v>0</v>
      </c>
      <c r="D78" s="397">
        <v>0</v>
      </c>
      <c r="E78" s="397">
        <v>0</v>
      </c>
      <c r="F78" s="397">
        <v>0</v>
      </c>
      <c r="G78" s="399"/>
      <c r="H78" s="401">
        <v>0.2</v>
      </c>
      <c r="I78" s="15"/>
      <c r="J78" s="354">
        <f>' VVF Sales - PUC &amp; Non PUC'!$EL$20</f>
        <v>0</v>
      </c>
      <c r="K78" s="354">
        <f>' VVF Sales - PUC &amp; Non PUC'!$EL$21</f>
        <v>781.46999999999991</v>
      </c>
      <c r="L78" s="354">
        <f>' VVF Sales - PUC &amp; Non PUC'!$EL$22</f>
        <v>0</v>
      </c>
      <c r="M78" s="354">
        <f>' VVF Sales - PUC &amp; Non PUC'!$EL$23</f>
        <v>60.78</v>
      </c>
      <c r="N78" s="354">
        <f>' VVF Sales - PUC &amp; Non PUC'!$EL$24</f>
        <v>14</v>
      </c>
      <c r="O78" s="354">
        <f>' VVF Sales - PUC &amp; Non PUC'!$EL$25</f>
        <v>198.95</v>
      </c>
      <c r="P78" s="354">
        <f>' VVF Sales - PUC &amp; Non PUC'!$EL$26</f>
        <v>11.75</v>
      </c>
      <c r="Q78" s="363">
        <f t="shared" si="8"/>
        <v>1066.9499999999998</v>
      </c>
      <c r="S78" s="354">
        <f>' VVF Sales - PUC &amp; Non PUC'!$EM$20</f>
        <v>0</v>
      </c>
      <c r="T78" s="354">
        <f>' VVF Sales - PUC &amp; Non PUC'!$EM$21</f>
        <v>770.98923410000009</v>
      </c>
      <c r="U78" s="354">
        <f>' VVF Sales - PUC &amp; Non PUC'!$EM$22</f>
        <v>0</v>
      </c>
      <c r="V78" s="354">
        <f>' VVF Sales - PUC &amp; Non PUC'!$EM$23</f>
        <v>62.893173899999994</v>
      </c>
      <c r="W78" s="354">
        <f>' VVF Sales - PUC &amp; Non PUC'!$EM$24</f>
        <v>14.855</v>
      </c>
      <c r="X78" s="354">
        <f>' VVF Sales - PUC &amp; Non PUC'!$EM$25</f>
        <v>201.51689999999999</v>
      </c>
      <c r="Y78" s="354">
        <f>' VVF Sales - PUC &amp; Non PUC'!$EM$26</f>
        <v>12.072289000000001</v>
      </c>
      <c r="Z78" s="363">
        <f t="shared" si="10"/>
        <v>1062.326597</v>
      </c>
      <c r="AB78" s="356">
        <f>' VVF Sales - PUC &amp; Non PUC'!$EN$20</f>
        <v>0</v>
      </c>
      <c r="AC78" s="356">
        <f>' VVF Sales - PUC &amp; Non PUC'!$EN$21</f>
        <v>297.29999999999995</v>
      </c>
      <c r="AD78" s="356">
        <f>' VVF Sales - PUC &amp; Non PUC'!$EN$22</f>
        <v>0</v>
      </c>
      <c r="AE78" s="356">
        <f>' VVF Sales - PUC &amp; Non PUC'!$EN$23</f>
        <v>0</v>
      </c>
      <c r="AF78" s="356">
        <f>' VVF Sales - PUC &amp; Non PUC'!$EN$24</f>
        <v>0</v>
      </c>
      <c r="AG78" s="356">
        <f>' VVF Sales - PUC &amp; Non PUC'!$EN$25</f>
        <v>0</v>
      </c>
      <c r="AH78" s="356">
        <f>' VVF Sales - PUC &amp; Non PUC'!$EN$26</f>
        <v>0</v>
      </c>
      <c r="AI78" s="367">
        <f t="shared" si="9"/>
        <v>297.29999999999995</v>
      </c>
      <c r="AK78" s="356">
        <f>' VVF Sales - PUC &amp; Non PUC'!$EO$20</f>
        <v>0</v>
      </c>
      <c r="AL78" s="356">
        <f>' VVF Sales - PUC &amp; Non PUC'!$EO$21</f>
        <v>279.36104999999998</v>
      </c>
      <c r="AM78" s="356">
        <f>' VVF Sales - PUC &amp; Non PUC'!$EO$22</f>
        <v>0</v>
      </c>
      <c r="AN78" s="356">
        <f>' VVF Sales - PUC &amp; Non PUC'!$EO$23</f>
        <v>0</v>
      </c>
      <c r="AO78" s="356">
        <f>' VVF Sales - PUC &amp; Non PUC'!$EO$24</f>
        <v>0</v>
      </c>
      <c r="AP78" s="356">
        <f>' VVF Sales - PUC &amp; Non PUC'!$EO$25</f>
        <v>0</v>
      </c>
      <c r="AQ78" s="356">
        <f>' VVF Sales - PUC &amp; Non PUC'!$EO$26</f>
        <v>0</v>
      </c>
      <c r="AR78" s="367">
        <f t="shared" si="11"/>
        <v>279.36104999999998</v>
      </c>
      <c r="AT78" s="354">
        <f>'Imports 2014-15'!D161</f>
        <v>0</v>
      </c>
      <c r="AU78" s="354">
        <f>'Imports 2014-15'!E161</f>
        <v>0</v>
      </c>
      <c r="AV78" s="354">
        <f>'Imports 2014-15'!F161</f>
        <v>131</v>
      </c>
      <c r="AW78" s="354">
        <f>'Imports 2014-15'!G161</f>
        <v>3452.59</v>
      </c>
      <c r="AX78" s="354">
        <f>'Imports 2014-15'!H161</f>
        <v>1017.8300000000002</v>
      </c>
      <c r="AY78" s="354">
        <f>'Imports 2014-15'!I161</f>
        <v>173.94</v>
      </c>
      <c r="AZ78" s="354">
        <f>'Imports 2014-15'!J161</f>
        <v>0</v>
      </c>
      <c r="BA78" s="354">
        <f>'Imports 2014-15'!K161</f>
        <v>0</v>
      </c>
      <c r="BB78" s="354">
        <f>'Imports 2014-15'!L161</f>
        <v>0</v>
      </c>
      <c r="BC78" s="354">
        <f>'Imports 2014-15'!M161</f>
        <v>0</v>
      </c>
      <c r="BD78" s="363">
        <f>'Imports 2014-15'!N161</f>
        <v>4775.3599999999997</v>
      </c>
      <c r="BF78" s="354">
        <f>'Imports 2014-15'!S161/10^5</f>
        <v>0</v>
      </c>
      <c r="BG78" s="354">
        <f>'Imports 2014-15'!T161/10^5</f>
        <v>0</v>
      </c>
      <c r="BH78" s="354">
        <f>'Imports 2014-15'!U161/10^5</f>
        <v>121.65380500000002</v>
      </c>
      <c r="BI78" s="354">
        <f>'Imports 2014-15'!V161/10^5</f>
        <v>2975.5455817999996</v>
      </c>
      <c r="BJ78" s="354">
        <f>'Imports 2014-15'!W161/10^5</f>
        <v>905.27639379999994</v>
      </c>
      <c r="BK78" s="354">
        <f>'Imports 2014-15'!X161/10^5</f>
        <v>154.0033574</v>
      </c>
      <c r="BL78" s="354">
        <f>'Imports 2014-15'!Y161/10^5</f>
        <v>0</v>
      </c>
      <c r="BM78" s="354">
        <f>'Imports 2014-15'!Z161/10^5</f>
        <v>0</v>
      </c>
      <c r="BN78" s="354">
        <f>'Imports 2014-15'!AA161/10^5</f>
        <v>0</v>
      </c>
      <c r="BO78" s="354">
        <f>'Imports 2014-15'!AB161/10^5</f>
        <v>0</v>
      </c>
      <c r="BP78" s="363">
        <f>'Imports 2014-15'!AC161/10^5</f>
        <v>4156.4791379999997</v>
      </c>
      <c r="BR78" s="354"/>
      <c r="BS78" s="354"/>
      <c r="BT78" s="354"/>
      <c r="BU78" s="354">
        <v>798.25</v>
      </c>
      <c r="BV78" s="354"/>
      <c r="BW78" s="354"/>
      <c r="BX78" s="354"/>
      <c r="BY78" s="354">
        <v>836.95999999999981</v>
      </c>
      <c r="BZ78" s="354">
        <v>2183.3450000000003</v>
      </c>
      <c r="CA78" s="354">
        <v>261.75</v>
      </c>
      <c r="CB78" s="363">
        <f t="shared" si="12"/>
        <v>4080.3050000000003</v>
      </c>
      <c r="CD78" s="354">
        <v>0</v>
      </c>
      <c r="CE78" s="354"/>
      <c r="CF78" s="354">
        <v>0</v>
      </c>
      <c r="CG78" s="354">
        <v>670.66709939999998</v>
      </c>
      <c r="CH78" s="354">
        <v>0</v>
      </c>
      <c r="CI78" s="354">
        <v>0</v>
      </c>
      <c r="CJ78" s="354"/>
      <c r="CK78" s="354">
        <v>780.63471030000005</v>
      </c>
      <c r="CL78" s="354">
        <v>1927.1221889000001</v>
      </c>
      <c r="CM78" s="354">
        <v>262.91205620000005</v>
      </c>
      <c r="CN78" s="363">
        <f t="shared" si="13"/>
        <v>3641.3360548000001</v>
      </c>
    </row>
    <row r="79" spans="1:92">
      <c r="A79" s="353">
        <v>42064</v>
      </c>
      <c r="B79" s="397">
        <v>0</v>
      </c>
      <c r="C79" s="397">
        <v>0</v>
      </c>
      <c r="D79" s="397">
        <v>0</v>
      </c>
      <c r="E79" s="397">
        <v>0</v>
      </c>
      <c r="F79" s="397">
        <v>0</v>
      </c>
      <c r="G79" s="399"/>
      <c r="H79" s="401">
        <v>0.2</v>
      </c>
      <c r="I79" s="15"/>
      <c r="J79" s="354">
        <f>' VVF Sales - PUC &amp; Non PUC'!$EZ$20</f>
        <v>0</v>
      </c>
      <c r="K79" s="354">
        <f>' VVF Sales - PUC &amp; Non PUC'!$EZ$21</f>
        <v>408.02</v>
      </c>
      <c r="L79" s="354">
        <f>' VVF Sales - PUC &amp; Non PUC'!$EZ$22</f>
        <v>0</v>
      </c>
      <c r="M79" s="354">
        <f>' VVF Sales - PUC &amp; Non PUC'!$EZ$23</f>
        <v>79.11</v>
      </c>
      <c r="N79" s="354">
        <f>' VVF Sales - PUC &amp; Non PUC'!$EZ$24</f>
        <v>6.6</v>
      </c>
      <c r="O79" s="354">
        <f>' VVF Sales - PUC &amp; Non PUC'!$EZ$25</f>
        <v>143.30000000000001</v>
      </c>
      <c r="P79" s="354">
        <f>' VVF Sales - PUC &amp; Non PUC'!$EZ$26</f>
        <v>8</v>
      </c>
      <c r="Q79" s="363">
        <f t="shared" si="8"/>
        <v>645.03</v>
      </c>
      <c r="R79" s="13">
        <f>SUM(Q68:Q79)</f>
        <v>10295.549000000001</v>
      </c>
      <c r="S79" s="354">
        <f>' VVF Sales - PUC &amp; Non PUC'!$FA$20</f>
        <v>0</v>
      </c>
      <c r="T79" s="354">
        <f>' VVF Sales - PUC &amp; Non PUC'!$FA$21</f>
        <v>387.80785279999992</v>
      </c>
      <c r="U79" s="354">
        <f>' VVF Sales - PUC &amp; Non PUC'!$FA$22</f>
        <v>0</v>
      </c>
      <c r="V79" s="354">
        <f>' VVF Sales - PUC &amp; Non PUC'!$FA$23</f>
        <v>82.335108999999989</v>
      </c>
      <c r="W79" s="354">
        <f>' VVF Sales - PUC &amp; Non PUC'!$FA$24</f>
        <v>6.8849999999999998</v>
      </c>
      <c r="X79" s="354">
        <f>' VVF Sales - PUC &amp; Non PUC'!$FA$25</f>
        <v>144.10201000000001</v>
      </c>
      <c r="Y79" s="354">
        <f>' VVF Sales - PUC &amp; Non PUC'!$FA$26</f>
        <v>8.1726615999999996</v>
      </c>
      <c r="Z79" s="363">
        <f t="shared" si="10"/>
        <v>629.30263339999988</v>
      </c>
      <c r="AA79" s="13">
        <f>SUM(Z68:Z79)</f>
        <v>10466.8894201</v>
      </c>
      <c r="AB79" s="356">
        <f>' VVF Sales - PUC &amp; Non PUC'!$FB$20</f>
        <v>0</v>
      </c>
      <c r="AC79" s="356">
        <f>' VVF Sales - PUC &amp; Non PUC'!$FB$21</f>
        <v>40.22</v>
      </c>
      <c r="AD79" s="356">
        <f>' VVF Sales - PUC &amp; Non PUC'!$FB$22</f>
        <v>0</v>
      </c>
      <c r="AE79" s="356">
        <f>' VVF Sales - PUC &amp; Non PUC'!$FB$23</f>
        <v>0</v>
      </c>
      <c r="AF79" s="356">
        <f>' VVF Sales - PUC &amp; Non PUC'!$FB$24</f>
        <v>0</v>
      </c>
      <c r="AG79" s="356">
        <f>' VVF Sales - PUC &amp; Non PUC'!$FB$25</f>
        <v>0</v>
      </c>
      <c r="AH79" s="356">
        <f>' VVF Sales - PUC &amp; Non PUC'!$FB$26</f>
        <v>0</v>
      </c>
      <c r="AI79" s="367">
        <f t="shared" si="9"/>
        <v>40.22</v>
      </c>
      <c r="AJ79" s="13">
        <f>SUM(AI68:AI79)</f>
        <v>2668.2509999999997</v>
      </c>
      <c r="AK79" s="356">
        <f>' VVF Sales - PUC &amp; Non PUC'!$FC$20</f>
        <v>0</v>
      </c>
      <c r="AL79" s="356">
        <f>' VVF Sales - PUC &amp; Non PUC'!$FC$21</f>
        <v>42.633200000000002</v>
      </c>
      <c r="AM79" s="356">
        <f>' VVF Sales - PUC &amp; Non PUC'!$FC$22</f>
        <v>0</v>
      </c>
      <c r="AN79" s="356">
        <f>' VVF Sales - PUC &amp; Non PUC'!$FC$23</f>
        <v>0</v>
      </c>
      <c r="AO79" s="356">
        <f>' VVF Sales - PUC &amp; Non PUC'!$FC$24</f>
        <v>0</v>
      </c>
      <c r="AP79" s="356">
        <f>' VVF Sales - PUC &amp; Non PUC'!$FC$25</f>
        <v>0</v>
      </c>
      <c r="AQ79" s="356">
        <f>' VVF Sales - PUC &amp; Non PUC'!$FC$26</f>
        <v>0</v>
      </c>
      <c r="AR79" s="367">
        <f t="shared" si="11"/>
        <v>42.633200000000002</v>
      </c>
      <c r="AS79" s="368">
        <f>SUM(AR68:AR79)</f>
        <v>2764.8971950000005</v>
      </c>
      <c r="AT79" s="354">
        <f>'Imports 2014-15'!D162</f>
        <v>0</v>
      </c>
      <c r="AU79" s="354">
        <f>'Imports 2014-15'!E162</f>
        <v>0</v>
      </c>
      <c r="AV79" s="354">
        <f>'Imports 2014-15'!F162</f>
        <v>137.78</v>
      </c>
      <c r="AW79" s="354">
        <f>'Imports 2014-15'!G162</f>
        <v>3741.5499999999997</v>
      </c>
      <c r="AX79" s="354">
        <f>'Imports 2014-15'!H162</f>
        <v>779.41000000000008</v>
      </c>
      <c r="AY79" s="354">
        <f>'Imports 2014-15'!I162</f>
        <v>0</v>
      </c>
      <c r="AZ79" s="354">
        <f>'Imports 2014-15'!J162</f>
        <v>0</v>
      </c>
      <c r="BA79" s="354">
        <f>'Imports 2014-15'!K162</f>
        <v>15</v>
      </c>
      <c r="BB79" s="354">
        <f>'Imports 2014-15'!L162</f>
        <v>0</v>
      </c>
      <c r="BC79" s="354">
        <f>'Imports 2014-15'!M162</f>
        <v>0</v>
      </c>
      <c r="BD79" s="363">
        <f>'Imports 2014-15'!N162</f>
        <v>4673.74</v>
      </c>
      <c r="BF79" s="354">
        <f>'Imports 2014-15'!S162/10^5</f>
        <v>0</v>
      </c>
      <c r="BG79" s="354">
        <f>'Imports 2014-15'!T162/10^5</f>
        <v>0</v>
      </c>
      <c r="BH79" s="354">
        <f>'Imports 2014-15'!U162/10^5</f>
        <v>127.85759160000001</v>
      </c>
      <c r="BI79" s="354">
        <f>'Imports 2014-15'!V162/10^5</f>
        <v>3295.9120438999998</v>
      </c>
      <c r="BJ79" s="354">
        <f>'Imports 2014-15'!W162/10^5</f>
        <v>761.12532840000006</v>
      </c>
      <c r="BK79" s="354">
        <f>'Imports 2014-15'!X162/10^5</f>
        <v>0</v>
      </c>
      <c r="BL79" s="354">
        <f>'Imports 2014-15'!Y162/10^5</f>
        <v>0</v>
      </c>
      <c r="BM79" s="354">
        <f>'Imports 2014-15'!Z162/10^5</f>
        <v>15.460575</v>
      </c>
      <c r="BN79" s="354">
        <f>'Imports 2014-15'!AA162/10^5</f>
        <v>0</v>
      </c>
      <c r="BO79" s="354">
        <f>'Imports 2014-15'!AB162/10^5</f>
        <v>0</v>
      </c>
      <c r="BP79" s="363">
        <f>'Imports 2014-15'!AC162/10^5</f>
        <v>4200.3555389000003</v>
      </c>
      <c r="BR79" s="354"/>
      <c r="BS79" s="354"/>
      <c r="BT79" s="354"/>
      <c r="BU79" s="354">
        <v>1720.0700000000002</v>
      </c>
      <c r="BV79" s="354"/>
      <c r="BW79" s="354"/>
      <c r="BX79" s="354"/>
      <c r="BY79" s="354">
        <v>807.54499999999985</v>
      </c>
      <c r="BZ79" s="354">
        <v>1680.1800000000003</v>
      </c>
      <c r="CA79" s="354">
        <v>414.59499999999997</v>
      </c>
      <c r="CB79" s="363">
        <f t="shared" si="12"/>
        <v>4622.3900000000003</v>
      </c>
      <c r="CD79" s="354">
        <v>0</v>
      </c>
      <c r="CE79" s="354"/>
      <c r="CF79" s="354">
        <v>0</v>
      </c>
      <c r="CG79" s="354">
        <v>1389.8482389999997</v>
      </c>
      <c r="CH79" s="354">
        <v>0</v>
      </c>
      <c r="CI79" s="354">
        <v>0</v>
      </c>
      <c r="CJ79" s="354"/>
      <c r="CK79" s="354">
        <v>784.05381939999995</v>
      </c>
      <c r="CL79" s="354">
        <v>1516.2603762000003</v>
      </c>
      <c r="CM79" s="354">
        <v>415.78589620000002</v>
      </c>
      <c r="CN79" s="363">
        <f t="shared" si="13"/>
        <v>4105.9483307999999</v>
      </c>
    </row>
    <row r="80" spans="1:92">
      <c r="A80" s="357">
        <v>42095</v>
      </c>
      <c r="B80" s="396">
        <v>0</v>
      </c>
      <c r="C80" s="396">
        <v>0</v>
      </c>
      <c r="D80" s="396">
        <v>0</v>
      </c>
      <c r="E80" s="396">
        <v>0</v>
      </c>
      <c r="F80" s="396">
        <v>0</v>
      </c>
      <c r="G80" s="399"/>
      <c r="H80" s="400">
        <v>0.2</v>
      </c>
      <c r="I80" s="15"/>
      <c r="J80" s="358">
        <f>' VVF Sales - PUC &amp; Non PUC'!$B$35</f>
        <v>0</v>
      </c>
      <c r="K80" s="358">
        <f>' VVF Sales - PUC &amp; Non PUC'!$B$36</f>
        <v>929.42999999999972</v>
      </c>
      <c r="L80" s="358">
        <f>' VVF Sales - PUC &amp; Non PUC'!$B$37</f>
        <v>10.06</v>
      </c>
      <c r="M80" s="358">
        <f>' VVF Sales - PUC &amp; Non PUC'!$B$38</f>
        <v>111.29999999999998</v>
      </c>
      <c r="N80" s="358">
        <f>' VVF Sales - PUC &amp; Non PUC'!$B$39</f>
        <v>24.625</v>
      </c>
      <c r="O80" s="358">
        <f>' VVF Sales - PUC &amp; Non PUC'!$B$40</f>
        <v>249.4</v>
      </c>
      <c r="P80" s="358">
        <f>' VVF Sales - PUC &amp; Non PUC'!$B$41</f>
        <v>18</v>
      </c>
      <c r="Q80" s="363">
        <f t="shared" si="8"/>
        <v>1342.8149999999998</v>
      </c>
      <c r="S80" s="358">
        <f>' VVF Sales - PUC &amp; Non PUC'!$C$35</f>
        <v>0</v>
      </c>
      <c r="T80" s="358">
        <f>' VVF Sales - PUC &amp; Non PUC'!$C$36</f>
        <v>918.56162959999961</v>
      </c>
      <c r="U80" s="358">
        <f>' VVF Sales - PUC &amp; Non PUC'!$C$37</f>
        <v>10.277122</v>
      </c>
      <c r="V80" s="358">
        <f>' VVF Sales - PUC &amp; Non PUC'!$C$38</f>
        <v>109.8682989</v>
      </c>
      <c r="W80" s="358">
        <f>' VVF Sales - PUC &amp; Non PUC'!$C$39</f>
        <v>25.69875</v>
      </c>
      <c r="X80" s="358">
        <f>' VVF Sales - PUC &amp; Non PUC'!$C$40</f>
        <v>248.5211357</v>
      </c>
      <c r="Y80" s="358">
        <f>' VVF Sales - PUC &amp; Non PUC'!$C$41</f>
        <v>17.9328538</v>
      </c>
      <c r="Z80" s="363">
        <f t="shared" si="10"/>
        <v>1330.8597899999995</v>
      </c>
      <c r="AB80" s="359">
        <f>' VVF Sales - PUC &amp; Non PUC'!$D$35</f>
        <v>0</v>
      </c>
      <c r="AC80" s="359">
        <f>' VVF Sales - PUC &amp; Non PUC'!$D$36</f>
        <v>0</v>
      </c>
      <c r="AD80" s="359">
        <f>' VVF Sales - PUC &amp; Non PUC'!$D$37</f>
        <v>0</v>
      </c>
      <c r="AE80" s="359">
        <f>' VVF Sales - PUC &amp; Non PUC'!$D$38</f>
        <v>0</v>
      </c>
      <c r="AF80" s="359">
        <f>' VVF Sales - PUC &amp; Non PUC'!$D$39</f>
        <v>0</v>
      </c>
      <c r="AG80" s="359">
        <f>' VVF Sales - PUC &amp; Non PUC'!$D$40</f>
        <v>0</v>
      </c>
      <c r="AH80" s="359">
        <f>' VVF Sales - PUC &amp; Non PUC'!$D$41</f>
        <v>0</v>
      </c>
      <c r="AI80" s="367">
        <f t="shared" si="9"/>
        <v>0</v>
      </c>
      <c r="AK80" s="359">
        <f>' VVF Sales - PUC &amp; Non PUC'!$E$35</f>
        <v>0</v>
      </c>
      <c r="AL80" s="359">
        <f>' VVF Sales - PUC &amp; Non PUC'!$E$36</f>
        <v>0</v>
      </c>
      <c r="AM80" s="359">
        <f>' VVF Sales - PUC &amp; Non PUC'!$E$37</f>
        <v>0</v>
      </c>
      <c r="AN80" s="359">
        <f>' VVF Sales - PUC &amp; Non PUC'!$E$38</f>
        <v>0</v>
      </c>
      <c r="AO80" s="359">
        <f>' VVF Sales - PUC &amp; Non PUC'!$E$39</f>
        <v>0</v>
      </c>
      <c r="AP80" s="359">
        <f>' VVF Sales - PUC &amp; Non PUC'!$E$40</f>
        <v>0</v>
      </c>
      <c r="AQ80" s="359">
        <f>' VVF Sales - PUC &amp; Non PUC'!$E$41</f>
        <v>0</v>
      </c>
      <c r="AR80" s="367">
        <f t="shared" si="11"/>
        <v>0</v>
      </c>
      <c r="AT80" s="358">
        <f>'Imports 2015-16'!D151</f>
        <v>0</v>
      </c>
      <c r="AU80" s="358">
        <f>'Imports 2015-16'!E151</f>
        <v>0</v>
      </c>
      <c r="AV80" s="358">
        <f>'Imports 2015-16'!F151</f>
        <v>56.45</v>
      </c>
      <c r="AW80" s="358">
        <f>'Imports 2015-16'!G151</f>
        <v>3977.8</v>
      </c>
      <c r="AX80" s="358">
        <f>'Imports 2015-16'!H151</f>
        <v>1098.2400000000002</v>
      </c>
      <c r="AY80" s="358">
        <f>'Imports 2015-16'!I151</f>
        <v>176.89</v>
      </c>
      <c r="AZ80" s="358">
        <f>'Imports 2015-16'!J151</f>
        <v>0</v>
      </c>
      <c r="BA80" s="358">
        <f>'Imports 2015-16'!K151</f>
        <v>0</v>
      </c>
      <c r="BB80" s="358">
        <f>'Imports 2015-16'!L151</f>
        <v>0</v>
      </c>
      <c r="BC80" s="358">
        <f>'Imports 2015-16'!M151</f>
        <v>0</v>
      </c>
      <c r="BD80" s="363">
        <f>'Imports 2015-16'!N151</f>
        <v>5309.38</v>
      </c>
      <c r="BF80" s="358">
        <f>'Imports 2015-16'!S151/10^5</f>
        <v>0</v>
      </c>
      <c r="BG80" s="358">
        <f>'Imports 2015-16'!T151/10^5</f>
        <v>0</v>
      </c>
      <c r="BH80" s="358">
        <f>'Imports 2015-16'!U151/10^5</f>
        <v>55.472018399999996</v>
      </c>
      <c r="BI80" s="358">
        <f>'Imports 2015-16'!V151/10^5</f>
        <v>3452.1879323000003</v>
      </c>
      <c r="BJ80" s="358">
        <f>'Imports 2015-16'!W151/10^5</f>
        <v>1130.1998808000001</v>
      </c>
      <c r="BK80" s="358">
        <f>'Imports 2015-16'!X151/10^5</f>
        <v>182.89984999999999</v>
      </c>
      <c r="BL80" s="358">
        <f>'Imports 2015-16'!Y151/10^5</f>
        <v>0</v>
      </c>
      <c r="BM80" s="358">
        <f>'Imports 2015-16'!Z151/10^5</f>
        <v>0</v>
      </c>
      <c r="BN80" s="358">
        <f>'Imports 2015-16'!AA151/10^5</f>
        <v>0</v>
      </c>
      <c r="BO80" s="358">
        <f>'Imports 2015-16'!AB151/10^5</f>
        <v>0</v>
      </c>
      <c r="BP80" s="363">
        <f>'Imports 2015-16'!AC151/10^5</f>
        <v>4820.7596814999997</v>
      </c>
      <c r="BR80" s="358"/>
      <c r="BS80" s="358"/>
      <c r="BT80" s="358"/>
      <c r="BU80" s="358">
        <v>1021.58</v>
      </c>
      <c r="BV80" s="358"/>
      <c r="BW80" s="358"/>
      <c r="BX80" s="358"/>
      <c r="BY80" s="358">
        <v>636.45999999999992</v>
      </c>
      <c r="BZ80" s="358">
        <v>1645.8400000000001</v>
      </c>
      <c r="CA80" s="358">
        <v>278.38499999999999</v>
      </c>
      <c r="CB80" s="363">
        <f t="shared" si="12"/>
        <v>3582.2650000000003</v>
      </c>
      <c r="CD80" s="358">
        <v>0</v>
      </c>
      <c r="CE80" s="358"/>
      <c r="CF80" s="358">
        <v>0</v>
      </c>
      <c r="CG80" s="358">
        <v>792.76674579999997</v>
      </c>
      <c r="CH80" s="358">
        <v>0</v>
      </c>
      <c r="CI80" s="358">
        <v>0</v>
      </c>
      <c r="CJ80" s="358"/>
      <c r="CK80" s="358">
        <v>616.8693407999998</v>
      </c>
      <c r="CL80" s="358">
        <v>1448.5120987999999</v>
      </c>
      <c r="CM80" s="358">
        <v>287.52279389999995</v>
      </c>
      <c r="CN80" s="363">
        <f t="shared" si="13"/>
        <v>3145.6709792999995</v>
      </c>
    </row>
    <row r="81" spans="1:92">
      <c r="A81" s="357">
        <v>42125</v>
      </c>
      <c r="B81" s="396">
        <v>0</v>
      </c>
      <c r="C81" s="396">
        <v>0</v>
      </c>
      <c r="D81" s="396">
        <v>0</v>
      </c>
      <c r="E81" s="396">
        <v>0</v>
      </c>
      <c r="F81" s="396">
        <v>0</v>
      </c>
      <c r="G81" s="399"/>
      <c r="H81" s="400">
        <v>0.2</v>
      </c>
      <c r="I81" s="15"/>
      <c r="J81" s="358">
        <f>' VVF Sales - PUC &amp; Non PUC'!$P$35</f>
        <v>0</v>
      </c>
      <c r="K81" s="358">
        <f>' VVF Sales - PUC &amp; Non PUC'!$P$36</f>
        <v>1164.48</v>
      </c>
      <c r="L81" s="358">
        <f>' VVF Sales - PUC &amp; Non PUC'!$P$37</f>
        <v>0</v>
      </c>
      <c r="M81" s="358">
        <f>' VVF Sales - PUC &amp; Non PUC'!$P$38</f>
        <v>119</v>
      </c>
      <c r="N81" s="358">
        <f>' VVF Sales - PUC &amp; Non PUC'!$P$39</f>
        <v>13.25</v>
      </c>
      <c r="O81" s="358">
        <f>' VVF Sales - PUC &amp; Non PUC'!$P$40</f>
        <v>233</v>
      </c>
      <c r="P81" s="358">
        <f>' VVF Sales - PUC &amp; Non PUC'!$P$41</f>
        <v>41.347000000000001</v>
      </c>
      <c r="Q81" s="363">
        <f t="shared" si="8"/>
        <v>1571.077</v>
      </c>
      <c r="S81" s="358">
        <f>' VVF Sales - PUC &amp; Non PUC'!$Q$35</f>
        <v>0</v>
      </c>
      <c r="T81" s="358">
        <f>' VVF Sales - PUC &amp; Non PUC'!$Q$36</f>
        <v>1108.6436867999998</v>
      </c>
      <c r="U81" s="358">
        <f>' VVF Sales - PUC &amp; Non PUC'!$Q$37</f>
        <v>0</v>
      </c>
      <c r="V81" s="358">
        <f>' VVF Sales - PUC &amp; Non PUC'!$Q$38</f>
        <v>113.7398848</v>
      </c>
      <c r="W81" s="358">
        <f>' VVF Sales - PUC &amp; Non PUC'!$Q$39</f>
        <v>13.835000000000001</v>
      </c>
      <c r="X81" s="358">
        <f>' VVF Sales - PUC &amp; Non PUC'!$Q$40</f>
        <v>230.59497999999999</v>
      </c>
      <c r="Y81" s="358">
        <f>' VVF Sales - PUC &amp; Non PUC'!$Q$41</f>
        <v>40.7447254</v>
      </c>
      <c r="Z81" s="363">
        <f t="shared" si="10"/>
        <v>1507.5582770000001</v>
      </c>
      <c r="AB81" s="359">
        <f>' VVF Sales - PUC &amp; Non PUC'!$R$35</f>
        <v>0</v>
      </c>
      <c r="AC81" s="359">
        <f>' VVF Sales - PUC &amp; Non PUC'!$R$36</f>
        <v>17.5</v>
      </c>
      <c r="AD81" s="359">
        <f>' VVF Sales - PUC &amp; Non PUC'!$R$37</f>
        <v>0</v>
      </c>
      <c r="AE81" s="359">
        <f>' VVF Sales - PUC &amp; Non PUC'!$R$38</f>
        <v>0</v>
      </c>
      <c r="AF81" s="359">
        <f>' VVF Sales - PUC &amp; Non PUC'!$R$39</f>
        <v>0</v>
      </c>
      <c r="AG81" s="359">
        <f>' VVF Sales - PUC &amp; Non PUC'!$R$40</f>
        <v>0</v>
      </c>
      <c r="AH81" s="359">
        <f>' VVF Sales - PUC &amp; Non PUC'!$R$41</f>
        <v>0</v>
      </c>
      <c r="AI81" s="367">
        <f t="shared" si="9"/>
        <v>17.5</v>
      </c>
      <c r="AK81" s="359">
        <f>' VVF Sales - PUC &amp; Non PUC'!$S$35</f>
        <v>0</v>
      </c>
      <c r="AL81" s="359">
        <f>' VVF Sales - PUC &amp; Non PUC'!$S$36</f>
        <v>17.543749999999999</v>
      </c>
      <c r="AM81" s="359">
        <f>' VVF Sales - PUC &amp; Non PUC'!$S$37</f>
        <v>0</v>
      </c>
      <c r="AN81" s="359">
        <f>' VVF Sales - PUC &amp; Non PUC'!$S$38</f>
        <v>0</v>
      </c>
      <c r="AO81" s="359">
        <f>' VVF Sales - PUC &amp; Non PUC'!$S$39</f>
        <v>0</v>
      </c>
      <c r="AP81" s="359">
        <f>' VVF Sales - PUC &amp; Non PUC'!$S$40</f>
        <v>0</v>
      </c>
      <c r="AQ81" s="359">
        <f>' VVF Sales - PUC &amp; Non PUC'!$S$41</f>
        <v>0</v>
      </c>
      <c r="AR81" s="367">
        <f t="shared" si="11"/>
        <v>17.543749999999999</v>
      </c>
      <c r="AT81" s="358">
        <f>'Imports 2015-16'!D152</f>
        <v>0</v>
      </c>
      <c r="AU81" s="358">
        <f>'Imports 2015-16'!E152</f>
        <v>0</v>
      </c>
      <c r="AV81" s="358">
        <f>'Imports 2015-16'!F152</f>
        <v>79.289999999999992</v>
      </c>
      <c r="AW81" s="358">
        <f>'Imports 2015-16'!G152</f>
        <v>3646.34</v>
      </c>
      <c r="AX81" s="358">
        <f>'Imports 2015-16'!H152</f>
        <v>891.48</v>
      </c>
      <c r="AY81" s="358">
        <f>'Imports 2015-16'!I152</f>
        <v>172.64999999999998</v>
      </c>
      <c r="AZ81" s="358">
        <f>'Imports 2015-16'!J152</f>
        <v>0</v>
      </c>
      <c r="BA81" s="358">
        <f>'Imports 2015-16'!K152</f>
        <v>23.4</v>
      </c>
      <c r="BB81" s="358">
        <f>'Imports 2015-16'!L152</f>
        <v>0</v>
      </c>
      <c r="BC81" s="358">
        <f>'Imports 2015-16'!M152</f>
        <v>0.6</v>
      </c>
      <c r="BD81" s="363">
        <f>'Imports 2015-16'!N152</f>
        <v>4813.76</v>
      </c>
      <c r="BF81" s="358">
        <f>'Imports 2015-16'!S152/10^5</f>
        <v>0</v>
      </c>
      <c r="BG81" s="358">
        <f>'Imports 2015-16'!T152/10^5</f>
        <v>0</v>
      </c>
      <c r="BH81" s="358">
        <f>'Imports 2015-16'!U152/10^5</f>
        <v>75.719785600000009</v>
      </c>
      <c r="BI81" s="358">
        <f>'Imports 2015-16'!V152/10^5</f>
        <v>3194.2599790000004</v>
      </c>
      <c r="BJ81" s="358">
        <f>'Imports 2015-16'!W152/10^5</f>
        <v>876.42446769999992</v>
      </c>
      <c r="BK81" s="358">
        <f>'Imports 2015-16'!X152/10^5</f>
        <v>164.5175337</v>
      </c>
      <c r="BL81" s="358">
        <f>'Imports 2015-16'!Y152/10^5</f>
        <v>0</v>
      </c>
      <c r="BM81" s="358">
        <f>'Imports 2015-16'!Z152/10^5</f>
        <v>23.798805599999994</v>
      </c>
      <c r="BN81" s="358">
        <f>'Imports 2015-16'!AA152/10^5</f>
        <v>0</v>
      </c>
      <c r="BO81" s="358">
        <f>'Imports 2015-16'!AB152/10^5</f>
        <v>0.6377081</v>
      </c>
      <c r="BP81" s="363">
        <f>'Imports 2015-16'!AC152/10^5</f>
        <v>4335.3582796999999</v>
      </c>
      <c r="BR81" s="358"/>
      <c r="BS81" s="358"/>
      <c r="BT81" s="358"/>
      <c r="BU81" s="358">
        <v>208.08999999999997</v>
      </c>
      <c r="BV81" s="358"/>
      <c r="BW81" s="358"/>
      <c r="BX81" s="358"/>
      <c r="BY81" s="358">
        <v>466.30500000000006</v>
      </c>
      <c r="BZ81" s="358">
        <v>1408.9349999999999</v>
      </c>
      <c r="CA81" s="358">
        <v>156.27000000000001</v>
      </c>
      <c r="CB81" s="363">
        <f t="shared" si="12"/>
        <v>2239.6</v>
      </c>
      <c r="CD81" s="358">
        <v>0</v>
      </c>
      <c r="CE81" s="358"/>
      <c r="CF81" s="358">
        <v>0</v>
      </c>
      <c r="CG81" s="358">
        <v>176.96144170000002</v>
      </c>
      <c r="CH81" s="358">
        <v>0</v>
      </c>
      <c r="CI81" s="358">
        <v>0</v>
      </c>
      <c r="CJ81" s="358"/>
      <c r="CK81" s="358">
        <v>444.92421899999999</v>
      </c>
      <c r="CL81" s="358">
        <v>1272.5791834000001</v>
      </c>
      <c r="CM81" s="358">
        <v>151.67207440000001</v>
      </c>
      <c r="CN81" s="363">
        <f t="shared" si="13"/>
        <v>2046.1369185000001</v>
      </c>
    </row>
    <row r="82" spans="1:92">
      <c r="A82" s="357">
        <v>42156</v>
      </c>
      <c r="B82" s="396">
        <v>0</v>
      </c>
      <c r="C82" s="396">
        <v>0</v>
      </c>
      <c r="D82" s="396">
        <v>0</v>
      </c>
      <c r="E82" s="396">
        <v>0</v>
      </c>
      <c r="F82" s="396">
        <v>0</v>
      </c>
      <c r="G82" s="399"/>
      <c r="H82" s="400">
        <v>0.2</v>
      </c>
      <c r="I82" s="15"/>
      <c r="J82" s="358">
        <f>' VVF Sales - PUC &amp; Non PUC'!$AD$35</f>
        <v>0</v>
      </c>
      <c r="K82" s="358">
        <f>' VVF Sales - PUC &amp; Non PUC'!$AD$36</f>
        <v>466.95000000000005</v>
      </c>
      <c r="L82" s="358">
        <f>' VVF Sales - PUC &amp; Non PUC'!$AD$37</f>
        <v>0</v>
      </c>
      <c r="M82" s="358">
        <f>' VVF Sales - PUC &amp; Non PUC'!$AD$38</f>
        <v>59.629999999999995</v>
      </c>
      <c r="N82" s="358">
        <f>' VVF Sales - PUC &amp; Non PUC'!$AD$39</f>
        <v>29.2</v>
      </c>
      <c r="O82" s="358">
        <f>' VVF Sales - PUC &amp; Non PUC'!$AD$40</f>
        <v>226.4</v>
      </c>
      <c r="P82" s="358">
        <f>' VVF Sales - PUC &amp; Non PUC'!$AD$41</f>
        <v>28.875</v>
      </c>
      <c r="Q82" s="363">
        <f t="shared" si="8"/>
        <v>811.05500000000006</v>
      </c>
      <c r="S82" s="358">
        <f>' VVF Sales - PUC &amp; Non PUC'!$AE$35</f>
        <v>0</v>
      </c>
      <c r="T82" s="358">
        <f>' VVF Sales - PUC &amp; Non PUC'!$AE$36</f>
        <v>435.13320589999995</v>
      </c>
      <c r="U82" s="358">
        <f>' VVF Sales - PUC &amp; Non PUC'!$AE$37</f>
        <v>0</v>
      </c>
      <c r="V82" s="358">
        <f>' VVF Sales - PUC &amp; Non PUC'!$AE$38</f>
        <v>57.770736599999999</v>
      </c>
      <c r="W82" s="358">
        <f>' VVF Sales - PUC &amp; Non PUC'!$AE$39</f>
        <v>29.855</v>
      </c>
      <c r="X82" s="358">
        <f>' VVF Sales - PUC &amp; Non PUC'!$AE$40</f>
        <v>221.71256</v>
      </c>
      <c r="Y82" s="358">
        <f>' VVF Sales - PUC &amp; Non PUC'!$AE$41</f>
        <v>28.391849199999999</v>
      </c>
      <c r="Z82" s="363">
        <f t="shared" si="10"/>
        <v>772.86335170000007</v>
      </c>
      <c r="AB82" s="359">
        <f>' VVF Sales - PUC &amp; Non PUC'!$AF$35</f>
        <v>0</v>
      </c>
      <c r="AC82" s="359">
        <f>' VVF Sales - PUC &amp; Non PUC'!$AF$36</f>
        <v>0</v>
      </c>
      <c r="AD82" s="359">
        <f>' VVF Sales - PUC &amp; Non PUC'!$AF$37</f>
        <v>0</v>
      </c>
      <c r="AE82" s="359">
        <f>' VVF Sales - PUC &amp; Non PUC'!$AF$38</f>
        <v>0</v>
      </c>
      <c r="AF82" s="359">
        <f>' VVF Sales - PUC &amp; Non PUC'!$AF$39</f>
        <v>0</v>
      </c>
      <c r="AG82" s="359">
        <f>' VVF Sales - PUC &amp; Non PUC'!$AF$40</f>
        <v>0</v>
      </c>
      <c r="AH82" s="359">
        <f>' VVF Sales - PUC &amp; Non PUC'!$AF$41</f>
        <v>0</v>
      </c>
      <c r="AI82" s="367">
        <f t="shared" si="9"/>
        <v>0</v>
      </c>
      <c r="AK82" s="359">
        <f>' VVF Sales - PUC &amp; Non PUC'!$AG$35</f>
        <v>0</v>
      </c>
      <c r="AL82" s="359">
        <f>' VVF Sales - PUC &amp; Non PUC'!$AG$36</f>
        <v>0</v>
      </c>
      <c r="AM82" s="359">
        <f>' VVF Sales - PUC &amp; Non PUC'!$AG$37</f>
        <v>0</v>
      </c>
      <c r="AN82" s="359">
        <f>' VVF Sales - PUC &amp; Non PUC'!$AG$38</f>
        <v>0</v>
      </c>
      <c r="AO82" s="359">
        <f>' VVF Sales - PUC &amp; Non PUC'!$AG$39</f>
        <v>0</v>
      </c>
      <c r="AP82" s="359">
        <f>' VVF Sales - PUC &amp; Non PUC'!$AG$40</f>
        <v>0</v>
      </c>
      <c r="AQ82" s="359">
        <f>' VVF Sales - PUC &amp; Non PUC'!$AG$41</f>
        <v>0</v>
      </c>
      <c r="AR82" s="367">
        <f t="shared" si="11"/>
        <v>0</v>
      </c>
      <c r="AT82" s="358">
        <f>'Imports 2015-16'!D153</f>
        <v>0</v>
      </c>
      <c r="AU82" s="358">
        <f>'Imports 2015-16'!E153</f>
        <v>0</v>
      </c>
      <c r="AV82" s="358">
        <f>'Imports 2015-16'!F153</f>
        <v>52.77</v>
      </c>
      <c r="AW82" s="358">
        <f>'Imports 2015-16'!G153</f>
        <v>5283.83</v>
      </c>
      <c r="AX82" s="358">
        <f>'Imports 2015-16'!H153</f>
        <v>917.07999999999993</v>
      </c>
      <c r="AY82" s="358">
        <f>'Imports 2015-16'!I153</f>
        <v>179.32</v>
      </c>
      <c r="AZ82" s="358">
        <f>'Imports 2015-16'!J153</f>
        <v>0</v>
      </c>
      <c r="BA82" s="358">
        <f>'Imports 2015-16'!K153</f>
        <v>3</v>
      </c>
      <c r="BB82" s="358">
        <f>'Imports 2015-16'!L153</f>
        <v>0</v>
      </c>
      <c r="BC82" s="358">
        <f>'Imports 2015-16'!M153</f>
        <v>0</v>
      </c>
      <c r="BD82" s="363">
        <f>'Imports 2015-16'!N153</f>
        <v>6436</v>
      </c>
      <c r="BF82" s="358">
        <f>'Imports 2015-16'!S153/10^5</f>
        <v>0</v>
      </c>
      <c r="BG82" s="358">
        <f>'Imports 2015-16'!T153/10^5</f>
        <v>0</v>
      </c>
      <c r="BH82" s="358">
        <f>'Imports 2015-16'!U153/10^5</f>
        <v>51.095379600000001</v>
      </c>
      <c r="BI82" s="358">
        <f>'Imports 2015-16'!V153/10^5</f>
        <v>4630.6086280000009</v>
      </c>
      <c r="BJ82" s="358">
        <f>'Imports 2015-16'!W153/10^5</f>
        <v>851.01397180000004</v>
      </c>
      <c r="BK82" s="358">
        <f>'Imports 2015-16'!X153/10^5</f>
        <v>166.31055179999998</v>
      </c>
      <c r="BL82" s="358">
        <f>'Imports 2015-16'!Y153/10^5</f>
        <v>0</v>
      </c>
      <c r="BM82" s="358">
        <f>'Imports 2015-16'!Z153/10^5</f>
        <v>3.0817918</v>
      </c>
      <c r="BN82" s="358">
        <f>'Imports 2015-16'!AA153/10^5</f>
        <v>0</v>
      </c>
      <c r="BO82" s="358">
        <f>'Imports 2015-16'!AB153/10^5</f>
        <v>0</v>
      </c>
      <c r="BP82" s="363">
        <f>'Imports 2015-16'!AC153/10^5</f>
        <v>5702.1103229999999</v>
      </c>
      <c r="BR82" s="358"/>
      <c r="BS82" s="358"/>
      <c r="BT82" s="358"/>
      <c r="BU82" s="358">
        <v>333.77</v>
      </c>
      <c r="BV82" s="358"/>
      <c r="BW82" s="358"/>
      <c r="BX82" s="358"/>
      <c r="BY82" s="358">
        <v>577.81499999999994</v>
      </c>
      <c r="BZ82" s="358">
        <v>1442.17</v>
      </c>
      <c r="CA82" s="358">
        <v>130.76</v>
      </c>
      <c r="CB82" s="363">
        <f t="shared" si="12"/>
        <v>2484.5150000000003</v>
      </c>
      <c r="CD82" s="358">
        <v>0</v>
      </c>
      <c r="CE82" s="358"/>
      <c r="CF82" s="358">
        <v>0</v>
      </c>
      <c r="CG82" s="358">
        <v>303.96303700000004</v>
      </c>
      <c r="CH82" s="358">
        <v>0</v>
      </c>
      <c r="CI82" s="358">
        <v>0</v>
      </c>
      <c r="CJ82" s="358"/>
      <c r="CK82" s="358">
        <v>568.67576680000002</v>
      </c>
      <c r="CL82" s="358">
        <v>1302.1865493999999</v>
      </c>
      <c r="CM82" s="358">
        <v>130.92127589999998</v>
      </c>
      <c r="CN82" s="363">
        <f t="shared" si="13"/>
        <v>2305.7466291000001</v>
      </c>
    </row>
    <row r="83" spans="1:92">
      <c r="A83" s="357">
        <v>42186</v>
      </c>
      <c r="B83" s="396">
        <v>0</v>
      </c>
      <c r="C83" s="396">
        <v>0</v>
      </c>
      <c r="D83" s="396">
        <v>0</v>
      </c>
      <c r="E83" s="396">
        <v>0</v>
      </c>
      <c r="F83" s="396">
        <v>0</v>
      </c>
      <c r="G83" s="399"/>
      <c r="H83" s="400">
        <v>0.2</v>
      </c>
      <c r="I83" s="15"/>
      <c r="J83" s="358">
        <f>' VVF Sales - PUC &amp; Non PUC'!$AR$35</f>
        <v>0</v>
      </c>
      <c r="K83" s="358">
        <f>' VVF Sales - PUC &amp; Non PUC'!$AR$36</f>
        <v>1317.0999999999997</v>
      </c>
      <c r="L83" s="358">
        <f>' VVF Sales - PUC &amp; Non PUC'!$AR$37</f>
        <v>422.21000000000004</v>
      </c>
      <c r="M83" s="358">
        <f>' VVF Sales - PUC &amp; Non PUC'!$AR$38</f>
        <v>19.46</v>
      </c>
      <c r="N83" s="358">
        <f>' VVF Sales - PUC &amp; Non PUC'!$AR$39</f>
        <v>25</v>
      </c>
      <c r="O83" s="358">
        <f>' VVF Sales - PUC &amp; Non PUC'!$AR$40</f>
        <v>248.72499999999999</v>
      </c>
      <c r="P83" s="358">
        <f>' VVF Sales - PUC &amp; Non PUC'!$AR$41</f>
        <v>88.15</v>
      </c>
      <c r="Q83" s="363">
        <f t="shared" si="8"/>
        <v>2120.6449999999995</v>
      </c>
      <c r="S83" s="358">
        <f>' VVF Sales - PUC &amp; Non PUC'!$AS$35</f>
        <v>0</v>
      </c>
      <c r="T83" s="358">
        <f>' VVF Sales - PUC &amp; Non PUC'!$AS$36</f>
        <v>1193.7574345999999</v>
      </c>
      <c r="U83" s="358">
        <f>' VVF Sales - PUC &amp; Non PUC'!$AS$37</f>
        <v>368.97630880000003</v>
      </c>
      <c r="V83" s="358">
        <f>' VVF Sales - PUC &amp; Non PUC'!$AS$38</f>
        <v>18.853237199999999</v>
      </c>
      <c r="W83" s="358">
        <f>' VVF Sales - PUC &amp; Non PUC'!$AS$39</f>
        <v>25.405000000000001</v>
      </c>
      <c r="X83" s="358">
        <f>' VVF Sales - PUC &amp; Non PUC'!$AS$40</f>
        <v>245.9205</v>
      </c>
      <c r="Y83" s="358">
        <f>' VVF Sales - PUC &amp; Non PUC'!$AS$41</f>
        <v>87.935735399999984</v>
      </c>
      <c r="Z83" s="363">
        <f t="shared" si="10"/>
        <v>1940.8482159999996</v>
      </c>
      <c r="AB83" s="359">
        <f>' VVF Sales - PUC &amp; Non PUC'!$AT$35</f>
        <v>0</v>
      </c>
      <c r="AC83" s="359">
        <f>' VVF Sales - PUC &amp; Non PUC'!$AT$36</f>
        <v>0</v>
      </c>
      <c r="AD83" s="359">
        <f>' VVF Sales - PUC &amp; Non PUC'!$AT$37</f>
        <v>0</v>
      </c>
      <c r="AE83" s="359">
        <f>' VVF Sales - PUC &amp; Non PUC'!$AT$38</f>
        <v>0</v>
      </c>
      <c r="AF83" s="359">
        <f>' VVF Sales - PUC &amp; Non PUC'!$AT$39</f>
        <v>0</v>
      </c>
      <c r="AG83" s="359">
        <f>' VVF Sales - PUC &amp; Non PUC'!$AT$40</f>
        <v>0</v>
      </c>
      <c r="AH83" s="359">
        <f>' VVF Sales - PUC &amp; Non PUC'!$AT$41</f>
        <v>0</v>
      </c>
      <c r="AI83" s="367">
        <f t="shared" si="9"/>
        <v>0</v>
      </c>
      <c r="AK83" s="359">
        <f>' VVF Sales - PUC &amp; Non PUC'!$AU$35</f>
        <v>0</v>
      </c>
      <c r="AL83" s="359">
        <f>' VVF Sales - PUC &amp; Non PUC'!$AU$36</f>
        <v>0</v>
      </c>
      <c r="AM83" s="359">
        <f>' VVF Sales - PUC &amp; Non PUC'!$AU$37</f>
        <v>0</v>
      </c>
      <c r="AN83" s="359">
        <f>' VVF Sales - PUC &amp; Non PUC'!$AU$38</f>
        <v>0</v>
      </c>
      <c r="AO83" s="359">
        <f>' VVF Sales - PUC &amp; Non PUC'!$AU$39</f>
        <v>0</v>
      </c>
      <c r="AP83" s="359">
        <f>' VVF Sales - PUC &amp; Non PUC'!$AU$40</f>
        <v>0</v>
      </c>
      <c r="AQ83" s="359">
        <f>' VVF Sales - PUC &amp; Non PUC'!$AU$41</f>
        <v>0</v>
      </c>
      <c r="AR83" s="367">
        <f t="shared" si="11"/>
        <v>0</v>
      </c>
      <c r="AT83" s="358">
        <f>'Imports 2015-16'!D154</f>
        <v>0</v>
      </c>
      <c r="AU83" s="358">
        <f>'Imports 2015-16'!E154</f>
        <v>0</v>
      </c>
      <c r="AV83" s="358">
        <f>'Imports 2015-16'!F154</f>
        <v>39.269999999999996</v>
      </c>
      <c r="AW83" s="358">
        <f>'Imports 2015-16'!G154</f>
        <v>1801.41</v>
      </c>
      <c r="AX83" s="358">
        <f>'Imports 2015-16'!H154</f>
        <v>768.81</v>
      </c>
      <c r="AY83" s="358">
        <f>'Imports 2015-16'!I154</f>
        <v>115.50999999999999</v>
      </c>
      <c r="AZ83" s="358">
        <f>'Imports 2015-16'!J154</f>
        <v>0</v>
      </c>
      <c r="BA83" s="358">
        <f>'Imports 2015-16'!K154</f>
        <v>11.7</v>
      </c>
      <c r="BB83" s="358">
        <f>'Imports 2015-16'!L154</f>
        <v>15</v>
      </c>
      <c r="BC83" s="358">
        <f>'Imports 2015-16'!M154</f>
        <v>0.3</v>
      </c>
      <c r="BD83" s="363">
        <f>'Imports 2015-16'!N154</f>
        <v>2752</v>
      </c>
      <c r="BF83" s="358">
        <f>'Imports 2015-16'!S154/10^5</f>
        <v>0</v>
      </c>
      <c r="BG83" s="358">
        <f>'Imports 2015-16'!T154/10^5</f>
        <v>0</v>
      </c>
      <c r="BH83" s="358">
        <f>'Imports 2015-16'!U154/10^5</f>
        <v>36.907487000000003</v>
      </c>
      <c r="BI83" s="358">
        <f>'Imports 2015-16'!V154/10^5</f>
        <v>1571.8021294999999</v>
      </c>
      <c r="BJ83" s="358">
        <f>'Imports 2015-16'!W154/10^5</f>
        <v>701.6769344999999</v>
      </c>
      <c r="BK83" s="358">
        <f>'Imports 2015-16'!X154/10^5</f>
        <v>104.11210960000001</v>
      </c>
      <c r="BL83" s="358">
        <f>'Imports 2015-16'!Y154/10^5</f>
        <v>0</v>
      </c>
      <c r="BM83" s="358">
        <f>'Imports 2015-16'!Z154/10^5</f>
        <v>12.527497199999999</v>
      </c>
      <c r="BN83" s="358">
        <f>'Imports 2015-16'!AA154/10^5</f>
        <v>13.140731299999999</v>
      </c>
      <c r="BO83" s="358">
        <f>'Imports 2015-16'!AB154/10^5</f>
        <v>0.31635089999999999</v>
      </c>
      <c r="BP83" s="363">
        <f>'Imports 2015-16'!AC154/10^5</f>
        <v>2440.4832399999996</v>
      </c>
      <c r="BR83" s="358"/>
      <c r="BS83" s="358"/>
      <c r="BT83" s="358"/>
      <c r="BU83" s="358">
        <v>338.83</v>
      </c>
      <c r="BV83" s="358"/>
      <c r="BW83" s="358">
        <v>262.77999999999997</v>
      </c>
      <c r="BX83" s="358"/>
      <c r="BY83" s="358">
        <v>621.54</v>
      </c>
      <c r="BZ83" s="358">
        <v>2178.1</v>
      </c>
      <c r="CA83" s="358">
        <v>340.52000000000004</v>
      </c>
      <c r="CB83" s="363">
        <f t="shared" si="12"/>
        <v>3741.77</v>
      </c>
      <c r="CD83" s="358">
        <v>0</v>
      </c>
      <c r="CE83" s="358"/>
      <c r="CF83" s="358">
        <v>0</v>
      </c>
      <c r="CG83" s="358">
        <v>319.2768729</v>
      </c>
      <c r="CH83" s="358">
        <v>0</v>
      </c>
      <c r="CI83" s="358">
        <v>205.58038089999999</v>
      </c>
      <c r="CJ83" s="358"/>
      <c r="CK83" s="358">
        <v>604.58717060000004</v>
      </c>
      <c r="CL83" s="358">
        <v>1939.0176001999996</v>
      </c>
      <c r="CM83" s="358">
        <v>345.48102869999997</v>
      </c>
      <c r="CN83" s="363">
        <f t="shared" si="13"/>
        <v>3413.9430532999995</v>
      </c>
    </row>
    <row r="84" spans="1:92">
      <c r="A84" s="357">
        <v>42217</v>
      </c>
      <c r="B84" s="396">
        <v>0</v>
      </c>
      <c r="C84" s="396">
        <v>0</v>
      </c>
      <c r="D84" s="396">
        <v>0</v>
      </c>
      <c r="E84" s="396">
        <v>0</v>
      </c>
      <c r="F84" s="396">
        <v>0</v>
      </c>
      <c r="G84" s="399"/>
      <c r="H84" s="400">
        <v>0.2</v>
      </c>
      <c r="I84" s="15"/>
      <c r="J84" s="358">
        <f>' VVF Sales - PUC &amp; Non PUC'!$BF$35</f>
        <v>0</v>
      </c>
      <c r="K84" s="358">
        <f>' VVF Sales - PUC &amp; Non PUC'!$BF$36</f>
        <v>1253.0199999999991</v>
      </c>
      <c r="L84" s="358">
        <f>' VVF Sales - PUC &amp; Non PUC'!$BF$37</f>
        <v>100.72</v>
      </c>
      <c r="M84" s="358">
        <f>' VVF Sales - PUC &amp; Non PUC'!$BF$38</f>
        <v>38.880000000000003</v>
      </c>
      <c r="N84" s="358">
        <f>' VVF Sales - PUC &amp; Non PUC'!$BF$39</f>
        <v>15.275</v>
      </c>
      <c r="O84" s="358">
        <f>' VVF Sales - PUC &amp; Non PUC'!$BF$40</f>
        <v>329.39999999999992</v>
      </c>
      <c r="P84" s="358">
        <f>' VVF Sales - PUC &amp; Non PUC'!$BF$41</f>
        <v>56.2</v>
      </c>
      <c r="Q84" s="363">
        <f t="shared" si="8"/>
        <v>1793.4949999999992</v>
      </c>
      <c r="S84" s="358">
        <f>' VVF Sales - PUC &amp; Non PUC'!$BG$35</f>
        <v>0</v>
      </c>
      <c r="T84" s="358">
        <f>' VVF Sales - PUC &amp; Non PUC'!$BG$36</f>
        <v>1100.5524594999999</v>
      </c>
      <c r="U84" s="358">
        <f>' VVF Sales - PUC &amp; Non PUC'!$BG$37</f>
        <v>88.224842900000013</v>
      </c>
      <c r="V84" s="358">
        <f>' VVF Sales - PUC &amp; Non PUC'!$BG$38</f>
        <v>37.667818499999996</v>
      </c>
      <c r="W84" s="358">
        <f>' VVF Sales - PUC &amp; Non PUC'!$BG$39</f>
        <v>15.215999999999999</v>
      </c>
      <c r="X84" s="358">
        <f>' VVF Sales - PUC &amp; Non PUC'!$BG$40</f>
        <v>319.00175000000002</v>
      </c>
      <c r="Y84" s="358">
        <f>' VVF Sales - PUC &amp; Non PUC'!$BG$41</f>
        <v>54.516069199999997</v>
      </c>
      <c r="Z84" s="363">
        <f t="shared" si="10"/>
        <v>1615.1789401000001</v>
      </c>
      <c r="AB84" s="359">
        <f>' VVF Sales - PUC &amp; Non PUC'!$BH$35</f>
        <v>0</v>
      </c>
      <c r="AC84" s="359">
        <f>' VVF Sales - PUC &amp; Non PUC'!$BH$36</f>
        <v>0</v>
      </c>
      <c r="AD84" s="359">
        <f>' VVF Sales - PUC &amp; Non PUC'!$BH$37</f>
        <v>0</v>
      </c>
      <c r="AE84" s="359">
        <f>' VVF Sales - PUC &amp; Non PUC'!$BH$38</f>
        <v>0</v>
      </c>
      <c r="AF84" s="359">
        <f>' VVF Sales - PUC &amp; Non PUC'!$BH$39</f>
        <v>0</v>
      </c>
      <c r="AG84" s="359">
        <f>' VVF Sales - PUC &amp; Non PUC'!$BH$40</f>
        <v>0</v>
      </c>
      <c r="AH84" s="359">
        <f>' VVF Sales - PUC &amp; Non PUC'!$BH$41</f>
        <v>0</v>
      </c>
      <c r="AI84" s="367">
        <f t="shared" si="9"/>
        <v>0</v>
      </c>
      <c r="AK84" s="359">
        <f>' VVF Sales - PUC &amp; Non PUC'!$BI$35</f>
        <v>0</v>
      </c>
      <c r="AL84" s="359">
        <f>' VVF Sales - PUC &amp; Non PUC'!$BI$36</f>
        <v>0</v>
      </c>
      <c r="AM84" s="359">
        <f>' VVF Sales - PUC &amp; Non PUC'!$BI$37</f>
        <v>0</v>
      </c>
      <c r="AN84" s="359">
        <f>' VVF Sales - PUC &amp; Non PUC'!$BI$38</f>
        <v>0</v>
      </c>
      <c r="AO84" s="359">
        <f>' VVF Sales - PUC &amp; Non PUC'!$BI$39</f>
        <v>0</v>
      </c>
      <c r="AP84" s="359">
        <f>' VVF Sales - PUC &amp; Non PUC'!$BI$40</f>
        <v>0</v>
      </c>
      <c r="AQ84" s="359">
        <f>' VVF Sales - PUC &amp; Non PUC'!$BI$41</f>
        <v>0</v>
      </c>
      <c r="AR84" s="367">
        <f t="shared" si="11"/>
        <v>0</v>
      </c>
      <c r="AT84" s="358">
        <f>'Imports 2015-16'!D155</f>
        <v>0</v>
      </c>
      <c r="AU84" s="358">
        <f>'Imports 2015-16'!E155</f>
        <v>0</v>
      </c>
      <c r="AV84" s="358">
        <f>'Imports 2015-16'!F155</f>
        <v>185.73999999999998</v>
      </c>
      <c r="AW84" s="358">
        <f>'Imports 2015-16'!G155</f>
        <v>3316.57</v>
      </c>
      <c r="AX84" s="358">
        <f>'Imports 2015-16'!H155</f>
        <v>1280.46</v>
      </c>
      <c r="AY84" s="358">
        <f>'Imports 2015-16'!I155</f>
        <v>196.44</v>
      </c>
      <c r="AZ84" s="358">
        <f>'Imports 2015-16'!J155</f>
        <v>0</v>
      </c>
      <c r="BA84" s="358">
        <f>'Imports 2015-16'!K155</f>
        <v>0.3</v>
      </c>
      <c r="BB84" s="358">
        <f>'Imports 2015-16'!L155</f>
        <v>15</v>
      </c>
      <c r="BC84" s="358">
        <f>'Imports 2015-16'!M155</f>
        <v>0</v>
      </c>
      <c r="BD84" s="363">
        <f>'Imports 2015-16'!N155</f>
        <v>4994.51</v>
      </c>
      <c r="BF84" s="358">
        <f>'Imports 2015-16'!S155/10^5</f>
        <v>0</v>
      </c>
      <c r="BG84" s="358">
        <f>'Imports 2015-16'!T155/10^5</f>
        <v>0</v>
      </c>
      <c r="BH84" s="358">
        <f>'Imports 2015-16'!U155/10^5</f>
        <v>166.50293459999997</v>
      </c>
      <c r="BI84" s="358">
        <f>'Imports 2015-16'!V155/10^5</f>
        <v>2950.7317230000003</v>
      </c>
      <c r="BJ84" s="358">
        <f>'Imports 2015-16'!W155/10^5</f>
        <v>1141.9531750000001</v>
      </c>
      <c r="BK84" s="358">
        <f>'Imports 2015-16'!X155/10^5</f>
        <v>175.2109672</v>
      </c>
      <c r="BL84" s="358">
        <f>'Imports 2015-16'!Y155/10^5</f>
        <v>0</v>
      </c>
      <c r="BM84" s="358">
        <f>'Imports 2015-16'!Z155/10^5</f>
        <v>0.31489349999999999</v>
      </c>
      <c r="BN84" s="358">
        <f>'Imports 2015-16'!AA155/10^5</f>
        <v>13.547129999999999</v>
      </c>
      <c r="BO84" s="358">
        <f>'Imports 2015-16'!AB155/10^5</f>
        <v>0</v>
      </c>
      <c r="BP84" s="363">
        <f>'Imports 2015-16'!AC155/10^5</f>
        <v>4448.2608233000001</v>
      </c>
      <c r="BR84" s="358"/>
      <c r="BS84" s="358"/>
      <c r="BT84" s="358"/>
      <c r="BU84" s="358">
        <v>1123.2199999999998</v>
      </c>
      <c r="BV84" s="358"/>
      <c r="BW84" s="358">
        <v>18.97</v>
      </c>
      <c r="BX84" s="358"/>
      <c r="BY84" s="358">
        <v>655.70899999999995</v>
      </c>
      <c r="BZ84" s="358">
        <v>1087.5349999999999</v>
      </c>
      <c r="CA84" s="358">
        <v>237.60499999999996</v>
      </c>
      <c r="CB84" s="363">
        <f t="shared" si="12"/>
        <v>3123.0389999999998</v>
      </c>
      <c r="CD84" s="358">
        <v>0</v>
      </c>
      <c r="CE84" s="358"/>
      <c r="CF84" s="358">
        <v>0</v>
      </c>
      <c r="CG84" s="358">
        <v>967.0648028999999</v>
      </c>
      <c r="CH84" s="358">
        <v>0</v>
      </c>
      <c r="CI84" s="358">
        <v>14.9013914</v>
      </c>
      <c r="CJ84" s="358"/>
      <c r="CK84" s="358">
        <v>625.94568850000007</v>
      </c>
      <c r="CL84" s="358">
        <v>947.29277450000018</v>
      </c>
      <c r="CM84" s="358">
        <v>248.17431010000001</v>
      </c>
      <c r="CN84" s="363">
        <f t="shared" si="13"/>
        <v>2803.3789674000004</v>
      </c>
    </row>
    <row r="85" spans="1:92">
      <c r="A85" s="357">
        <v>42248</v>
      </c>
      <c r="B85" s="396">
        <v>0</v>
      </c>
      <c r="C85" s="396">
        <v>0</v>
      </c>
      <c r="D85" s="396">
        <v>0</v>
      </c>
      <c r="E85" s="396">
        <v>0</v>
      </c>
      <c r="F85" s="396">
        <v>0</v>
      </c>
      <c r="G85" s="399"/>
      <c r="H85" s="400">
        <v>0.18</v>
      </c>
      <c r="I85" s="15"/>
      <c r="J85" s="358">
        <f>' VVF Sales - PUC &amp; Non PUC'!$BT$35</f>
        <v>16.66</v>
      </c>
      <c r="K85" s="358">
        <f>' VVF Sales - PUC &amp; Non PUC'!$BT$36</f>
        <v>2368.1200000000003</v>
      </c>
      <c r="L85" s="358">
        <f>' VVF Sales - PUC &amp; Non PUC'!$BT$37</f>
        <v>10.8</v>
      </c>
      <c r="M85" s="358">
        <f>' VVF Sales - PUC &amp; Non PUC'!$BT$38</f>
        <v>0</v>
      </c>
      <c r="N85" s="358">
        <f>' VVF Sales - PUC &amp; Non PUC'!$BT$39</f>
        <v>9.8500000000000014</v>
      </c>
      <c r="O85" s="358">
        <f>' VVF Sales - PUC &amp; Non PUC'!$BT$40</f>
        <v>527.995</v>
      </c>
      <c r="P85" s="358">
        <f>' VVF Sales - PUC &amp; Non PUC'!$BT$41</f>
        <v>90.25</v>
      </c>
      <c r="Q85" s="363">
        <f t="shared" ref="Q85:Q103" si="14">SUM(J85:P85)</f>
        <v>3023.6750000000002</v>
      </c>
      <c r="S85" s="358">
        <f>' VVF Sales - PUC &amp; Non PUC'!$BU$35</f>
        <v>33.896236100000003</v>
      </c>
      <c r="T85" s="358">
        <f>' VVF Sales - PUC &amp; Non PUC'!$BU$36</f>
        <v>2013.2291019999998</v>
      </c>
      <c r="U85" s="358">
        <f>' VVF Sales - PUC &amp; Non PUC'!$BU$37</f>
        <v>8.9093520000000002</v>
      </c>
      <c r="V85" s="358">
        <f>' VVF Sales - PUC &amp; Non PUC'!$BU$38</f>
        <v>0</v>
      </c>
      <c r="W85" s="358">
        <f>' VVF Sales - PUC &amp; Non PUC'!$BU$39</f>
        <v>9.9917499999999997</v>
      </c>
      <c r="X85" s="358">
        <f>' VVF Sales - PUC &amp; Non PUC'!$BU$40</f>
        <v>428.64710430000008</v>
      </c>
      <c r="Y85" s="358">
        <f>' VVF Sales - PUC &amp; Non PUC'!$BU$41</f>
        <v>85.5455635</v>
      </c>
      <c r="Z85" s="363">
        <f t="shared" si="10"/>
        <v>2580.2191078999999</v>
      </c>
      <c r="AB85" s="359">
        <f>' VVF Sales - PUC &amp; Non PUC'!$BV$35</f>
        <v>0</v>
      </c>
      <c r="AC85" s="359">
        <f>' VVF Sales - PUC &amp; Non PUC'!$BV$36</f>
        <v>0</v>
      </c>
      <c r="AD85" s="359">
        <f>' VVF Sales - PUC &amp; Non PUC'!$BV$37</f>
        <v>0</v>
      </c>
      <c r="AE85" s="359">
        <f>' VVF Sales - PUC &amp; Non PUC'!$BV$38</f>
        <v>0</v>
      </c>
      <c r="AF85" s="359">
        <f>' VVF Sales - PUC &amp; Non PUC'!$BV$39</f>
        <v>0</v>
      </c>
      <c r="AG85" s="359">
        <f>' VVF Sales - PUC &amp; Non PUC'!$BV$40</f>
        <v>0</v>
      </c>
      <c r="AH85" s="359">
        <f>' VVF Sales - PUC &amp; Non PUC'!$BV$41</f>
        <v>0</v>
      </c>
      <c r="AI85" s="367">
        <f t="shared" ref="AI85:AI103" si="15">SUM(AB85:AH85)</f>
        <v>0</v>
      </c>
      <c r="AK85" s="359">
        <f>' VVF Sales - PUC &amp; Non PUC'!$BW$35</f>
        <v>0</v>
      </c>
      <c r="AL85" s="359">
        <f>' VVF Sales - PUC &amp; Non PUC'!$BW$36</f>
        <v>0</v>
      </c>
      <c r="AM85" s="359">
        <f>' VVF Sales - PUC &amp; Non PUC'!$BW$37</f>
        <v>0</v>
      </c>
      <c r="AN85" s="359">
        <f>' VVF Sales - PUC &amp; Non PUC'!$BW$38</f>
        <v>0</v>
      </c>
      <c r="AO85" s="359">
        <f>' VVF Sales - PUC &amp; Non PUC'!$BW$39</f>
        <v>0</v>
      </c>
      <c r="AP85" s="359">
        <f>' VVF Sales - PUC &amp; Non PUC'!$BW$40</f>
        <v>0</v>
      </c>
      <c r="AQ85" s="359">
        <f>' VVF Sales - PUC &amp; Non PUC'!$BW$41</f>
        <v>0</v>
      </c>
      <c r="AR85" s="367">
        <f t="shared" si="11"/>
        <v>0</v>
      </c>
      <c r="AT85" s="358">
        <f>'Imports 2015-16'!D156</f>
        <v>6.8</v>
      </c>
      <c r="AU85" s="358">
        <f>'Imports 2015-16'!E156</f>
        <v>0</v>
      </c>
      <c r="AV85" s="358">
        <f>'Imports 2015-16'!F156</f>
        <v>27.2</v>
      </c>
      <c r="AW85" s="358">
        <f>'Imports 2015-16'!G156</f>
        <v>879.29</v>
      </c>
      <c r="AX85" s="358">
        <f>'Imports 2015-16'!H156</f>
        <v>749.22</v>
      </c>
      <c r="AY85" s="358">
        <f>'Imports 2015-16'!I156</f>
        <v>357.41999999999996</v>
      </c>
      <c r="AZ85" s="358">
        <f>'Imports 2015-16'!J156</f>
        <v>0</v>
      </c>
      <c r="BA85" s="358">
        <f>'Imports 2015-16'!K156</f>
        <v>30</v>
      </c>
      <c r="BB85" s="358">
        <f>'Imports 2015-16'!L156</f>
        <v>30</v>
      </c>
      <c r="BC85" s="358">
        <f>'Imports 2015-16'!M156</f>
        <v>16</v>
      </c>
      <c r="BD85" s="363">
        <f>'Imports 2015-16'!N156</f>
        <v>2095.9299999999998</v>
      </c>
      <c r="BF85" s="358">
        <f>'Imports 2015-16'!S156/10^5</f>
        <v>16.577978399999999</v>
      </c>
      <c r="BG85" s="358">
        <f>'Imports 2015-16'!T156/10^5</f>
        <v>0</v>
      </c>
      <c r="BH85" s="358">
        <f>'Imports 2015-16'!U156/10^5</f>
        <v>27.455722900000001</v>
      </c>
      <c r="BI85" s="358">
        <f>'Imports 2015-16'!V156/10^5</f>
        <v>765.53608739999993</v>
      </c>
      <c r="BJ85" s="358">
        <f>'Imports 2015-16'!W156/10^5</f>
        <v>676.62382290000005</v>
      </c>
      <c r="BK85" s="358">
        <f>'Imports 2015-16'!X156/10^5</f>
        <v>294.0537769</v>
      </c>
      <c r="BL85" s="358">
        <f>'Imports 2015-16'!Y156/10^5</f>
        <v>0</v>
      </c>
      <c r="BM85" s="358">
        <f>'Imports 2015-16'!Z156/10^5</f>
        <v>32.9152688</v>
      </c>
      <c r="BN85" s="358">
        <f>'Imports 2015-16'!AA156/10^5</f>
        <v>26.776413099999996</v>
      </c>
      <c r="BO85" s="358">
        <f>'Imports 2015-16'!AB156/10^5</f>
        <v>15.711156000000001</v>
      </c>
      <c r="BP85" s="363">
        <f>'Imports 2015-16'!AC156/10^5</f>
        <v>1855.6502263999998</v>
      </c>
      <c r="BR85" s="358"/>
      <c r="BS85" s="358"/>
      <c r="BT85" s="358"/>
      <c r="BU85" s="358">
        <v>891.44</v>
      </c>
      <c r="BV85" s="358">
        <v>2.72</v>
      </c>
      <c r="BW85" s="358">
        <v>205.19</v>
      </c>
      <c r="BX85" s="358"/>
      <c r="BY85" s="358">
        <v>508.37700000000007</v>
      </c>
      <c r="BZ85" s="358">
        <v>1369.0000000000005</v>
      </c>
      <c r="CA85" s="358">
        <v>139.84</v>
      </c>
      <c r="CB85" s="363">
        <f t="shared" si="12"/>
        <v>3116.5670000000009</v>
      </c>
      <c r="CD85" s="358">
        <v>0</v>
      </c>
      <c r="CE85" s="358"/>
      <c r="CF85" s="358">
        <v>0</v>
      </c>
      <c r="CG85" s="358">
        <v>773.10978899999986</v>
      </c>
      <c r="CH85" s="358">
        <v>2.4482027</v>
      </c>
      <c r="CI85" s="358">
        <v>143.06146419999999</v>
      </c>
      <c r="CJ85" s="358"/>
      <c r="CK85" s="358">
        <v>506.50416039999999</v>
      </c>
      <c r="CL85" s="358">
        <v>1240.8080526000003</v>
      </c>
      <c r="CM85" s="358">
        <v>146.74245960000002</v>
      </c>
      <c r="CN85" s="363">
        <f t="shared" si="13"/>
        <v>2812.6741285000003</v>
      </c>
    </row>
    <row r="86" spans="1:92">
      <c r="A86" s="357">
        <v>42278</v>
      </c>
      <c r="B86" s="396">
        <v>0</v>
      </c>
      <c r="C86" s="396">
        <v>0</v>
      </c>
      <c r="D86" s="396">
        <v>0</v>
      </c>
      <c r="E86" s="396">
        <v>0</v>
      </c>
      <c r="F86" s="396">
        <v>0</v>
      </c>
      <c r="G86" s="399"/>
      <c r="H86" s="400">
        <v>0.18</v>
      </c>
      <c r="I86" s="15"/>
      <c r="J86" s="358">
        <f>' VVF Sales - PUC &amp; Non PUC'!$CH$35</f>
        <v>0</v>
      </c>
      <c r="K86" s="358">
        <f>' VVF Sales - PUC &amp; Non PUC'!$CH$36</f>
        <v>2929.1900000000019</v>
      </c>
      <c r="L86" s="358">
        <f>' VVF Sales - PUC &amp; Non PUC'!$CH$37</f>
        <v>0</v>
      </c>
      <c r="M86" s="358">
        <f>' VVF Sales - PUC &amp; Non PUC'!$CH$38</f>
        <v>0</v>
      </c>
      <c r="N86" s="358">
        <f>' VVF Sales - PUC &amp; Non PUC'!$CH$39</f>
        <v>17.45</v>
      </c>
      <c r="O86" s="358">
        <f>' VVF Sales - PUC &amp; Non PUC'!$CH$40</f>
        <v>567.8900000000001</v>
      </c>
      <c r="P86" s="358">
        <f>' VVF Sales - PUC &amp; Non PUC'!$CH$41</f>
        <v>83.325000000000003</v>
      </c>
      <c r="Q86" s="363">
        <f t="shared" si="14"/>
        <v>3597.8550000000014</v>
      </c>
      <c r="S86" s="358">
        <f>' VVF Sales - PUC &amp; Non PUC'!$CI$35</f>
        <v>0</v>
      </c>
      <c r="T86" s="358">
        <f>' VVF Sales - PUC &amp; Non PUC'!$CI$36</f>
        <v>2493.1975821999995</v>
      </c>
      <c r="U86" s="358">
        <f>' VVF Sales - PUC &amp; Non PUC'!$CI$37</f>
        <v>0</v>
      </c>
      <c r="V86" s="358">
        <f>' VVF Sales - PUC &amp; Non PUC'!$CI$38</f>
        <v>0</v>
      </c>
      <c r="W86" s="358">
        <f>' VVF Sales - PUC &amp; Non PUC'!$CI$39</f>
        <v>16.727905</v>
      </c>
      <c r="X86" s="358">
        <f>' VVF Sales - PUC &amp; Non PUC'!$CI$40</f>
        <v>491.04930740000003</v>
      </c>
      <c r="Y86" s="358">
        <f>' VVF Sales - PUC &amp; Non PUC'!$CI$41</f>
        <v>77.956061299999988</v>
      </c>
      <c r="Z86" s="363">
        <f t="shared" ref="Z86:Z104" si="16">SUM(S86:Y86)</f>
        <v>3078.9308558999996</v>
      </c>
      <c r="AB86" s="359">
        <f>' VVF Sales - PUC &amp; Non PUC'!$CJ$35</f>
        <v>0</v>
      </c>
      <c r="AC86" s="359">
        <f>' VVF Sales - PUC &amp; Non PUC'!$CJ$36</f>
        <v>0</v>
      </c>
      <c r="AD86" s="359">
        <f>' VVF Sales - PUC &amp; Non PUC'!$CJ$37</f>
        <v>0</v>
      </c>
      <c r="AE86" s="359">
        <f>' VVF Sales - PUC &amp; Non PUC'!$CJ$38</f>
        <v>0</v>
      </c>
      <c r="AF86" s="359">
        <f>' VVF Sales - PUC &amp; Non PUC'!$CJ$39</f>
        <v>0</v>
      </c>
      <c r="AG86" s="359">
        <f>' VVF Sales - PUC &amp; Non PUC'!$CJ$40</f>
        <v>0</v>
      </c>
      <c r="AH86" s="359">
        <f>' VVF Sales - PUC &amp; Non PUC'!$CJ$41</f>
        <v>0</v>
      </c>
      <c r="AI86" s="367">
        <f t="shared" si="15"/>
        <v>0</v>
      </c>
      <c r="AK86" s="359">
        <f>' VVF Sales - PUC &amp; Non PUC'!$CK$35</f>
        <v>0</v>
      </c>
      <c r="AL86" s="359">
        <f>' VVF Sales - PUC &amp; Non PUC'!$CK$36</f>
        <v>0</v>
      </c>
      <c r="AM86" s="359">
        <f>' VVF Sales - PUC &amp; Non PUC'!$CK$37</f>
        <v>0</v>
      </c>
      <c r="AN86" s="359">
        <f>' VVF Sales - PUC &amp; Non PUC'!$CK$38</f>
        <v>0</v>
      </c>
      <c r="AO86" s="359">
        <f>' VVF Sales - PUC &amp; Non PUC'!$CK$39</f>
        <v>0</v>
      </c>
      <c r="AP86" s="359">
        <f>' VVF Sales - PUC &amp; Non PUC'!$CK$40</f>
        <v>0</v>
      </c>
      <c r="AQ86" s="359">
        <f>' VVF Sales - PUC &amp; Non PUC'!$CK$41</f>
        <v>0</v>
      </c>
      <c r="AR86" s="367">
        <f t="shared" ref="AR86:AR104" si="17">SUM(AK86:AQ86)</f>
        <v>0</v>
      </c>
      <c r="AT86" s="358">
        <f>'Imports 2015-16'!D157</f>
        <v>0</v>
      </c>
      <c r="AU86" s="358">
        <f>'Imports 2015-16'!E157</f>
        <v>0</v>
      </c>
      <c r="AV86" s="358">
        <f>'Imports 2015-16'!F157</f>
        <v>13.6</v>
      </c>
      <c r="AW86" s="358">
        <f>'Imports 2015-16'!G157</f>
        <v>1452.42</v>
      </c>
      <c r="AX86" s="358">
        <f>'Imports 2015-16'!H157</f>
        <v>710.7</v>
      </c>
      <c r="AY86" s="358">
        <f>'Imports 2015-16'!I157</f>
        <v>0</v>
      </c>
      <c r="AZ86" s="358">
        <f>'Imports 2015-16'!J157</f>
        <v>0</v>
      </c>
      <c r="BA86" s="358">
        <f>'Imports 2015-16'!K157</f>
        <v>0</v>
      </c>
      <c r="BB86" s="358">
        <f>'Imports 2015-16'!L157</f>
        <v>0</v>
      </c>
      <c r="BC86" s="358">
        <f>'Imports 2015-16'!M157</f>
        <v>0</v>
      </c>
      <c r="BD86" s="363">
        <f>'Imports 2015-16'!N157</f>
        <v>2176.7200000000003</v>
      </c>
      <c r="BF86" s="358">
        <f>'Imports 2015-16'!S157/10^5</f>
        <v>0</v>
      </c>
      <c r="BG86" s="358">
        <f>'Imports 2015-16'!T157/10^5</f>
        <v>0</v>
      </c>
      <c r="BH86" s="358">
        <f>'Imports 2015-16'!U157/10^5</f>
        <v>11.8489483</v>
      </c>
      <c r="BI86" s="358">
        <f>'Imports 2015-16'!V157/10^5</f>
        <v>1050.1594872999999</v>
      </c>
      <c r="BJ86" s="358">
        <f>'Imports 2015-16'!W157/10^5</f>
        <v>600.58582669999998</v>
      </c>
      <c r="BK86" s="358">
        <f>'Imports 2015-16'!X157/10^5</f>
        <v>0</v>
      </c>
      <c r="BL86" s="358">
        <f>'Imports 2015-16'!Y157/10^5</f>
        <v>0</v>
      </c>
      <c r="BM86" s="358">
        <f>'Imports 2015-16'!Z157/10^5</f>
        <v>0</v>
      </c>
      <c r="BN86" s="358">
        <f>'Imports 2015-16'!AA157/10^5</f>
        <v>0</v>
      </c>
      <c r="BO86" s="358">
        <f>'Imports 2015-16'!AB157/10^5</f>
        <v>0</v>
      </c>
      <c r="BP86" s="363">
        <f>'Imports 2015-16'!AC157/10^5</f>
        <v>1662.5942622999999</v>
      </c>
      <c r="BR86" s="358"/>
      <c r="BS86" s="358"/>
      <c r="BT86" s="358"/>
      <c r="BU86" s="358">
        <v>1125.3400000000001</v>
      </c>
      <c r="BV86" s="358"/>
      <c r="BW86" s="358">
        <v>206.96999999999997</v>
      </c>
      <c r="BX86" s="358"/>
      <c r="BY86" s="358">
        <v>698.15000000000009</v>
      </c>
      <c r="BZ86" s="358">
        <v>1534.3910000000001</v>
      </c>
      <c r="CA86" s="358">
        <v>88.525000000000006</v>
      </c>
      <c r="CB86" s="363">
        <f t="shared" si="12"/>
        <v>3653.3760000000007</v>
      </c>
      <c r="CD86" s="358">
        <v>0</v>
      </c>
      <c r="CE86" s="358"/>
      <c r="CF86" s="358">
        <v>0</v>
      </c>
      <c r="CG86" s="358">
        <v>815.85166469999979</v>
      </c>
      <c r="CH86" s="358">
        <v>0</v>
      </c>
      <c r="CI86" s="358">
        <v>150.04526130000002</v>
      </c>
      <c r="CJ86" s="358"/>
      <c r="CK86" s="358">
        <v>615.53510160000008</v>
      </c>
      <c r="CL86" s="358">
        <v>1284.3594268999998</v>
      </c>
      <c r="CM86" s="358">
        <v>85.528095499999992</v>
      </c>
      <c r="CN86" s="363">
        <f t="shared" si="13"/>
        <v>2951.3195499999993</v>
      </c>
    </row>
    <row r="87" spans="1:92">
      <c r="A87" s="357">
        <v>42309</v>
      </c>
      <c r="B87" s="396">
        <v>0</v>
      </c>
      <c r="C87" s="396">
        <v>0</v>
      </c>
      <c r="D87" s="396">
        <v>0</v>
      </c>
      <c r="E87" s="396">
        <v>0</v>
      </c>
      <c r="F87" s="396">
        <v>0</v>
      </c>
      <c r="G87" s="399"/>
      <c r="H87" s="400">
        <v>0.18</v>
      </c>
      <c r="I87" s="15"/>
      <c r="J87" s="358">
        <f>' VVF Sales - PUC &amp; Non PUC'!$CV$35</f>
        <v>0</v>
      </c>
      <c r="K87" s="358">
        <f>' VVF Sales - PUC &amp; Non PUC'!$CV$36</f>
        <v>1214.0500000000004</v>
      </c>
      <c r="L87" s="358">
        <f>' VVF Sales - PUC &amp; Non PUC'!$CV$37</f>
        <v>0</v>
      </c>
      <c r="M87" s="358">
        <f>' VVF Sales - PUC &amp; Non PUC'!$CV$38</f>
        <v>0</v>
      </c>
      <c r="N87" s="358">
        <f>' VVF Sales - PUC &amp; Non PUC'!$CV$39</f>
        <v>23.463000000000001</v>
      </c>
      <c r="O87" s="358">
        <f>' VVF Sales - PUC &amp; Non PUC'!$CV$40</f>
        <v>891.78499999999985</v>
      </c>
      <c r="P87" s="358">
        <f>' VVF Sales - PUC &amp; Non PUC'!$CV$41</f>
        <v>87.875</v>
      </c>
      <c r="Q87" s="363">
        <f t="shared" si="14"/>
        <v>2217.1730000000002</v>
      </c>
      <c r="S87" s="358">
        <f>' VVF Sales - PUC &amp; Non PUC'!$CW$35</f>
        <v>0</v>
      </c>
      <c r="T87" s="358">
        <f>' VVF Sales - PUC &amp; Non PUC'!$CW$36</f>
        <v>979.89814150000007</v>
      </c>
      <c r="U87" s="358">
        <f>' VVF Sales - PUC &amp; Non PUC'!$CW$37</f>
        <v>0</v>
      </c>
      <c r="V87" s="358">
        <f>' VVF Sales - PUC &amp; Non PUC'!$CW$38</f>
        <v>0</v>
      </c>
      <c r="W87" s="358">
        <f>' VVF Sales - PUC &amp; Non PUC'!$CW$39</f>
        <v>22.383319699999998</v>
      </c>
      <c r="X87" s="358">
        <f>' VVF Sales - PUC &amp; Non PUC'!$CW$40</f>
        <v>728.58277370000008</v>
      </c>
      <c r="Y87" s="358">
        <f>' VVF Sales - PUC &amp; Non PUC'!$CW$41</f>
        <v>82.261498300000014</v>
      </c>
      <c r="Z87" s="363">
        <f t="shared" si="16"/>
        <v>1813.1257332000002</v>
      </c>
      <c r="AB87" s="359">
        <f>' VVF Sales - PUC &amp; Non PUC'!$CX$35</f>
        <v>0</v>
      </c>
      <c r="AC87" s="359">
        <f>' VVF Sales - PUC &amp; Non PUC'!$CX$36</f>
        <v>0</v>
      </c>
      <c r="AD87" s="359">
        <f>' VVF Sales - PUC &amp; Non PUC'!$CX$37</f>
        <v>0</v>
      </c>
      <c r="AE87" s="359">
        <f>' VVF Sales - PUC &amp; Non PUC'!$CX$38</f>
        <v>0</v>
      </c>
      <c r="AF87" s="359">
        <f>' VVF Sales - PUC &amp; Non PUC'!$CX$39</f>
        <v>0</v>
      </c>
      <c r="AG87" s="359">
        <f>' VVF Sales - PUC &amp; Non PUC'!$CX$40</f>
        <v>0</v>
      </c>
      <c r="AH87" s="359">
        <f>' VVF Sales - PUC &amp; Non PUC'!$CX$41</f>
        <v>0</v>
      </c>
      <c r="AI87" s="367">
        <f t="shared" si="15"/>
        <v>0</v>
      </c>
      <c r="AK87" s="359">
        <f>' VVF Sales - PUC &amp; Non PUC'!$CY$35</f>
        <v>0</v>
      </c>
      <c r="AL87" s="359">
        <f>' VVF Sales - PUC &amp; Non PUC'!$CY$36</f>
        <v>0</v>
      </c>
      <c r="AM87" s="359">
        <f>' VVF Sales - PUC &amp; Non PUC'!$CY$37</f>
        <v>0</v>
      </c>
      <c r="AN87" s="359">
        <f>' VVF Sales - PUC &amp; Non PUC'!$CY$38</f>
        <v>0</v>
      </c>
      <c r="AO87" s="359">
        <f>' VVF Sales - PUC &amp; Non PUC'!$CY$39</f>
        <v>0</v>
      </c>
      <c r="AP87" s="359">
        <f>' VVF Sales - PUC &amp; Non PUC'!$CY$40</f>
        <v>0</v>
      </c>
      <c r="AQ87" s="359">
        <f>' VVF Sales - PUC &amp; Non PUC'!$CY$41</f>
        <v>0</v>
      </c>
      <c r="AR87" s="367">
        <f t="shared" si="17"/>
        <v>0</v>
      </c>
      <c r="AT87" s="358">
        <f>'Imports 2015-16'!D158</f>
        <v>0</v>
      </c>
      <c r="AU87" s="358">
        <f>'Imports 2015-16'!E158</f>
        <v>0</v>
      </c>
      <c r="AV87" s="358">
        <f>'Imports 2015-16'!F158</f>
        <v>37.019999999999996</v>
      </c>
      <c r="AW87" s="358">
        <f>'Imports 2015-16'!G158</f>
        <v>2033.15</v>
      </c>
      <c r="AX87" s="358">
        <f>'Imports 2015-16'!H158</f>
        <v>887.16000000000008</v>
      </c>
      <c r="AY87" s="358">
        <f>'Imports 2015-16'!I158</f>
        <v>79.210000000000008</v>
      </c>
      <c r="AZ87" s="358">
        <f>'Imports 2015-16'!J158</f>
        <v>0</v>
      </c>
      <c r="BA87" s="358">
        <f>'Imports 2015-16'!K158</f>
        <v>11.4</v>
      </c>
      <c r="BB87" s="358">
        <f>'Imports 2015-16'!L158</f>
        <v>15</v>
      </c>
      <c r="BC87" s="358">
        <f>'Imports 2015-16'!M158</f>
        <v>1.1000000000000001</v>
      </c>
      <c r="BD87" s="363">
        <f>'Imports 2015-16'!N158</f>
        <v>3064.04</v>
      </c>
      <c r="BF87" s="358">
        <f>'Imports 2015-16'!S158/10^5</f>
        <v>0</v>
      </c>
      <c r="BG87" s="358">
        <f>'Imports 2015-16'!T158/10^5</f>
        <v>0</v>
      </c>
      <c r="BH87" s="358">
        <f>'Imports 2015-16'!U158/10^5</f>
        <v>31.245409599999999</v>
      </c>
      <c r="BI87" s="358">
        <f>'Imports 2015-16'!V158/10^5</f>
        <v>1404.9959993</v>
      </c>
      <c r="BJ87" s="358">
        <f>'Imports 2015-16'!W158/10^5</f>
        <v>695.7063048</v>
      </c>
      <c r="BK87" s="358">
        <f>'Imports 2015-16'!X158/10^5</f>
        <v>56.087701099999997</v>
      </c>
      <c r="BL87" s="358">
        <f>'Imports 2015-16'!Y158/10^5</f>
        <v>0</v>
      </c>
      <c r="BM87" s="358">
        <f>'Imports 2015-16'!Z158/10^5</f>
        <v>10.6330639</v>
      </c>
      <c r="BN87" s="358">
        <f>'Imports 2015-16'!AA158/10^5</f>
        <v>13.672496299999999</v>
      </c>
      <c r="BO87" s="358">
        <f>'Imports 2015-16'!AB158/10^5</f>
        <v>1.0092733</v>
      </c>
      <c r="BP87" s="363">
        <f>'Imports 2015-16'!AC158/10^5</f>
        <v>2213.3502483000002</v>
      </c>
      <c r="BR87" s="358"/>
      <c r="BS87" s="358"/>
      <c r="BT87" s="358"/>
      <c r="BU87" s="358"/>
      <c r="BV87" s="358"/>
      <c r="BW87" s="358"/>
      <c r="BX87" s="358"/>
      <c r="BY87" s="358">
        <v>489.66299999999995</v>
      </c>
      <c r="BZ87" s="358">
        <v>915.86500000000012</v>
      </c>
      <c r="CA87" s="358">
        <v>94.004999999999995</v>
      </c>
      <c r="CB87" s="363">
        <f t="shared" si="12"/>
        <v>1499.5329999999999</v>
      </c>
      <c r="CD87" s="358">
        <v>0</v>
      </c>
      <c r="CE87" s="358"/>
      <c r="CF87" s="358">
        <v>0</v>
      </c>
      <c r="CG87" s="358">
        <v>0</v>
      </c>
      <c r="CH87" s="358">
        <v>0</v>
      </c>
      <c r="CI87" s="358">
        <v>0</v>
      </c>
      <c r="CJ87" s="358"/>
      <c r="CK87" s="358">
        <v>442.20838140000001</v>
      </c>
      <c r="CL87" s="358">
        <v>788.95411109999998</v>
      </c>
      <c r="CM87" s="358">
        <v>89.733539000000007</v>
      </c>
      <c r="CN87" s="363">
        <f t="shared" si="13"/>
        <v>1320.8960315000002</v>
      </c>
    </row>
    <row r="88" spans="1:92">
      <c r="A88" s="357">
        <v>42339</v>
      </c>
      <c r="B88" s="396">
        <v>0</v>
      </c>
      <c r="C88" s="396">
        <v>0</v>
      </c>
      <c r="D88" s="396">
        <v>0</v>
      </c>
      <c r="E88" s="396">
        <v>0</v>
      </c>
      <c r="F88" s="396">
        <v>0</v>
      </c>
      <c r="G88" s="399"/>
      <c r="H88" s="400">
        <v>0.18</v>
      </c>
      <c r="I88" s="15"/>
      <c r="J88" s="358">
        <f>' VVF Sales - PUC &amp; Non PUC'!$DJ$35</f>
        <v>13.94</v>
      </c>
      <c r="K88" s="358">
        <f>' VVF Sales - PUC &amp; Non PUC'!$DJ$36</f>
        <v>1346.3699999999997</v>
      </c>
      <c r="L88" s="358">
        <f>' VVF Sales - PUC &amp; Non PUC'!$DJ$37</f>
        <v>155.48000000000002</v>
      </c>
      <c r="M88" s="358">
        <f>' VVF Sales - PUC &amp; Non PUC'!$DJ$38</f>
        <v>0</v>
      </c>
      <c r="N88" s="358">
        <f>' VVF Sales - PUC &amp; Non PUC'!$DJ$39</f>
        <v>16.824999999999999</v>
      </c>
      <c r="O88" s="358">
        <f>' VVF Sales - PUC &amp; Non PUC'!$DJ$40</f>
        <v>1557.8300000000002</v>
      </c>
      <c r="P88" s="358">
        <f>' VVF Sales - PUC &amp; Non PUC'!$DJ$41</f>
        <v>53.424999999999997</v>
      </c>
      <c r="Q88" s="363">
        <f t="shared" si="14"/>
        <v>3143.87</v>
      </c>
      <c r="S88" s="358">
        <f>' VVF Sales - PUC &amp; Non PUC'!$DK$35</f>
        <v>23.2053604</v>
      </c>
      <c r="T88" s="358">
        <f>' VVF Sales - PUC &amp; Non PUC'!$DK$36</f>
        <v>1142.6378419</v>
      </c>
      <c r="U88" s="358">
        <f>' VVF Sales - PUC &amp; Non PUC'!$DK$37</f>
        <v>124.39894920000002</v>
      </c>
      <c r="V88" s="358">
        <f>' VVF Sales - PUC &amp; Non PUC'!$DK$38</f>
        <v>0</v>
      </c>
      <c r="W88" s="358">
        <f>' VVF Sales - PUC &amp; Non PUC'!$DK$39</f>
        <v>16.046140000000001</v>
      </c>
      <c r="X88" s="358">
        <f>' VVF Sales - PUC &amp; Non PUC'!$DK$40</f>
        <v>1211.5057829</v>
      </c>
      <c r="Y88" s="358">
        <f>' VVF Sales - PUC &amp; Non PUC'!$DK$41</f>
        <v>49.673474299999995</v>
      </c>
      <c r="Z88" s="363">
        <f t="shared" si="16"/>
        <v>2567.4675487</v>
      </c>
      <c r="AB88" s="359">
        <f>' VVF Sales - PUC &amp; Non PUC'!$DL$35</f>
        <v>0</v>
      </c>
      <c r="AC88" s="359">
        <f>' VVF Sales - PUC &amp; Non PUC'!$DL$36</f>
        <v>0</v>
      </c>
      <c r="AD88" s="359">
        <f>' VVF Sales - PUC &amp; Non PUC'!$DL$37</f>
        <v>0</v>
      </c>
      <c r="AE88" s="359">
        <f>' VVF Sales - PUC &amp; Non PUC'!$DL$38</f>
        <v>0</v>
      </c>
      <c r="AF88" s="359">
        <f>' VVF Sales - PUC &amp; Non PUC'!$DL$39</f>
        <v>0</v>
      </c>
      <c r="AG88" s="359">
        <f>' VVF Sales - PUC &amp; Non PUC'!$DL$40</f>
        <v>0</v>
      </c>
      <c r="AH88" s="359">
        <f>' VVF Sales - PUC &amp; Non PUC'!$DL$41</f>
        <v>0</v>
      </c>
      <c r="AI88" s="367">
        <f t="shared" si="15"/>
        <v>0</v>
      </c>
      <c r="AK88" s="359">
        <f>' VVF Sales - PUC &amp; Non PUC'!$DM$35</f>
        <v>0</v>
      </c>
      <c r="AL88" s="359">
        <f>' VVF Sales - PUC &amp; Non PUC'!$DM$36</f>
        <v>0</v>
      </c>
      <c r="AM88" s="359">
        <f>' VVF Sales - PUC &amp; Non PUC'!$DM$37</f>
        <v>0</v>
      </c>
      <c r="AN88" s="359">
        <f>' VVF Sales - PUC &amp; Non PUC'!$DM$38</f>
        <v>0</v>
      </c>
      <c r="AO88" s="359">
        <f>' VVF Sales - PUC &amp; Non PUC'!$DM$39</f>
        <v>0</v>
      </c>
      <c r="AP88" s="359">
        <f>' VVF Sales - PUC &amp; Non PUC'!$DM$40</f>
        <v>0</v>
      </c>
      <c r="AQ88" s="359">
        <f>' VVF Sales - PUC &amp; Non PUC'!$DM$41</f>
        <v>0</v>
      </c>
      <c r="AR88" s="367">
        <f t="shared" si="17"/>
        <v>0</v>
      </c>
      <c r="AT88" s="358">
        <f>'Imports 2015-16'!D159</f>
        <v>0</v>
      </c>
      <c r="AU88" s="358">
        <f>'Imports 2015-16'!E159</f>
        <v>0</v>
      </c>
      <c r="AV88" s="358">
        <f>'Imports 2015-16'!F159</f>
        <v>33.229999999999997</v>
      </c>
      <c r="AW88" s="358">
        <f>'Imports 2015-16'!G159</f>
        <v>1900</v>
      </c>
      <c r="AX88" s="358">
        <f>'Imports 2015-16'!H159</f>
        <v>1065.24</v>
      </c>
      <c r="AY88" s="358">
        <f>'Imports 2015-16'!I159</f>
        <v>155.87</v>
      </c>
      <c r="AZ88" s="358">
        <f>'Imports 2015-16'!J159</f>
        <v>0</v>
      </c>
      <c r="BA88" s="358">
        <f>'Imports 2015-16'!K159</f>
        <v>2</v>
      </c>
      <c r="BB88" s="358">
        <f>'Imports 2015-16'!L159</f>
        <v>15</v>
      </c>
      <c r="BC88" s="358">
        <f>'Imports 2015-16'!M159</f>
        <v>0</v>
      </c>
      <c r="BD88" s="363">
        <f>'Imports 2015-16'!N159</f>
        <v>3173.38</v>
      </c>
      <c r="BF88" s="358">
        <f>'Imports 2015-16'!S159/10^5</f>
        <v>0</v>
      </c>
      <c r="BG88" s="358">
        <f>'Imports 2015-16'!T159/10^5</f>
        <v>0</v>
      </c>
      <c r="BH88" s="358">
        <f>'Imports 2015-16'!U159/10^5</f>
        <v>28.689435800000002</v>
      </c>
      <c r="BI88" s="358">
        <f>'Imports 2015-16'!V159/10^5</f>
        <v>1475.4254950999998</v>
      </c>
      <c r="BJ88" s="358">
        <f>'Imports 2015-16'!W159/10^5</f>
        <v>865.83874349999996</v>
      </c>
      <c r="BK88" s="358">
        <f>'Imports 2015-16'!X159/10^5</f>
        <v>128.94900800000002</v>
      </c>
      <c r="BL88" s="358">
        <f>'Imports 2015-16'!Y159/10^5</f>
        <v>0</v>
      </c>
      <c r="BM88" s="358">
        <f>'Imports 2015-16'!Z159/10^5</f>
        <v>1.7320238000000001</v>
      </c>
      <c r="BN88" s="358">
        <f>'Imports 2015-16'!AA159/10^5</f>
        <v>12.7354688</v>
      </c>
      <c r="BO88" s="358">
        <f>'Imports 2015-16'!AB159/10^5</f>
        <v>0</v>
      </c>
      <c r="BP88" s="363">
        <f>'Imports 2015-16'!AC159/10^5</f>
        <v>2518.0223933999996</v>
      </c>
      <c r="BR88" s="358"/>
      <c r="BS88" s="358"/>
      <c r="BT88" s="358"/>
      <c r="BU88" s="358">
        <v>641.81000000000006</v>
      </c>
      <c r="BV88" s="358"/>
      <c r="BW88" s="358">
        <v>450.62</v>
      </c>
      <c r="BX88" s="358"/>
      <c r="BY88" s="358">
        <v>603.40300000000013</v>
      </c>
      <c r="BZ88" s="358">
        <v>2577.8480000000004</v>
      </c>
      <c r="CA88" s="358">
        <v>292.48099999999999</v>
      </c>
      <c r="CB88" s="363">
        <f t="shared" si="12"/>
        <v>4566.1620000000003</v>
      </c>
      <c r="CD88" s="358">
        <v>0</v>
      </c>
      <c r="CE88" s="358"/>
      <c r="CF88" s="358">
        <v>0</v>
      </c>
      <c r="CG88" s="358">
        <v>485.74565239999993</v>
      </c>
      <c r="CH88" s="358">
        <v>0</v>
      </c>
      <c r="CI88" s="358">
        <v>336.73075020000005</v>
      </c>
      <c r="CJ88" s="358"/>
      <c r="CK88" s="358">
        <v>544.1042199000002</v>
      </c>
      <c r="CL88" s="358">
        <v>2123.4346976000006</v>
      </c>
      <c r="CM88" s="358">
        <v>316.69016669999996</v>
      </c>
      <c r="CN88" s="363">
        <f t="shared" si="13"/>
        <v>3806.7054868000005</v>
      </c>
    </row>
    <row r="89" spans="1:92">
      <c r="A89" s="357">
        <v>42370</v>
      </c>
      <c r="B89" s="396">
        <v>0</v>
      </c>
      <c r="C89" s="396">
        <v>0</v>
      </c>
      <c r="D89" s="396">
        <v>0</v>
      </c>
      <c r="E89" s="396">
        <v>0</v>
      </c>
      <c r="F89" s="396">
        <v>0</v>
      </c>
      <c r="G89" s="399"/>
      <c r="H89" s="400">
        <v>0.18</v>
      </c>
      <c r="I89" s="15"/>
      <c r="J89" s="358">
        <f>' VVF Sales - PUC &amp; Non PUC'!$DX$35</f>
        <v>0</v>
      </c>
      <c r="K89" s="358">
        <f>' VVF Sales - PUC &amp; Non PUC'!$DX$36</f>
        <v>2416.9800000000009</v>
      </c>
      <c r="L89" s="358">
        <f>' VVF Sales - PUC &amp; Non PUC'!$DX$37</f>
        <v>302.68</v>
      </c>
      <c r="M89" s="358">
        <f>' VVF Sales - PUC &amp; Non PUC'!$DX$38</f>
        <v>19.71</v>
      </c>
      <c r="N89" s="358">
        <f>' VVF Sales - PUC &amp; Non PUC'!$DX$39</f>
        <v>26.15</v>
      </c>
      <c r="O89" s="358">
        <f>' VVF Sales - PUC &amp; Non PUC'!$DX$40</f>
        <v>1666.2150000000001</v>
      </c>
      <c r="P89" s="358">
        <f>' VVF Sales - PUC &amp; Non PUC'!$DX$41</f>
        <v>48.375</v>
      </c>
      <c r="Q89" s="363">
        <f t="shared" si="14"/>
        <v>4480.1100000000006</v>
      </c>
      <c r="S89" s="358">
        <f>' VVF Sales - PUC &amp; Non PUC'!$DY$35</f>
        <v>0</v>
      </c>
      <c r="T89" s="358">
        <f>' VVF Sales - PUC &amp; Non PUC'!$DY$36</f>
        <v>1967.4623680000002</v>
      </c>
      <c r="U89" s="358">
        <f>' VVF Sales - PUC &amp; Non PUC'!$DY$37</f>
        <v>251.04316230000003</v>
      </c>
      <c r="V89" s="358">
        <f>' VVF Sales - PUC &amp; Non PUC'!$DY$38</f>
        <v>17.344799999999999</v>
      </c>
      <c r="W89" s="358">
        <f>' VVF Sales - PUC &amp; Non PUC'!$DY$39</f>
        <v>25.395565000000001</v>
      </c>
      <c r="X89" s="358">
        <f>' VVF Sales - PUC &amp; Non PUC'!$DY$40</f>
        <v>1235.7939195000001</v>
      </c>
      <c r="Y89" s="358">
        <f>' VVF Sales - PUC &amp; Non PUC'!$DY$41</f>
        <v>46.664462800000003</v>
      </c>
      <c r="Z89" s="363">
        <f t="shared" si="16"/>
        <v>3543.7042776000003</v>
      </c>
      <c r="AB89" s="359">
        <f>' VVF Sales - PUC &amp; Non PUC'!$DZ$35</f>
        <v>0</v>
      </c>
      <c r="AC89" s="359">
        <f>' VVF Sales - PUC &amp; Non PUC'!$DZ$36</f>
        <v>43</v>
      </c>
      <c r="AD89" s="359">
        <f>' VVF Sales - PUC &amp; Non PUC'!$DZ$37</f>
        <v>0</v>
      </c>
      <c r="AE89" s="359">
        <f>' VVF Sales - PUC &amp; Non PUC'!$DZ$38</f>
        <v>55.71</v>
      </c>
      <c r="AF89" s="359">
        <f>' VVF Sales - PUC &amp; Non PUC'!$DZ$39</f>
        <v>0</v>
      </c>
      <c r="AG89" s="359">
        <f>' VVF Sales - PUC &amp; Non PUC'!$DZ$40</f>
        <v>0</v>
      </c>
      <c r="AH89" s="359">
        <f>' VVF Sales - PUC &amp; Non PUC'!$DZ$41</f>
        <v>0</v>
      </c>
      <c r="AI89" s="367">
        <f t="shared" si="15"/>
        <v>98.710000000000008</v>
      </c>
      <c r="AK89" s="359">
        <f>' VVF Sales - PUC &amp; Non PUC'!$EA$35</f>
        <v>0</v>
      </c>
      <c r="AL89" s="359">
        <f>' VVF Sales - PUC &amp; Non PUC'!$EA$36</f>
        <v>35.26</v>
      </c>
      <c r="AM89" s="359">
        <f>' VVF Sales - PUC &amp; Non PUC'!$EA$37</f>
        <v>0</v>
      </c>
      <c r="AN89" s="359">
        <f>' VVF Sales - PUC &amp; Non PUC'!$EA$38</f>
        <v>46.938488399999997</v>
      </c>
      <c r="AO89" s="359">
        <f>' VVF Sales - PUC &amp; Non PUC'!$EA$39</f>
        <v>0</v>
      </c>
      <c r="AP89" s="359">
        <f>' VVF Sales - PUC &amp; Non PUC'!$EA$40</f>
        <v>0</v>
      </c>
      <c r="AQ89" s="359">
        <f>' VVF Sales - PUC &amp; Non PUC'!$EA$41</f>
        <v>0</v>
      </c>
      <c r="AR89" s="367">
        <f t="shared" si="17"/>
        <v>82.198488400000002</v>
      </c>
      <c r="AT89" s="358">
        <f>'Imports 2015-16'!D160</f>
        <v>0</v>
      </c>
      <c r="AU89" s="358">
        <f>'Imports 2015-16'!E160</f>
        <v>0</v>
      </c>
      <c r="AV89" s="358">
        <f>'Imports 2015-16'!F160</f>
        <v>46.809999999999995</v>
      </c>
      <c r="AW89" s="358">
        <f>'Imports 2015-16'!G160</f>
        <v>1416.8</v>
      </c>
      <c r="AX89" s="358">
        <f>'Imports 2015-16'!H160</f>
        <v>1147.6300000000001</v>
      </c>
      <c r="AY89" s="358">
        <f>'Imports 2015-16'!I160</f>
        <v>175.19000000000003</v>
      </c>
      <c r="AZ89" s="358">
        <f>'Imports 2015-16'!J160</f>
        <v>0</v>
      </c>
      <c r="BA89" s="358">
        <f>'Imports 2015-16'!K160</f>
        <v>0</v>
      </c>
      <c r="BB89" s="358">
        <f>'Imports 2015-16'!L160</f>
        <v>21</v>
      </c>
      <c r="BC89" s="358">
        <f>'Imports 2015-16'!M160</f>
        <v>15</v>
      </c>
      <c r="BD89" s="363">
        <f>'Imports 2015-16'!N160</f>
        <v>2822.43</v>
      </c>
      <c r="BF89" s="358">
        <f>'Imports 2015-16'!S160/10^5</f>
        <v>0</v>
      </c>
      <c r="BG89" s="358">
        <f>'Imports 2015-16'!T160/10^5</f>
        <v>0</v>
      </c>
      <c r="BH89" s="358">
        <f>'Imports 2015-16'!U160/10^5</f>
        <v>39.343082099999997</v>
      </c>
      <c r="BI89" s="358">
        <f>'Imports 2015-16'!V160/10^5</f>
        <v>1066.1532482000002</v>
      </c>
      <c r="BJ89" s="358">
        <f>'Imports 2015-16'!W160/10^5</f>
        <v>939.73304719999999</v>
      </c>
      <c r="BK89" s="358">
        <f>'Imports 2015-16'!X160/10^5</f>
        <v>146.9161173</v>
      </c>
      <c r="BL89" s="358">
        <f>'Imports 2015-16'!Y160/10^5</f>
        <v>0</v>
      </c>
      <c r="BM89" s="358">
        <f>'Imports 2015-16'!Z160/10^5</f>
        <v>0</v>
      </c>
      <c r="BN89" s="358">
        <f>'Imports 2015-16'!AA160/10^5</f>
        <v>18.117710800000001</v>
      </c>
      <c r="BO89" s="358">
        <f>'Imports 2015-16'!AB160/10^5</f>
        <v>13.23504</v>
      </c>
      <c r="BP89" s="363">
        <f>'Imports 2015-16'!AC160/10^5</f>
        <v>2223.4982456000002</v>
      </c>
      <c r="BR89" s="358"/>
      <c r="BS89" s="358"/>
      <c r="BT89" s="358"/>
      <c r="BU89" s="358">
        <v>568.91</v>
      </c>
      <c r="BV89" s="358"/>
      <c r="BW89" s="358">
        <v>188.74</v>
      </c>
      <c r="BX89" s="358"/>
      <c r="BY89" s="358">
        <v>799.9559999999999</v>
      </c>
      <c r="BZ89" s="358">
        <v>1485.7199999999998</v>
      </c>
      <c r="CA89" s="358">
        <v>200.07999999999998</v>
      </c>
      <c r="CB89" s="363">
        <f t="shared" si="12"/>
        <v>3243.4059999999995</v>
      </c>
      <c r="CD89" s="358">
        <v>0</v>
      </c>
      <c r="CE89" s="358"/>
      <c r="CF89" s="358">
        <v>0</v>
      </c>
      <c r="CG89" s="358">
        <v>441.92451509999995</v>
      </c>
      <c r="CH89" s="358">
        <v>0</v>
      </c>
      <c r="CI89" s="358">
        <v>145.2397723</v>
      </c>
      <c r="CJ89" s="358"/>
      <c r="CK89" s="358">
        <v>728.6914026999998</v>
      </c>
      <c r="CL89" s="358">
        <v>1234.1756898000003</v>
      </c>
      <c r="CM89" s="358">
        <v>192.69896220000007</v>
      </c>
      <c r="CN89" s="363">
        <f t="shared" si="13"/>
        <v>2742.7303421000001</v>
      </c>
    </row>
    <row r="90" spans="1:92">
      <c r="A90" s="357">
        <v>42401</v>
      </c>
      <c r="B90" s="396">
        <v>0</v>
      </c>
      <c r="C90" s="396">
        <v>0</v>
      </c>
      <c r="D90" s="396">
        <v>0</v>
      </c>
      <c r="E90" s="396">
        <v>0</v>
      </c>
      <c r="F90" s="396">
        <v>0</v>
      </c>
      <c r="G90" s="399"/>
      <c r="H90" s="400">
        <v>0.18</v>
      </c>
      <c r="I90" s="15"/>
      <c r="J90" s="358">
        <f>' VVF Sales - PUC &amp; Non PUC'!$EL$35</f>
        <v>0</v>
      </c>
      <c r="K90" s="358">
        <f>' VVF Sales - PUC &amp; Non PUC'!$EL$36</f>
        <v>2356.8800000000006</v>
      </c>
      <c r="L90" s="358">
        <f>' VVF Sales - PUC &amp; Non PUC'!$EL$37</f>
        <v>0</v>
      </c>
      <c r="M90" s="358">
        <f>' VVF Sales - PUC &amp; Non PUC'!$EL$38</f>
        <v>82.28</v>
      </c>
      <c r="N90" s="358">
        <f>' VVF Sales - PUC &amp; Non PUC'!$EL$39</f>
        <v>20.2</v>
      </c>
      <c r="O90" s="358">
        <f>' VVF Sales - PUC &amp; Non PUC'!$EL$40</f>
        <v>1419.4200000000005</v>
      </c>
      <c r="P90" s="358">
        <f>' VVF Sales - PUC &amp; Non PUC'!$EL$41</f>
        <v>81.575000000000003</v>
      </c>
      <c r="Q90" s="363">
        <f t="shared" si="14"/>
        <v>3960.3550000000009</v>
      </c>
      <c r="S90" s="358">
        <f>' VVF Sales - PUC &amp; Non PUC'!$EM$35</f>
        <v>0</v>
      </c>
      <c r="T90" s="358">
        <f>' VVF Sales - PUC &amp; Non PUC'!$EM$36</f>
        <v>2065.7522409999997</v>
      </c>
      <c r="U90" s="358">
        <f>' VVF Sales - PUC &amp; Non PUC'!$EM$37</f>
        <v>0</v>
      </c>
      <c r="V90" s="358">
        <f>' VVF Sales - PUC &amp; Non PUC'!$EM$38</f>
        <v>74.981763999999998</v>
      </c>
      <c r="W90" s="358">
        <f>' VVF Sales - PUC &amp; Non PUC'!$EM$39</f>
        <v>18.832872500000001</v>
      </c>
      <c r="X90" s="358">
        <f>' VVF Sales - PUC &amp; Non PUC'!$EM$40</f>
        <v>1052.3927430000003</v>
      </c>
      <c r="Y90" s="358">
        <f>' VVF Sales - PUC &amp; Non PUC'!$EM$41</f>
        <v>79.559699100000003</v>
      </c>
      <c r="Z90" s="363">
        <f t="shared" si="16"/>
        <v>3291.5193196000005</v>
      </c>
      <c r="AB90" s="359">
        <f>' VVF Sales - PUC &amp; Non PUC'!$EN$35</f>
        <v>0</v>
      </c>
      <c r="AC90" s="359">
        <f>' VVF Sales - PUC &amp; Non PUC'!$EN$36</f>
        <v>62.730000000000004</v>
      </c>
      <c r="AD90" s="359">
        <f>' VVF Sales - PUC &amp; Non PUC'!$EN$37</f>
        <v>0</v>
      </c>
      <c r="AE90" s="359">
        <f>' VVF Sales - PUC &amp; Non PUC'!$EN$38</f>
        <v>41.28</v>
      </c>
      <c r="AF90" s="359">
        <f>' VVF Sales - PUC &amp; Non PUC'!$EN$39</f>
        <v>0</v>
      </c>
      <c r="AG90" s="359">
        <f>' VVF Sales - PUC &amp; Non PUC'!$EN$40</f>
        <v>0</v>
      </c>
      <c r="AH90" s="359">
        <f>' VVF Sales - PUC &amp; Non PUC'!$EN$41</f>
        <v>0</v>
      </c>
      <c r="AI90" s="367">
        <f t="shared" si="15"/>
        <v>104.01</v>
      </c>
      <c r="AK90" s="359">
        <f>' VVF Sales - PUC &amp; Non PUC'!$EO$35</f>
        <v>0</v>
      </c>
      <c r="AL90" s="359">
        <f>' VVF Sales - PUC &amp; Non PUC'!$EO$36</f>
        <v>54.833847999999996</v>
      </c>
      <c r="AM90" s="359">
        <f>' VVF Sales - PUC &amp; Non PUC'!$EO$37</f>
        <v>0</v>
      </c>
      <c r="AN90" s="359">
        <f>' VVF Sales - PUC &amp; Non PUC'!$EO$38</f>
        <v>39.496704000000001</v>
      </c>
      <c r="AO90" s="359">
        <f>' VVF Sales - PUC &amp; Non PUC'!$EO$39</f>
        <v>0</v>
      </c>
      <c r="AP90" s="359">
        <f>' VVF Sales - PUC &amp; Non PUC'!$EO$40</f>
        <v>0</v>
      </c>
      <c r="AQ90" s="359">
        <f>' VVF Sales - PUC &amp; Non PUC'!$EO$41</f>
        <v>0</v>
      </c>
      <c r="AR90" s="367">
        <f t="shared" si="17"/>
        <v>94.330551999999997</v>
      </c>
      <c r="AT90" s="358">
        <f>'Imports 2015-16'!D161</f>
        <v>0</v>
      </c>
      <c r="AU90" s="358">
        <f>'Imports 2015-16'!E161</f>
        <v>0</v>
      </c>
      <c r="AV90" s="358">
        <f>'Imports 2015-16'!F161</f>
        <v>72.61</v>
      </c>
      <c r="AW90" s="358">
        <f>'Imports 2015-16'!G161</f>
        <v>1752.8000000000002</v>
      </c>
      <c r="AX90" s="358">
        <f>'Imports 2015-16'!H161</f>
        <v>945.7700000000001</v>
      </c>
      <c r="AY90" s="358">
        <f>'Imports 2015-16'!I161</f>
        <v>98.25</v>
      </c>
      <c r="AZ90" s="358">
        <f>'Imports 2015-16'!J161</f>
        <v>0</v>
      </c>
      <c r="BA90" s="358">
        <f>'Imports 2015-16'!K161</f>
        <v>0</v>
      </c>
      <c r="BB90" s="358">
        <f>'Imports 2015-16'!L161</f>
        <v>29.4</v>
      </c>
      <c r="BC90" s="358">
        <f>'Imports 2015-16'!M161</f>
        <v>0</v>
      </c>
      <c r="BD90" s="363">
        <f>'Imports 2015-16'!N161</f>
        <v>2898.8300000000004</v>
      </c>
      <c r="BF90" s="358">
        <f>'Imports 2015-16'!S161/10^5</f>
        <v>0</v>
      </c>
      <c r="BG90" s="358">
        <f>'Imports 2015-16'!T161/10^5</f>
        <v>0</v>
      </c>
      <c r="BH90" s="358">
        <f>'Imports 2015-16'!U161/10^5</f>
        <v>63.249755599999993</v>
      </c>
      <c r="BI90" s="358">
        <f>'Imports 2015-16'!V161/10^5</f>
        <v>1325.8838913000002</v>
      </c>
      <c r="BJ90" s="358">
        <f>'Imports 2015-16'!W161/10^5</f>
        <v>807.21872910000002</v>
      </c>
      <c r="BK90" s="358">
        <f>'Imports 2015-16'!X161/10^5</f>
        <v>81.191535000000016</v>
      </c>
      <c r="BL90" s="358">
        <f>'Imports 2015-16'!Y161/10^5</f>
        <v>0</v>
      </c>
      <c r="BM90" s="358">
        <f>'Imports 2015-16'!Z161/10^5</f>
        <v>0</v>
      </c>
      <c r="BN90" s="358">
        <f>'Imports 2015-16'!AA161/10^5</f>
        <v>27.854986699999998</v>
      </c>
      <c r="BO90" s="358">
        <f>'Imports 2015-16'!AB161/10^5</f>
        <v>0</v>
      </c>
      <c r="BP90" s="363">
        <f>'Imports 2015-16'!AC161/10^5</f>
        <v>2305.3988976999999</v>
      </c>
      <c r="BR90" s="358"/>
      <c r="BS90" s="358"/>
      <c r="BT90" s="358"/>
      <c r="BU90" s="358">
        <v>467.09000000000003</v>
      </c>
      <c r="BV90" s="358"/>
      <c r="BW90" s="358">
        <v>56.51</v>
      </c>
      <c r="BX90" s="358"/>
      <c r="BY90" s="358">
        <v>297.72900000000004</v>
      </c>
      <c r="BZ90" s="358">
        <v>1250.0919999999996</v>
      </c>
      <c r="CA90" s="358">
        <v>271.10699999999997</v>
      </c>
      <c r="CB90" s="363">
        <f t="shared" si="12"/>
        <v>2342.5279999999998</v>
      </c>
      <c r="CD90" s="358">
        <v>0</v>
      </c>
      <c r="CE90" s="358"/>
      <c r="CF90" s="358">
        <v>0</v>
      </c>
      <c r="CG90" s="358">
        <v>376.37064470000001</v>
      </c>
      <c r="CH90" s="358">
        <v>0</v>
      </c>
      <c r="CI90" s="358">
        <v>44.824513899999999</v>
      </c>
      <c r="CJ90" s="358"/>
      <c r="CK90" s="358">
        <v>264.61542169999996</v>
      </c>
      <c r="CL90" s="358">
        <v>1043.8844750000001</v>
      </c>
      <c r="CM90" s="358">
        <v>272.44117289999997</v>
      </c>
      <c r="CN90" s="363">
        <f t="shared" si="13"/>
        <v>2002.1362282</v>
      </c>
    </row>
    <row r="91" spans="1:92">
      <c r="A91" s="357">
        <v>42430</v>
      </c>
      <c r="B91" s="396">
        <v>0</v>
      </c>
      <c r="C91" s="396">
        <v>0</v>
      </c>
      <c r="D91" s="396">
        <v>0</v>
      </c>
      <c r="E91" s="396">
        <v>0</v>
      </c>
      <c r="F91" s="396">
        <v>0</v>
      </c>
      <c r="G91" s="399"/>
      <c r="H91" s="400">
        <v>0.18</v>
      </c>
      <c r="I91" s="15"/>
      <c r="J91" s="358">
        <f>' VVF Sales - PUC &amp; Non PUC'!$EZ$35</f>
        <v>11.39</v>
      </c>
      <c r="K91" s="358">
        <f>' VVF Sales - PUC &amp; Non PUC'!$EZ$36</f>
        <v>2633.3500000000004</v>
      </c>
      <c r="L91" s="358">
        <f>' VVF Sales - PUC &amp; Non PUC'!$EZ$37</f>
        <v>0</v>
      </c>
      <c r="M91" s="358">
        <f>' VVF Sales - PUC &amp; Non PUC'!$EZ$38</f>
        <v>0</v>
      </c>
      <c r="N91" s="358">
        <f>' VVF Sales - PUC &amp; Non PUC'!$EZ$39</f>
        <v>41.6</v>
      </c>
      <c r="O91" s="358">
        <f>' VVF Sales - PUC &amp; Non PUC'!$EZ$40</f>
        <v>985.32499999999982</v>
      </c>
      <c r="P91" s="358">
        <f>' VVF Sales - PUC &amp; Non PUC'!$EZ$41</f>
        <v>24</v>
      </c>
      <c r="Q91" s="363">
        <f t="shared" si="14"/>
        <v>3695.665</v>
      </c>
      <c r="R91" s="13">
        <f>SUM(Q80:Q91)</f>
        <v>31757.79</v>
      </c>
      <c r="S91" s="358">
        <f>' VVF Sales - PUC &amp; Non PUC'!$FA$35</f>
        <v>18.9605116</v>
      </c>
      <c r="T91" s="358">
        <f>' VVF Sales - PUC &amp; Non PUC'!$FA$36</f>
        <v>2353.1242528999992</v>
      </c>
      <c r="U91" s="358">
        <f>' VVF Sales - PUC &amp; Non PUC'!$FA$37</f>
        <v>0</v>
      </c>
      <c r="V91" s="358">
        <f>' VVF Sales - PUC &amp; Non PUC'!$FA$38</f>
        <v>0</v>
      </c>
      <c r="W91" s="358">
        <f>' VVF Sales - PUC &amp; Non PUC'!$FA$39</f>
        <v>39.070854700000005</v>
      </c>
      <c r="X91" s="358">
        <f>' VVF Sales - PUC &amp; Non PUC'!$FA$40</f>
        <v>731.84882899999991</v>
      </c>
      <c r="Y91" s="358">
        <f>' VVF Sales - PUC &amp; Non PUC'!$FA$41</f>
        <v>22.727421500000005</v>
      </c>
      <c r="Z91" s="363">
        <f t="shared" si="16"/>
        <v>3165.7318696999992</v>
      </c>
      <c r="AA91" s="13">
        <f>SUM(Z80:Z91)</f>
        <v>27208.007287400003</v>
      </c>
      <c r="AB91" s="359">
        <f>' VVF Sales - PUC &amp; Non PUC'!$FB$35</f>
        <v>0</v>
      </c>
      <c r="AC91" s="359">
        <f>' VVF Sales - PUC &amp; Non PUC'!$FB$36</f>
        <v>0</v>
      </c>
      <c r="AD91" s="359">
        <f>' VVF Sales - PUC &amp; Non PUC'!$FB$37</f>
        <v>0</v>
      </c>
      <c r="AE91" s="359">
        <f>' VVF Sales - PUC &amp; Non PUC'!$FB$38</f>
        <v>61.449999999999996</v>
      </c>
      <c r="AF91" s="359">
        <f>' VVF Sales - PUC &amp; Non PUC'!$FB$39</f>
        <v>0</v>
      </c>
      <c r="AG91" s="359">
        <f>' VVF Sales - PUC &amp; Non PUC'!$FB$40</f>
        <v>0</v>
      </c>
      <c r="AH91" s="359">
        <f>' VVF Sales - PUC &amp; Non PUC'!$FB$41</f>
        <v>5</v>
      </c>
      <c r="AI91" s="367">
        <f t="shared" si="15"/>
        <v>66.449999999999989</v>
      </c>
      <c r="AJ91" s="13">
        <f>SUM(AI80:AI91)</f>
        <v>286.67</v>
      </c>
      <c r="AK91" s="359">
        <f>' VVF Sales - PUC &amp; Non PUC'!$FC$35</f>
        <v>0</v>
      </c>
      <c r="AL91" s="359">
        <f>' VVF Sales - PUC &amp; Non PUC'!$FC$36</f>
        <v>0</v>
      </c>
      <c r="AM91" s="359">
        <f>' VVF Sales - PUC &amp; Non PUC'!$FC$37</f>
        <v>0</v>
      </c>
      <c r="AN91" s="359">
        <f>' VVF Sales - PUC &amp; Non PUC'!$FC$38</f>
        <v>61.215859999999999</v>
      </c>
      <c r="AO91" s="359">
        <f>' VVF Sales - PUC &amp; Non PUC'!$FC$39</f>
        <v>0</v>
      </c>
      <c r="AP91" s="359">
        <f>' VVF Sales - PUC &amp; Non PUC'!$FC$40</f>
        <v>0</v>
      </c>
      <c r="AQ91" s="359">
        <f>' VVF Sales - PUC &amp; Non PUC'!$FC$41</f>
        <v>5.05</v>
      </c>
      <c r="AR91" s="367">
        <f t="shared" si="17"/>
        <v>66.265860000000004</v>
      </c>
      <c r="AS91" s="368">
        <f>SUM(AR80:AR91)</f>
        <v>260.33865040000001</v>
      </c>
      <c r="AT91" s="358">
        <f>'Imports 2015-16'!D162</f>
        <v>0</v>
      </c>
      <c r="AU91" s="358">
        <f>'Imports 2015-16'!E162</f>
        <v>0</v>
      </c>
      <c r="AV91" s="358">
        <f>'Imports 2015-16'!F162</f>
        <v>99.03</v>
      </c>
      <c r="AW91" s="358">
        <f>'Imports 2015-16'!G162</f>
        <v>1337.79</v>
      </c>
      <c r="AX91" s="358">
        <f>'Imports 2015-16'!H162</f>
        <v>1408.25</v>
      </c>
      <c r="AY91" s="358">
        <f>'Imports 2015-16'!I162</f>
        <v>157.86000000000001</v>
      </c>
      <c r="AZ91" s="358">
        <f>'Imports 2015-16'!J162</f>
        <v>0</v>
      </c>
      <c r="BA91" s="358">
        <f>'Imports 2015-16'!K162</f>
        <v>12</v>
      </c>
      <c r="BB91" s="358">
        <f>'Imports 2015-16'!L162</f>
        <v>28.8</v>
      </c>
      <c r="BC91" s="358">
        <f>'Imports 2015-16'!M162</f>
        <v>45</v>
      </c>
      <c r="BD91" s="363">
        <f>'Imports 2015-16'!N162</f>
        <v>3088.73</v>
      </c>
      <c r="BF91" s="358">
        <f>'Imports 2015-16'!S162/10^5</f>
        <v>0</v>
      </c>
      <c r="BG91" s="358">
        <f>'Imports 2015-16'!T162/10^5</f>
        <v>0</v>
      </c>
      <c r="BH91" s="358">
        <f>'Imports 2015-16'!U162/10^5</f>
        <v>82.708679799999999</v>
      </c>
      <c r="BI91" s="358">
        <f>'Imports 2015-16'!V162/10^5</f>
        <v>1050.5365200000001</v>
      </c>
      <c r="BJ91" s="358">
        <f>'Imports 2015-16'!W162/10^5</f>
        <v>1263.8382254000001</v>
      </c>
      <c r="BK91" s="358">
        <f>'Imports 2015-16'!X162/10^5</f>
        <v>144.65985110000003</v>
      </c>
      <c r="BL91" s="358">
        <f>'Imports 2015-16'!Y162/10^5</f>
        <v>0</v>
      </c>
      <c r="BM91" s="358">
        <f>'Imports 2015-16'!Z162/10^5</f>
        <v>10.627421999999999</v>
      </c>
      <c r="BN91" s="358">
        <f>'Imports 2015-16'!AA162/10^5</f>
        <v>20.5617214</v>
      </c>
      <c r="BO91" s="358">
        <f>'Imports 2015-16'!AB162/10^5</f>
        <v>39.588654400000003</v>
      </c>
      <c r="BP91" s="363">
        <f>'Imports 2015-16'!AC162/10^5</f>
        <v>2612.5210741000001</v>
      </c>
      <c r="BR91" s="358"/>
      <c r="BS91" s="358"/>
      <c r="BT91" s="358"/>
      <c r="BU91" s="358">
        <v>822.28</v>
      </c>
      <c r="BV91" s="358"/>
      <c r="BW91" s="358"/>
      <c r="BX91" s="358"/>
      <c r="BY91" s="358">
        <v>1001.8200000000002</v>
      </c>
      <c r="BZ91" s="358">
        <v>1694.2020000000005</v>
      </c>
      <c r="CA91" s="358">
        <v>261.35000000000002</v>
      </c>
      <c r="CB91" s="363">
        <f t="shared" si="12"/>
        <v>3779.6520000000005</v>
      </c>
      <c r="CD91" s="358">
        <v>0</v>
      </c>
      <c r="CE91" s="358"/>
      <c r="CF91" s="358">
        <v>0</v>
      </c>
      <c r="CG91" s="358">
        <v>658.77259340000001</v>
      </c>
      <c r="CH91" s="358">
        <v>0</v>
      </c>
      <c r="CI91" s="358">
        <v>0</v>
      </c>
      <c r="CJ91" s="358"/>
      <c r="CK91" s="358">
        <v>848.42648889999998</v>
      </c>
      <c r="CL91" s="358">
        <v>1399.5924880999996</v>
      </c>
      <c r="CM91" s="358">
        <v>267.47260390000002</v>
      </c>
      <c r="CN91" s="363">
        <f t="shared" si="13"/>
        <v>3174.2641742999999</v>
      </c>
    </row>
    <row r="92" spans="1:92">
      <c r="A92" s="353">
        <v>42461</v>
      </c>
      <c r="B92" s="397">
        <v>0</v>
      </c>
      <c r="C92" s="397">
        <v>0</v>
      </c>
      <c r="D92" s="397">
        <v>0</v>
      </c>
      <c r="E92" s="397">
        <v>0</v>
      </c>
      <c r="F92" s="397">
        <v>0</v>
      </c>
      <c r="G92" s="399"/>
      <c r="H92" s="401">
        <v>0.18</v>
      </c>
      <c r="I92" s="15"/>
      <c r="J92" s="354">
        <f>' VVF Sales - PUC &amp; Non PUC'!$B$50</f>
        <v>0</v>
      </c>
      <c r="K92" s="354">
        <f>' VVF Sales - PUC &amp; Non PUC'!$B$51</f>
        <v>1464.73</v>
      </c>
      <c r="L92" s="354">
        <f>' VVF Sales - PUC &amp; Non PUC'!$B$52</f>
        <v>10.26</v>
      </c>
      <c r="M92" s="354">
        <f>' VVF Sales - PUC &amp; Non PUC'!$B$53</f>
        <v>39.29</v>
      </c>
      <c r="N92" s="354">
        <f>' VVF Sales - PUC &amp; Non PUC'!$B$54</f>
        <v>31.024999999999999</v>
      </c>
      <c r="O92" s="354">
        <f>' VVF Sales - PUC &amp; Non PUC'!$B$55</f>
        <v>233.625</v>
      </c>
      <c r="P92" s="354">
        <f>' VVF Sales - PUC &amp; Non PUC'!$B$56</f>
        <v>6.125</v>
      </c>
      <c r="Q92" s="363">
        <f t="shared" si="14"/>
        <v>1785.0550000000001</v>
      </c>
      <c r="S92" s="354">
        <f>' VVF Sales - PUC &amp; Non PUC'!$C$50</f>
        <v>0</v>
      </c>
      <c r="T92" s="354">
        <f>' VVF Sales - PUC &amp; Non PUC'!$C$51</f>
        <v>1411.0168965</v>
      </c>
      <c r="U92" s="354">
        <f>' VVF Sales - PUC &amp; Non PUC'!$C$52</f>
        <v>15.82605</v>
      </c>
      <c r="V92" s="354">
        <f>' VVF Sales - PUC &amp; Non PUC'!$C$53</f>
        <v>44.020515999999994</v>
      </c>
      <c r="W92" s="354">
        <f>' VVF Sales - PUC &amp; Non PUC'!$C$54</f>
        <v>31.259699999999999</v>
      </c>
      <c r="X92" s="354">
        <f>' VVF Sales - PUC &amp; Non PUC'!$C$55</f>
        <v>224.986525</v>
      </c>
      <c r="Y92" s="354">
        <f>' VVF Sales - PUC &amp; Non PUC'!$C$56</f>
        <v>6.149375</v>
      </c>
      <c r="Z92" s="363">
        <f t="shared" si="16"/>
        <v>1733.2590625</v>
      </c>
      <c r="AB92" s="356">
        <f>' VVF Sales - PUC &amp; Non PUC'!$D$50</f>
        <v>0</v>
      </c>
      <c r="AC92" s="356">
        <f>' VVF Sales - PUC &amp; Non PUC'!$D$51</f>
        <v>0</v>
      </c>
      <c r="AD92" s="356">
        <f>' VVF Sales - PUC &amp; Non PUC'!$D$52</f>
        <v>0</v>
      </c>
      <c r="AE92" s="356">
        <f>' VVF Sales - PUC &amp; Non PUC'!$D$53</f>
        <v>0</v>
      </c>
      <c r="AF92" s="356">
        <f>' VVF Sales - PUC &amp; Non PUC'!$D$54</f>
        <v>0</v>
      </c>
      <c r="AG92" s="356">
        <f>' VVF Sales - PUC &amp; Non PUC'!$D$55</f>
        <v>0</v>
      </c>
      <c r="AH92" s="356">
        <f>' VVF Sales - PUC &amp; Non PUC'!$D$56</f>
        <v>0</v>
      </c>
      <c r="AI92" s="367">
        <f t="shared" si="15"/>
        <v>0</v>
      </c>
      <c r="AK92" s="356">
        <f>' VVF Sales - PUC &amp; Non PUC'!$E$50</f>
        <v>0</v>
      </c>
      <c r="AL92" s="356">
        <f>' VVF Sales - PUC &amp; Non PUC'!$E$51</f>
        <v>0</v>
      </c>
      <c r="AM92" s="356">
        <f>' VVF Sales - PUC &amp; Non PUC'!$E$52</f>
        <v>0</v>
      </c>
      <c r="AN92" s="356">
        <f>' VVF Sales - PUC &amp; Non PUC'!$E$53</f>
        <v>0</v>
      </c>
      <c r="AO92" s="356">
        <f>' VVF Sales - PUC &amp; Non PUC'!$E$54</f>
        <v>0</v>
      </c>
      <c r="AP92" s="356">
        <f>' VVF Sales - PUC &amp; Non PUC'!$E$55</f>
        <v>0</v>
      </c>
      <c r="AQ92" s="356">
        <f>' VVF Sales - PUC &amp; Non PUC'!$E$56</f>
        <v>0</v>
      </c>
      <c r="AR92" s="367">
        <f t="shared" si="17"/>
        <v>0</v>
      </c>
      <c r="AT92" s="354">
        <f>'Imports 2016-17'!D151</f>
        <v>0</v>
      </c>
      <c r="AU92" s="354">
        <f>'Imports 2016-17'!E151</f>
        <v>0</v>
      </c>
      <c r="AV92" s="354">
        <f>'Imports 2016-17'!F151</f>
        <v>92.210000000000008</v>
      </c>
      <c r="AW92" s="354">
        <f>'Imports 2016-17'!G151</f>
        <v>1989.12</v>
      </c>
      <c r="AX92" s="354">
        <f>'Imports 2016-17'!H151</f>
        <v>1169.95</v>
      </c>
      <c r="AY92" s="354">
        <f>'Imports 2016-17'!I151</f>
        <v>59.23</v>
      </c>
      <c r="AZ92" s="354">
        <f>'Imports 2016-17'!J151</f>
        <v>0</v>
      </c>
      <c r="BA92" s="354">
        <f>'Imports 2016-17'!K151</f>
        <v>11.4</v>
      </c>
      <c r="BB92" s="354">
        <f>'Imports 2016-17'!L151</f>
        <v>14.4</v>
      </c>
      <c r="BC92" s="354">
        <f>'Imports 2016-17'!M151</f>
        <v>0.6</v>
      </c>
      <c r="BD92" s="363">
        <f>'Imports 2016-17'!N151</f>
        <v>3336.91</v>
      </c>
      <c r="BF92" s="354">
        <f>'Imports 2016-17'!S151/10^5</f>
        <v>0</v>
      </c>
      <c r="BG92" s="354">
        <f>'Imports 2016-17'!T151/10^5</f>
        <v>0</v>
      </c>
      <c r="BH92" s="354">
        <f>'Imports 2016-17'!U151/10^5</f>
        <v>87.422664499999996</v>
      </c>
      <c r="BI92" s="354">
        <f>'Imports 2016-17'!V151/10^5</f>
        <v>1614.6278272</v>
      </c>
      <c r="BJ92" s="354">
        <f>'Imports 2016-17'!W151/10^5</f>
        <v>1140.6414121999999</v>
      </c>
      <c r="BK92" s="354">
        <f>'Imports 2016-17'!X151/10^5</f>
        <v>58.147275599999993</v>
      </c>
      <c r="BL92" s="354">
        <f>'Imports 2016-17'!Y151/10^5</f>
        <v>0</v>
      </c>
      <c r="BM92" s="354">
        <f>'Imports 2016-17'!Z151/10^5</f>
        <v>9.8981828000000007</v>
      </c>
      <c r="BN92" s="354">
        <f>'Imports 2016-17'!AA151/10^5</f>
        <v>10.0061266</v>
      </c>
      <c r="BO92" s="354">
        <f>'Imports 2016-17'!AB151/10^5</f>
        <v>0.53717360000000003</v>
      </c>
      <c r="BP92" s="363">
        <f>'Imports 2016-17'!AC151/10^5</f>
        <v>2921.2806624999998</v>
      </c>
      <c r="BR92" s="354"/>
      <c r="BS92" s="354"/>
      <c r="BT92" s="354"/>
      <c r="BU92" s="354">
        <v>5.0999999999999996</v>
      </c>
      <c r="BV92" s="354"/>
      <c r="BW92" s="354"/>
      <c r="BX92" s="354"/>
      <c r="BY92" s="354">
        <v>544.048</v>
      </c>
      <c r="BZ92" s="354">
        <v>734.58500000000015</v>
      </c>
      <c r="CA92" s="354">
        <v>73.900000000000006</v>
      </c>
      <c r="CB92" s="363">
        <f t="shared" si="12"/>
        <v>1357.6330000000003</v>
      </c>
      <c r="CD92" s="354">
        <v>0</v>
      </c>
      <c r="CE92" s="354"/>
      <c r="CF92" s="354">
        <v>0</v>
      </c>
      <c r="CG92" s="354">
        <v>5.0267489000000003</v>
      </c>
      <c r="CH92" s="354">
        <v>0</v>
      </c>
      <c r="CI92" s="354">
        <v>0</v>
      </c>
      <c r="CJ92" s="354"/>
      <c r="CK92" s="354">
        <v>460.31039490000001</v>
      </c>
      <c r="CL92" s="354">
        <v>615.60760149999987</v>
      </c>
      <c r="CM92" s="354">
        <v>71.859530599999999</v>
      </c>
      <c r="CN92" s="363">
        <f t="shared" si="13"/>
        <v>1152.8042758999998</v>
      </c>
    </row>
    <row r="93" spans="1:92">
      <c r="A93" s="353">
        <v>42491</v>
      </c>
      <c r="B93" s="397">
        <v>0</v>
      </c>
      <c r="C93" s="397">
        <v>0</v>
      </c>
      <c r="D93" s="397">
        <v>0</v>
      </c>
      <c r="E93" s="397">
        <v>0</v>
      </c>
      <c r="F93" s="397">
        <v>0</v>
      </c>
      <c r="G93" s="399"/>
      <c r="H93" s="401">
        <v>0.18</v>
      </c>
      <c r="I93" s="15"/>
      <c r="J93" s="354">
        <f>' VVF Sales - PUC &amp; Non PUC'!$P$50</f>
        <v>0</v>
      </c>
      <c r="K93" s="354">
        <f>' VVF Sales - PUC &amp; Non PUC'!$P$51</f>
        <v>2133.6</v>
      </c>
      <c r="L93" s="354">
        <f>' VVF Sales - PUC &amp; Non PUC'!$P$52</f>
        <v>0</v>
      </c>
      <c r="M93" s="354">
        <f>' VVF Sales - PUC &amp; Non PUC'!$P$53</f>
        <v>0</v>
      </c>
      <c r="N93" s="354">
        <f>' VVF Sales - PUC &amp; Non PUC'!$P$54</f>
        <v>109.91</v>
      </c>
      <c r="O93" s="354">
        <f>' VVF Sales - PUC &amp; Non PUC'!$P$55</f>
        <v>167.375</v>
      </c>
      <c r="P93" s="354">
        <f>' VVF Sales - PUC &amp; Non PUC'!$P$56</f>
        <v>0</v>
      </c>
      <c r="Q93" s="363">
        <f t="shared" si="14"/>
        <v>2410.8849999999998</v>
      </c>
      <c r="S93" s="354">
        <f>' VVF Sales - PUC &amp; Non PUC'!$Q$50</f>
        <v>0</v>
      </c>
      <c r="T93" s="354">
        <f>' VVF Sales - PUC &amp; Non PUC'!$Q$51</f>
        <v>2420.6861963999991</v>
      </c>
      <c r="U93" s="354">
        <f>' VVF Sales - PUC &amp; Non PUC'!$Q$52</f>
        <v>0</v>
      </c>
      <c r="V93" s="354">
        <f>' VVF Sales - PUC &amp; Non PUC'!$Q$53</f>
        <v>0</v>
      </c>
      <c r="W93" s="354">
        <f>' VVF Sales - PUC &amp; Non PUC'!$Q$54</f>
        <v>103.12295</v>
      </c>
      <c r="X93" s="354">
        <f>' VVF Sales - PUC &amp; Non PUC'!$Q$55</f>
        <v>158.60484</v>
      </c>
      <c r="Y93" s="354">
        <f>' VVF Sales - PUC &amp; Non PUC'!$Q$56</f>
        <v>0</v>
      </c>
      <c r="Z93" s="363">
        <f t="shared" si="16"/>
        <v>2682.413986399999</v>
      </c>
      <c r="AB93" s="356">
        <f>' VVF Sales - PUC &amp; Non PUC'!$R$50</f>
        <v>0</v>
      </c>
      <c r="AC93" s="356">
        <f>' VVF Sales - PUC &amp; Non PUC'!$R$51</f>
        <v>0</v>
      </c>
      <c r="AD93" s="356">
        <f>' VVF Sales - PUC &amp; Non PUC'!$R$52</f>
        <v>0</v>
      </c>
      <c r="AE93" s="356">
        <f>' VVF Sales - PUC &amp; Non PUC'!$R$53</f>
        <v>0</v>
      </c>
      <c r="AF93" s="356">
        <f>' VVF Sales - PUC &amp; Non PUC'!$R$54</f>
        <v>0</v>
      </c>
      <c r="AG93" s="356">
        <f>' VVF Sales - PUC &amp; Non PUC'!$R$55</f>
        <v>0</v>
      </c>
      <c r="AH93" s="356">
        <f>' VVF Sales - PUC &amp; Non PUC'!$R$56</f>
        <v>0</v>
      </c>
      <c r="AI93" s="367">
        <f t="shared" si="15"/>
        <v>0</v>
      </c>
      <c r="AK93" s="356">
        <f>' VVF Sales - PUC &amp; Non PUC'!$S$50</f>
        <v>0</v>
      </c>
      <c r="AL93" s="356">
        <f>' VVF Sales - PUC &amp; Non PUC'!$S$51</f>
        <v>0</v>
      </c>
      <c r="AM93" s="356">
        <f>' VVF Sales - PUC &amp; Non PUC'!$S$52</f>
        <v>0</v>
      </c>
      <c r="AN93" s="356">
        <f>' VVF Sales - PUC &amp; Non PUC'!$S$53</f>
        <v>0</v>
      </c>
      <c r="AO93" s="356">
        <f>' VVF Sales - PUC &amp; Non PUC'!$S$54</f>
        <v>0</v>
      </c>
      <c r="AP93" s="356">
        <f>' VVF Sales - PUC &amp; Non PUC'!$S$55</f>
        <v>0</v>
      </c>
      <c r="AQ93" s="356">
        <f>' VVF Sales - PUC &amp; Non PUC'!$S$56</f>
        <v>0</v>
      </c>
      <c r="AR93" s="367">
        <f t="shared" si="17"/>
        <v>0</v>
      </c>
      <c r="AT93" s="354">
        <f>'Imports 2016-17'!D152</f>
        <v>0</v>
      </c>
      <c r="AU93" s="354">
        <f>'Imports 2016-17'!E152</f>
        <v>0</v>
      </c>
      <c r="AV93" s="354">
        <f>'Imports 2016-17'!F152</f>
        <v>131.45999999999998</v>
      </c>
      <c r="AW93" s="354">
        <f>'Imports 2016-17'!G152</f>
        <v>2368.5699999999997</v>
      </c>
      <c r="AX93" s="354">
        <f>'Imports 2016-17'!H152</f>
        <v>1001.8399999999999</v>
      </c>
      <c r="AY93" s="354">
        <f>'Imports 2016-17'!I152</f>
        <v>234.60000000000002</v>
      </c>
      <c r="AZ93" s="354">
        <f>'Imports 2016-17'!J152</f>
        <v>0</v>
      </c>
      <c r="BA93" s="354">
        <f>'Imports 2016-17'!K152</f>
        <v>0</v>
      </c>
      <c r="BB93" s="354">
        <f>'Imports 2016-17'!L152</f>
        <v>7.2</v>
      </c>
      <c r="BC93" s="354">
        <f>'Imports 2016-17'!M152</f>
        <v>37.799999999999997</v>
      </c>
      <c r="BD93" s="363">
        <f>'Imports 2016-17'!N152</f>
        <v>3781.47</v>
      </c>
      <c r="BF93" s="354">
        <f>'Imports 2016-17'!S152/10^5</f>
        <v>0</v>
      </c>
      <c r="BG93" s="354">
        <f>'Imports 2016-17'!T152/10^5</f>
        <v>0</v>
      </c>
      <c r="BH93" s="354">
        <f>'Imports 2016-17'!U152/10^5</f>
        <v>115.9077286</v>
      </c>
      <c r="BI93" s="354">
        <f>'Imports 2016-17'!V152/10^5</f>
        <v>2412.5198987999997</v>
      </c>
      <c r="BJ93" s="354">
        <f>'Imports 2016-17'!W152/10^5</f>
        <v>1083.4415831000001</v>
      </c>
      <c r="BK93" s="354">
        <f>'Imports 2016-17'!X152/10^5</f>
        <v>238.28806129999998</v>
      </c>
      <c r="BL93" s="354">
        <f>'Imports 2016-17'!Y152/10^5</f>
        <v>0</v>
      </c>
      <c r="BM93" s="354">
        <f>'Imports 2016-17'!Z152/10^5</f>
        <v>0</v>
      </c>
      <c r="BN93" s="354">
        <f>'Imports 2016-17'!AA152/10^5</f>
        <v>5.5179571999999997</v>
      </c>
      <c r="BO93" s="354">
        <f>'Imports 2016-17'!AB152/10^5</f>
        <v>34.047990399999996</v>
      </c>
      <c r="BP93" s="363">
        <f>'Imports 2016-17'!AC152/10^5</f>
        <v>3889.7232194000007</v>
      </c>
      <c r="BR93" s="354"/>
      <c r="BS93" s="354"/>
      <c r="BT93" s="354"/>
      <c r="BU93" s="354">
        <v>650.25</v>
      </c>
      <c r="BV93" s="354"/>
      <c r="BW93" s="354"/>
      <c r="BX93" s="354"/>
      <c r="BY93" s="354">
        <v>298.34399999999999</v>
      </c>
      <c r="BZ93" s="354">
        <v>502.02499999999992</v>
      </c>
      <c r="CA93" s="354">
        <v>15.875</v>
      </c>
      <c r="CB93" s="363">
        <f t="shared" si="12"/>
        <v>1466.4939999999999</v>
      </c>
      <c r="CD93" s="354">
        <v>0</v>
      </c>
      <c r="CE93" s="354"/>
      <c r="CF93" s="354">
        <v>0</v>
      </c>
      <c r="CG93" s="354">
        <v>767.61184249999997</v>
      </c>
      <c r="CH93" s="354">
        <v>0</v>
      </c>
      <c r="CI93" s="354">
        <v>0</v>
      </c>
      <c r="CJ93" s="354"/>
      <c r="CK93" s="354">
        <v>256.84821360000001</v>
      </c>
      <c r="CL93" s="354">
        <v>443.22653830000007</v>
      </c>
      <c r="CM93" s="354">
        <v>16.5536429</v>
      </c>
      <c r="CN93" s="363">
        <f t="shared" si="13"/>
        <v>1484.2402373</v>
      </c>
    </row>
    <row r="94" spans="1:92">
      <c r="A94" s="353">
        <v>42522</v>
      </c>
      <c r="B94" s="397">
        <v>0</v>
      </c>
      <c r="C94" s="397">
        <v>0</v>
      </c>
      <c r="D94" s="397">
        <v>0</v>
      </c>
      <c r="E94" s="397">
        <v>0</v>
      </c>
      <c r="F94" s="397">
        <v>0</v>
      </c>
      <c r="G94" s="399"/>
      <c r="H94" s="401">
        <v>0.18</v>
      </c>
      <c r="I94" s="15"/>
      <c r="J94" s="354">
        <f>' VVF Sales - PUC &amp; Non PUC'!$AD$50</f>
        <v>0</v>
      </c>
      <c r="K94" s="354">
        <f>' VVF Sales - PUC &amp; Non PUC'!$AD$51</f>
        <v>2242.5700000000002</v>
      </c>
      <c r="L94" s="354">
        <f>' VVF Sales - PUC &amp; Non PUC'!$AD$52</f>
        <v>0</v>
      </c>
      <c r="M94" s="354">
        <f>' VVF Sales - PUC &amp; Non PUC'!$AD$53</f>
        <v>40.040000000000006</v>
      </c>
      <c r="N94" s="354">
        <f>' VVF Sales - PUC &amp; Non PUC'!$AD$54</f>
        <v>77.924999999999983</v>
      </c>
      <c r="O94" s="354">
        <f>' VVF Sales - PUC &amp; Non PUC'!$AD$55</f>
        <v>1380.33</v>
      </c>
      <c r="P94" s="354">
        <f>' VVF Sales - PUC &amp; Non PUC'!$AD$56</f>
        <v>0.2</v>
      </c>
      <c r="Q94" s="363">
        <f t="shared" si="14"/>
        <v>3741.0650000000001</v>
      </c>
      <c r="S94" s="354">
        <f>' VVF Sales - PUC &amp; Non PUC'!$AE$50</f>
        <v>0</v>
      </c>
      <c r="T94" s="354">
        <f>' VVF Sales - PUC &amp; Non PUC'!$AE$51</f>
        <v>2924.6842441000003</v>
      </c>
      <c r="U94" s="354">
        <f>' VVF Sales - PUC &amp; Non PUC'!$AE$52</f>
        <v>0</v>
      </c>
      <c r="V94" s="354">
        <f>' VVF Sales - PUC &amp; Non PUC'!$AE$53</f>
        <v>62.362299999999998</v>
      </c>
      <c r="W94" s="354">
        <f>' VVF Sales - PUC &amp; Non PUC'!$AE$54</f>
        <v>78.116754999999998</v>
      </c>
      <c r="X94" s="354">
        <f>' VVF Sales - PUC &amp; Non PUC'!$AE$55</f>
        <v>1080.7974687999999</v>
      </c>
      <c r="Y94" s="354">
        <f>' VVF Sales - PUC &amp; Non PUC'!$AE$56</f>
        <v>0.18806</v>
      </c>
      <c r="Z94" s="363">
        <f t="shared" si="16"/>
        <v>4146.1488279000005</v>
      </c>
      <c r="AB94" s="356">
        <f>' VVF Sales - PUC &amp; Non PUC'!$AF$50</f>
        <v>0</v>
      </c>
      <c r="AC94" s="356">
        <f>' VVF Sales - PUC &amp; Non PUC'!$AF$51</f>
        <v>0</v>
      </c>
      <c r="AD94" s="356">
        <f>' VVF Sales - PUC &amp; Non PUC'!$AF$52</f>
        <v>0</v>
      </c>
      <c r="AE94" s="356">
        <f>' VVF Sales - PUC &amp; Non PUC'!$AF$53</f>
        <v>0</v>
      </c>
      <c r="AF94" s="356">
        <f>' VVF Sales - PUC &amp; Non PUC'!$AF$54</f>
        <v>0</v>
      </c>
      <c r="AG94" s="356">
        <f>' VVF Sales - PUC &amp; Non PUC'!$AF$55</f>
        <v>0</v>
      </c>
      <c r="AH94" s="356">
        <f>' VVF Sales - PUC &amp; Non PUC'!$AF$56</f>
        <v>0</v>
      </c>
      <c r="AI94" s="367">
        <f t="shared" si="15"/>
        <v>0</v>
      </c>
      <c r="AK94" s="356">
        <f>' VVF Sales - PUC &amp; Non PUC'!$AG$50</f>
        <v>0</v>
      </c>
      <c r="AL94" s="356">
        <f>' VVF Sales - PUC &amp; Non PUC'!$AG$51</f>
        <v>0</v>
      </c>
      <c r="AM94" s="356">
        <f>' VVF Sales - PUC &amp; Non PUC'!$AG$52</f>
        <v>0</v>
      </c>
      <c r="AN94" s="356">
        <f>' VVF Sales - PUC &amp; Non PUC'!$AG$53</f>
        <v>0</v>
      </c>
      <c r="AO94" s="356">
        <f>' VVF Sales - PUC &amp; Non PUC'!$AG$54</f>
        <v>0</v>
      </c>
      <c r="AP94" s="356">
        <f>' VVF Sales - PUC &amp; Non PUC'!$AG$55</f>
        <v>0</v>
      </c>
      <c r="AQ94" s="356">
        <f>' VVF Sales - PUC &amp; Non PUC'!$AG$56</f>
        <v>0</v>
      </c>
      <c r="AR94" s="367">
        <f t="shared" si="17"/>
        <v>0</v>
      </c>
      <c r="AT94" s="354">
        <f>'Imports 2016-17'!D153</f>
        <v>0</v>
      </c>
      <c r="AU94" s="354">
        <f>'Imports 2016-17'!E153</f>
        <v>0</v>
      </c>
      <c r="AV94" s="354">
        <f>'Imports 2016-17'!F153</f>
        <v>0</v>
      </c>
      <c r="AW94" s="354">
        <f>'Imports 2016-17'!G153</f>
        <v>3228.9399999999996</v>
      </c>
      <c r="AX94" s="354">
        <f>'Imports 2016-17'!H153</f>
        <v>1403.89</v>
      </c>
      <c r="AY94" s="354">
        <f>'Imports 2016-17'!I153</f>
        <v>0</v>
      </c>
      <c r="AZ94" s="354">
        <f>'Imports 2016-17'!J153</f>
        <v>0</v>
      </c>
      <c r="BA94" s="354">
        <f>'Imports 2016-17'!K153</f>
        <v>12</v>
      </c>
      <c r="BB94" s="354">
        <f>'Imports 2016-17'!L153</f>
        <v>21</v>
      </c>
      <c r="BC94" s="354">
        <f>'Imports 2016-17'!M153</f>
        <v>45</v>
      </c>
      <c r="BD94" s="363">
        <f>'Imports 2016-17'!N153</f>
        <v>4710.83</v>
      </c>
      <c r="BF94" s="354">
        <f>'Imports 2016-17'!S153/10^5</f>
        <v>0</v>
      </c>
      <c r="BG94" s="354">
        <f>'Imports 2016-17'!T153/10^5</f>
        <v>0</v>
      </c>
      <c r="BH94" s="354">
        <f>'Imports 2016-17'!U153/10^5</f>
        <v>0</v>
      </c>
      <c r="BI94" s="354">
        <f>'Imports 2016-17'!V153/10^5</f>
        <v>3715.5037634000005</v>
      </c>
      <c r="BJ94" s="354">
        <f>'Imports 2016-17'!W153/10^5</f>
        <v>1676.9816943000001</v>
      </c>
      <c r="BK94" s="354">
        <f>'Imports 2016-17'!X153/10^5</f>
        <v>0</v>
      </c>
      <c r="BL94" s="354">
        <f>'Imports 2016-17'!Y153/10^5</f>
        <v>0</v>
      </c>
      <c r="BM94" s="354">
        <f>'Imports 2016-17'!Z153/10^5</f>
        <v>11.3405325</v>
      </c>
      <c r="BN94" s="354">
        <f>'Imports 2016-17'!AA153/10^5</f>
        <v>19.4327535</v>
      </c>
      <c r="BO94" s="354">
        <f>'Imports 2016-17'!AB153/10^5</f>
        <v>42.218997399999999</v>
      </c>
      <c r="BP94" s="363">
        <f>'Imports 2016-17'!AC153/10^5</f>
        <v>5465.4777411000005</v>
      </c>
      <c r="BR94" s="354"/>
      <c r="BS94" s="354"/>
      <c r="BT94" s="354"/>
      <c r="BU94" s="354">
        <v>206.8</v>
      </c>
      <c r="BV94" s="354"/>
      <c r="BW94" s="354"/>
      <c r="BX94" s="354"/>
      <c r="BY94" s="354">
        <v>432.13300000000004</v>
      </c>
      <c r="BZ94" s="354">
        <v>1839.7069999999999</v>
      </c>
      <c r="CA94" s="354">
        <v>321.09299999999996</v>
      </c>
      <c r="CB94" s="363">
        <f t="shared" si="12"/>
        <v>2799.7329999999997</v>
      </c>
      <c r="CD94" s="354">
        <v>0</v>
      </c>
      <c r="CE94" s="354"/>
      <c r="CF94" s="354">
        <v>0</v>
      </c>
      <c r="CG94" s="354">
        <v>276.077246</v>
      </c>
      <c r="CH94" s="354">
        <v>0</v>
      </c>
      <c r="CI94" s="354">
        <v>0</v>
      </c>
      <c r="CJ94" s="354"/>
      <c r="CK94" s="354">
        <v>400.84627469999992</v>
      </c>
      <c r="CL94" s="354">
        <v>1593.5097505000001</v>
      </c>
      <c r="CM94" s="354">
        <v>330.53464660000003</v>
      </c>
      <c r="CN94" s="363">
        <f t="shared" si="13"/>
        <v>2600.9679178000001</v>
      </c>
    </row>
    <row r="95" spans="1:92">
      <c r="A95" s="353">
        <v>42552</v>
      </c>
      <c r="B95" s="397">
        <v>0</v>
      </c>
      <c r="C95" s="397">
        <v>0</v>
      </c>
      <c r="D95" s="397">
        <v>0</v>
      </c>
      <c r="E95" s="397">
        <v>0</v>
      </c>
      <c r="F95" s="397">
        <v>0</v>
      </c>
      <c r="G95" s="399"/>
      <c r="H95" s="401">
        <v>0.18</v>
      </c>
      <c r="I95" s="15"/>
      <c r="J95" s="354">
        <f>' VVF Sales - PUC &amp; Non PUC'!$AR$50</f>
        <v>0</v>
      </c>
      <c r="K95" s="354">
        <f>' VVF Sales - PUC &amp; Non PUC'!$AR$51</f>
        <v>2960.1500000000005</v>
      </c>
      <c r="L95" s="354">
        <f>' VVF Sales - PUC &amp; Non PUC'!$AR$52</f>
        <v>25.810000000000002</v>
      </c>
      <c r="M95" s="354">
        <f>' VVF Sales - PUC &amp; Non PUC'!$AR$53</f>
        <v>40.93</v>
      </c>
      <c r="N95" s="354">
        <f>' VVF Sales - PUC &amp; Non PUC'!$AR$54</f>
        <v>51.674999999999997</v>
      </c>
      <c r="O95" s="354">
        <f>' VVF Sales - PUC &amp; Non PUC'!$AR$55</f>
        <v>1116.43</v>
      </c>
      <c r="P95" s="354">
        <f>' VVF Sales - PUC &amp; Non PUC'!$AR$56</f>
        <v>18.125</v>
      </c>
      <c r="Q95" s="363">
        <f t="shared" si="14"/>
        <v>4213.1200000000008</v>
      </c>
      <c r="S95" s="354">
        <f>' VVF Sales - PUC &amp; Non PUC'!$AS$50</f>
        <v>0</v>
      </c>
      <c r="T95" s="354">
        <f>' VVF Sales - PUC &amp; Non PUC'!$AS$51</f>
        <v>3922.4823192000008</v>
      </c>
      <c r="U95" s="354">
        <f>' VVF Sales - PUC &amp; Non PUC'!$AS$52</f>
        <v>36.824095</v>
      </c>
      <c r="V95" s="354">
        <f>' VVF Sales - PUC &amp; Non PUC'!$AS$53</f>
        <v>63.748474999999999</v>
      </c>
      <c r="W95" s="354">
        <f>' VVF Sales - PUC &amp; Non PUC'!$AS$54</f>
        <v>51.792597499999999</v>
      </c>
      <c r="X95" s="354">
        <f>' VVF Sales - PUC &amp; Non PUC'!$AS$55</f>
        <v>888.21478969999998</v>
      </c>
      <c r="Y95" s="354">
        <f>' VVF Sales - PUC &amp; Non PUC'!$AS$56</f>
        <v>18.4778375</v>
      </c>
      <c r="Z95" s="363">
        <f t="shared" si="16"/>
        <v>4981.5401138999996</v>
      </c>
      <c r="AB95" s="356">
        <f>' VVF Sales - PUC &amp; Non PUC'!$AT$50</f>
        <v>0</v>
      </c>
      <c r="AC95" s="356">
        <f>' VVF Sales - PUC &amp; Non PUC'!$AT$51</f>
        <v>0</v>
      </c>
      <c r="AD95" s="356">
        <f>' VVF Sales - PUC &amp; Non PUC'!$AT$52</f>
        <v>0</v>
      </c>
      <c r="AE95" s="356">
        <f>' VVF Sales - PUC &amp; Non PUC'!$AT$53</f>
        <v>0</v>
      </c>
      <c r="AF95" s="356">
        <f>' VVF Sales - PUC &amp; Non PUC'!$AT$54</f>
        <v>0</v>
      </c>
      <c r="AG95" s="356">
        <f>' VVF Sales - PUC &amp; Non PUC'!$AT$55</f>
        <v>0</v>
      </c>
      <c r="AH95" s="356">
        <f>' VVF Sales - PUC &amp; Non PUC'!$AT$56</f>
        <v>0</v>
      </c>
      <c r="AI95" s="367">
        <f t="shared" si="15"/>
        <v>0</v>
      </c>
      <c r="AK95" s="356">
        <f>' VVF Sales - PUC &amp; Non PUC'!$AU$50</f>
        <v>0</v>
      </c>
      <c r="AL95" s="356">
        <f>' VVF Sales - PUC &amp; Non PUC'!$AU$51</f>
        <v>0</v>
      </c>
      <c r="AM95" s="356">
        <f>' VVF Sales - PUC &amp; Non PUC'!$AU$52</f>
        <v>0</v>
      </c>
      <c r="AN95" s="356">
        <f>' VVF Sales - PUC &amp; Non PUC'!$AU$53</f>
        <v>0</v>
      </c>
      <c r="AO95" s="356">
        <f>' VVF Sales - PUC &amp; Non PUC'!$AU$54</f>
        <v>0</v>
      </c>
      <c r="AP95" s="356">
        <f>' VVF Sales - PUC &amp; Non PUC'!$AU$55</f>
        <v>0</v>
      </c>
      <c r="AQ95" s="356">
        <f>' VVF Sales - PUC &amp; Non PUC'!$AU$56</f>
        <v>0</v>
      </c>
      <c r="AR95" s="367">
        <f t="shared" si="17"/>
        <v>0</v>
      </c>
      <c r="AT95" s="354">
        <f>'Imports 2016-17'!D154</f>
        <v>0</v>
      </c>
      <c r="AU95" s="354">
        <f>'Imports 2016-17'!E154</f>
        <v>0</v>
      </c>
      <c r="AV95" s="354">
        <f>'Imports 2016-17'!F154</f>
        <v>119.25999999999999</v>
      </c>
      <c r="AW95" s="354">
        <f>'Imports 2016-17'!G154</f>
        <v>2220.7599999999998</v>
      </c>
      <c r="AX95" s="354">
        <f>'Imports 2016-17'!H154</f>
        <v>1544.83</v>
      </c>
      <c r="AY95" s="354">
        <f>'Imports 2016-17'!I154</f>
        <v>253.92000000000002</v>
      </c>
      <c r="AZ95" s="354">
        <f>'Imports 2016-17'!J154</f>
        <v>6.12</v>
      </c>
      <c r="BA95" s="354">
        <f>'Imports 2016-17'!K154</f>
        <v>2</v>
      </c>
      <c r="BB95" s="354">
        <f>'Imports 2016-17'!L154</f>
        <v>45.67</v>
      </c>
      <c r="BC95" s="354">
        <f>'Imports 2016-17'!M154</f>
        <v>0</v>
      </c>
      <c r="BD95" s="363">
        <f>'Imports 2016-17'!N154</f>
        <v>4192.5599999999995</v>
      </c>
      <c r="BF95" s="354">
        <f>'Imports 2016-17'!S154/10^5</f>
        <v>0</v>
      </c>
      <c r="BG95" s="354">
        <f>'Imports 2016-17'!T154/10^5</f>
        <v>0</v>
      </c>
      <c r="BH95" s="354">
        <f>'Imports 2016-17'!U154/10^5</f>
        <v>109.37473660000001</v>
      </c>
      <c r="BI95" s="354">
        <f>'Imports 2016-17'!V154/10^5</f>
        <v>2685.6068012999999</v>
      </c>
      <c r="BJ95" s="354">
        <f>'Imports 2016-17'!W154/10^5</f>
        <v>2023.4501445999997</v>
      </c>
      <c r="BK95" s="354">
        <f>'Imports 2016-17'!X154/10^5</f>
        <v>326.92561760000001</v>
      </c>
      <c r="BL95" s="354">
        <f>'Imports 2016-17'!Y154/10^5</f>
        <v>8.0939104999999998</v>
      </c>
      <c r="BM95" s="354">
        <f>'Imports 2016-17'!Z154/10^5</f>
        <v>1.8227329000000001</v>
      </c>
      <c r="BN95" s="354">
        <f>'Imports 2016-17'!AA154/10^5</f>
        <v>41.385621100000002</v>
      </c>
      <c r="BO95" s="354">
        <f>'Imports 2016-17'!AB154/10^5</f>
        <v>0</v>
      </c>
      <c r="BP95" s="363">
        <f>'Imports 2016-17'!AC154/10^5</f>
        <v>5196.6595646000005</v>
      </c>
      <c r="BR95" s="354"/>
      <c r="BS95" s="354"/>
      <c r="BT95" s="354"/>
      <c r="BU95" s="354">
        <v>18.96</v>
      </c>
      <c r="BV95" s="354"/>
      <c r="BW95" s="354"/>
      <c r="BX95" s="354"/>
      <c r="BY95" s="354">
        <v>482.048</v>
      </c>
      <c r="BZ95" s="354">
        <v>2131.0630000000006</v>
      </c>
      <c r="CA95" s="354">
        <v>256.53999999999996</v>
      </c>
      <c r="CB95" s="363">
        <f t="shared" si="12"/>
        <v>2888.6110000000003</v>
      </c>
      <c r="CD95" s="354">
        <v>0</v>
      </c>
      <c r="CE95" s="354"/>
      <c r="CF95" s="354">
        <v>0</v>
      </c>
      <c r="CG95" s="354">
        <v>24.886787599999998</v>
      </c>
      <c r="CH95" s="354">
        <v>0</v>
      </c>
      <c r="CI95" s="354">
        <v>0</v>
      </c>
      <c r="CJ95" s="354"/>
      <c r="CK95" s="354">
        <v>455.91047819999994</v>
      </c>
      <c r="CL95" s="354">
        <v>1909.4448699999998</v>
      </c>
      <c r="CM95" s="354">
        <v>263.38272009999997</v>
      </c>
      <c r="CN95" s="363">
        <f t="shared" si="13"/>
        <v>2653.6248558999996</v>
      </c>
    </row>
    <row r="96" spans="1:92">
      <c r="A96" s="353">
        <v>42583</v>
      </c>
      <c r="B96" s="397">
        <v>0</v>
      </c>
      <c r="C96" s="397">
        <v>0</v>
      </c>
      <c r="D96" s="397">
        <v>0</v>
      </c>
      <c r="E96" s="397">
        <v>0</v>
      </c>
      <c r="F96" s="397">
        <v>0</v>
      </c>
      <c r="G96" s="399"/>
      <c r="H96" s="401">
        <v>0.18</v>
      </c>
      <c r="I96" s="15"/>
      <c r="J96" s="354">
        <f>' VVF Sales - PUC &amp; Non PUC'!$BF$50</f>
        <v>0</v>
      </c>
      <c r="K96" s="354">
        <f>' VVF Sales - PUC &amp; Non PUC'!$BF$51</f>
        <v>2772.2500000000005</v>
      </c>
      <c r="L96" s="354">
        <f>' VVF Sales - PUC &amp; Non PUC'!$BF$52</f>
        <v>0</v>
      </c>
      <c r="M96" s="354">
        <f>' VVF Sales - PUC &amp; Non PUC'!$BF$53</f>
        <v>0</v>
      </c>
      <c r="N96" s="354">
        <f>' VVF Sales - PUC &amp; Non PUC'!$BF$54</f>
        <v>49.824999999999996</v>
      </c>
      <c r="O96" s="354">
        <f>' VVF Sales - PUC &amp; Non PUC'!$BF$55</f>
        <v>309.00000000000006</v>
      </c>
      <c r="P96" s="354">
        <f>' VVF Sales - PUC &amp; Non PUC'!$BF$56</f>
        <v>29.625</v>
      </c>
      <c r="Q96" s="363">
        <f t="shared" si="14"/>
        <v>3160.7000000000003</v>
      </c>
      <c r="S96" s="354">
        <f>' VVF Sales - PUC &amp; Non PUC'!$BG$50</f>
        <v>0</v>
      </c>
      <c r="T96" s="354">
        <f>' VVF Sales - PUC &amp; Non PUC'!$BG$51</f>
        <v>3591.1714153000007</v>
      </c>
      <c r="U96" s="354">
        <f>' VVF Sales - PUC &amp; Non PUC'!$BG$52</f>
        <v>0</v>
      </c>
      <c r="V96" s="354">
        <f>' VVF Sales - PUC &amp; Non PUC'!$BG$53</f>
        <v>0</v>
      </c>
      <c r="W96" s="354">
        <f>' VVF Sales - PUC &amp; Non PUC'!$BG$54</f>
        <v>49.800575000000002</v>
      </c>
      <c r="X96" s="354">
        <f>' VVF Sales - PUC &amp; Non PUC'!$BG$55</f>
        <v>298.87219249999998</v>
      </c>
      <c r="Y96" s="354">
        <f>' VVF Sales - PUC &amp; Non PUC'!$BG$56</f>
        <v>29.665627499999999</v>
      </c>
      <c r="Z96" s="363">
        <f t="shared" si="16"/>
        <v>3969.5098103000009</v>
      </c>
      <c r="AB96" s="356">
        <f>' VVF Sales - PUC &amp; Non PUC'!$BH$50</f>
        <v>0</v>
      </c>
      <c r="AC96" s="356">
        <f>' VVF Sales - PUC &amp; Non PUC'!$BH$51</f>
        <v>0</v>
      </c>
      <c r="AD96" s="356">
        <f>' VVF Sales - PUC &amp; Non PUC'!$BH$52</f>
        <v>0</v>
      </c>
      <c r="AE96" s="356">
        <f>' VVF Sales - PUC &amp; Non PUC'!$BH$53</f>
        <v>0</v>
      </c>
      <c r="AF96" s="356">
        <f>' VVF Sales - PUC &amp; Non PUC'!$BH$54</f>
        <v>0</v>
      </c>
      <c r="AG96" s="356">
        <f>' VVF Sales - PUC &amp; Non PUC'!$BH$55</f>
        <v>20</v>
      </c>
      <c r="AH96" s="356">
        <f>' VVF Sales - PUC &amp; Non PUC'!$BH$56</f>
        <v>0</v>
      </c>
      <c r="AI96" s="367">
        <f t="shared" si="15"/>
        <v>20</v>
      </c>
      <c r="AK96" s="356">
        <f>' VVF Sales - PUC &amp; Non PUC'!$BI$50</f>
        <v>0</v>
      </c>
      <c r="AL96" s="356">
        <f>' VVF Sales - PUC &amp; Non PUC'!$BI$51</f>
        <v>0</v>
      </c>
      <c r="AM96" s="356">
        <f>' VVF Sales - PUC &amp; Non PUC'!$BI$52</f>
        <v>0</v>
      </c>
      <c r="AN96" s="356">
        <f>' VVF Sales - PUC &amp; Non PUC'!$BI$53</f>
        <v>0</v>
      </c>
      <c r="AO96" s="356">
        <f>' VVF Sales - PUC &amp; Non PUC'!$BI$54</f>
        <v>0</v>
      </c>
      <c r="AP96" s="356">
        <f>' VVF Sales - PUC &amp; Non PUC'!$BI$55</f>
        <v>19.5</v>
      </c>
      <c r="AQ96" s="356">
        <f>' VVF Sales - PUC &amp; Non PUC'!$BI$56</f>
        <v>0</v>
      </c>
      <c r="AR96" s="367">
        <f t="shared" si="17"/>
        <v>19.5</v>
      </c>
      <c r="AT96" s="354">
        <f>'Imports 2016-17'!D155</f>
        <v>0</v>
      </c>
      <c r="AU96" s="354">
        <f>'Imports 2016-17'!E155</f>
        <v>0</v>
      </c>
      <c r="AV96" s="354">
        <f>'Imports 2016-17'!F155</f>
        <v>33.299999999999997</v>
      </c>
      <c r="AW96" s="354">
        <f>'Imports 2016-17'!G155</f>
        <v>1325.5300000000002</v>
      </c>
      <c r="AX96" s="354">
        <f>'Imports 2016-17'!H155</f>
        <v>870.83000000000015</v>
      </c>
      <c r="AY96" s="354">
        <f>'Imports 2016-17'!I155</f>
        <v>212.3</v>
      </c>
      <c r="AZ96" s="354">
        <f>'Imports 2016-17'!J155</f>
        <v>0</v>
      </c>
      <c r="BA96" s="354">
        <f>'Imports 2016-17'!K155</f>
        <v>41.4</v>
      </c>
      <c r="BB96" s="354">
        <f>'Imports 2016-17'!L155</f>
        <v>0</v>
      </c>
      <c r="BC96" s="354">
        <f>'Imports 2016-17'!M155</f>
        <v>30.6</v>
      </c>
      <c r="BD96" s="363">
        <f>'Imports 2016-17'!N155</f>
        <v>2513.9600000000005</v>
      </c>
      <c r="BF96" s="354">
        <f>'Imports 2016-17'!S155/10^5</f>
        <v>0</v>
      </c>
      <c r="BG96" s="354">
        <f>'Imports 2016-17'!T155/10^5</f>
        <v>0</v>
      </c>
      <c r="BH96" s="354">
        <f>'Imports 2016-17'!U155/10^5</f>
        <v>34.924356400000001</v>
      </c>
      <c r="BI96" s="354">
        <f>'Imports 2016-17'!V155/10^5</f>
        <v>1564.9991241000002</v>
      </c>
      <c r="BJ96" s="354">
        <f>'Imports 2016-17'!W155/10^5</f>
        <v>1129.5417484</v>
      </c>
      <c r="BK96" s="354">
        <f>'Imports 2016-17'!X155/10^5</f>
        <v>275.15062490000003</v>
      </c>
      <c r="BL96" s="354">
        <f>'Imports 2016-17'!Y155/10^5</f>
        <v>0</v>
      </c>
      <c r="BM96" s="354">
        <f>'Imports 2016-17'!Z155/10^5</f>
        <v>36.3863232</v>
      </c>
      <c r="BN96" s="354">
        <f>'Imports 2016-17'!AA155/10^5</f>
        <v>0</v>
      </c>
      <c r="BO96" s="354">
        <f>'Imports 2016-17'!AB155/10^5</f>
        <v>28.077328399999999</v>
      </c>
      <c r="BP96" s="363">
        <f>'Imports 2016-17'!AC155/10^5</f>
        <v>3069.0795053999996</v>
      </c>
      <c r="BR96" s="354"/>
      <c r="BS96" s="354"/>
      <c r="BT96" s="354"/>
      <c r="BU96" s="354">
        <v>639.83000000000004</v>
      </c>
      <c r="BV96" s="354"/>
      <c r="BW96" s="354"/>
      <c r="BX96" s="354"/>
      <c r="BY96" s="354">
        <v>482.41700000000003</v>
      </c>
      <c r="BZ96" s="354">
        <v>958.46500000000003</v>
      </c>
      <c r="CA96" s="354">
        <v>109.27000000000001</v>
      </c>
      <c r="CB96" s="363">
        <f t="shared" si="12"/>
        <v>2189.982</v>
      </c>
      <c r="CD96" s="354">
        <v>0</v>
      </c>
      <c r="CE96" s="354"/>
      <c r="CF96" s="354">
        <v>0</v>
      </c>
      <c r="CG96" s="354">
        <v>766.63778260000004</v>
      </c>
      <c r="CH96" s="354">
        <v>0</v>
      </c>
      <c r="CI96" s="354">
        <v>0</v>
      </c>
      <c r="CJ96" s="354"/>
      <c r="CK96" s="354">
        <v>452.49125050000009</v>
      </c>
      <c r="CL96" s="354">
        <v>874.95612669999991</v>
      </c>
      <c r="CM96" s="354">
        <v>106.49117180000002</v>
      </c>
      <c r="CN96" s="363">
        <f t="shared" si="13"/>
        <v>2200.5763315999998</v>
      </c>
    </row>
    <row r="97" spans="1:92">
      <c r="A97" s="353">
        <v>42614</v>
      </c>
      <c r="B97" s="397">
        <v>0</v>
      </c>
      <c r="C97" s="397">
        <v>0</v>
      </c>
      <c r="D97" s="397">
        <v>0</v>
      </c>
      <c r="E97" s="397">
        <v>0</v>
      </c>
      <c r="F97" s="397">
        <v>0</v>
      </c>
      <c r="G97" s="399"/>
      <c r="H97" s="401">
        <v>0.12</v>
      </c>
      <c r="I97" s="15"/>
      <c r="J97" s="354">
        <f>' VVF Sales - PUC &amp; Non PUC'!$BT$50</f>
        <v>11.39</v>
      </c>
      <c r="K97" s="354">
        <f>' VVF Sales - PUC &amp; Non PUC'!$BT$51</f>
        <v>2699.4499999999994</v>
      </c>
      <c r="L97" s="354">
        <f>' VVF Sales - PUC &amp; Non PUC'!$BT$52</f>
        <v>0</v>
      </c>
      <c r="M97" s="354">
        <f>' VVF Sales - PUC &amp; Non PUC'!$BT$53</f>
        <v>39.08</v>
      </c>
      <c r="N97" s="354">
        <f>' VVF Sales - PUC &amp; Non PUC'!$BT$54</f>
        <v>49.1</v>
      </c>
      <c r="O97" s="354">
        <f>' VVF Sales - PUC &amp; Non PUC'!$BT$55</f>
        <v>340.22500000000002</v>
      </c>
      <c r="P97" s="354">
        <f>' VVF Sales - PUC &amp; Non PUC'!$BT$56</f>
        <v>39</v>
      </c>
      <c r="Q97" s="363">
        <f t="shared" si="14"/>
        <v>3178.244999999999</v>
      </c>
      <c r="S97" s="354">
        <f>' VVF Sales - PUC &amp; Non PUC'!$BU$50</f>
        <v>20.501999999999999</v>
      </c>
      <c r="T97" s="354">
        <f>' VVF Sales - PUC &amp; Non PUC'!$BU$51</f>
        <v>3631.5733145000004</v>
      </c>
      <c r="U97" s="354">
        <f>' VVF Sales - PUC &amp; Non PUC'!$BU$52</f>
        <v>0</v>
      </c>
      <c r="V97" s="354">
        <f>' VVF Sales - PUC &amp; Non PUC'!$BU$53</f>
        <v>61.257899999999999</v>
      </c>
      <c r="W97" s="354">
        <f>' VVF Sales - PUC &amp; Non PUC'!$BU$54</f>
        <v>49.475250000000003</v>
      </c>
      <c r="X97" s="354">
        <f>' VVF Sales - PUC &amp; Non PUC'!$BU$55</f>
        <v>327.03742999999997</v>
      </c>
      <c r="Y97" s="354">
        <f>' VVF Sales - PUC &amp; Non PUC'!$BU$56</f>
        <v>38.537500000000001</v>
      </c>
      <c r="Z97" s="363">
        <f t="shared" si="16"/>
        <v>4128.3833945000006</v>
      </c>
      <c r="AB97" s="356">
        <f>' VVF Sales - PUC &amp; Non PUC'!$BV$50</f>
        <v>0</v>
      </c>
      <c r="AC97" s="356">
        <f>' VVF Sales - PUC &amp; Non PUC'!$BV$51</f>
        <v>0</v>
      </c>
      <c r="AD97" s="356">
        <f>' VVF Sales - PUC &amp; Non PUC'!$BV$52</f>
        <v>0</v>
      </c>
      <c r="AE97" s="356">
        <f>' VVF Sales - PUC &amp; Non PUC'!$BV$53</f>
        <v>0</v>
      </c>
      <c r="AF97" s="356">
        <f>' VVF Sales - PUC &amp; Non PUC'!$BV$54</f>
        <v>0</v>
      </c>
      <c r="AG97" s="356">
        <f>' VVF Sales - PUC &amp; Non PUC'!$BV$55</f>
        <v>0</v>
      </c>
      <c r="AH97" s="356">
        <f>' VVF Sales - PUC &amp; Non PUC'!$BV$56</f>
        <v>0</v>
      </c>
      <c r="AI97" s="367">
        <f t="shared" si="15"/>
        <v>0</v>
      </c>
      <c r="AK97" s="356">
        <f>' VVF Sales - PUC &amp; Non PUC'!$BW$50</f>
        <v>0</v>
      </c>
      <c r="AL97" s="356">
        <f>' VVF Sales - PUC &amp; Non PUC'!$BW$51</f>
        <v>0</v>
      </c>
      <c r="AM97" s="356">
        <f>' VVF Sales - PUC &amp; Non PUC'!$BW$52</f>
        <v>0</v>
      </c>
      <c r="AN97" s="356">
        <f>' VVF Sales - PUC &amp; Non PUC'!$BW$53</f>
        <v>0</v>
      </c>
      <c r="AO97" s="356">
        <f>' VVF Sales - PUC &amp; Non PUC'!$BW$54</f>
        <v>0</v>
      </c>
      <c r="AP97" s="356">
        <f>' VVF Sales - PUC &amp; Non PUC'!$BW$55</f>
        <v>0</v>
      </c>
      <c r="AQ97" s="356">
        <f>' VVF Sales - PUC &amp; Non PUC'!$BW$56</f>
        <v>0</v>
      </c>
      <c r="AR97" s="367">
        <f t="shared" si="17"/>
        <v>0</v>
      </c>
      <c r="AT97" s="354">
        <f>'Imports 2016-17'!D156</f>
        <v>0</v>
      </c>
      <c r="AU97" s="354">
        <f>'Imports 2016-17'!E156</f>
        <v>0</v>
      </c>
      <c r="AV97" s="354">
        <f>'Imports 2016-17'!F156</f>
        <v>78.740000000000009</v>
      </c>
      <c r="AW97" s="354">
        <f>'Imports 2016-17'!G156</f>
        <v>1260.6100000000001</v>
      </c>
      <c r="AX97" s="354">
        <f>'Imports 2016-17'!H156</f>
        <v>1597.9999999999998</v>
      </c>
      <c r="AY97" s="354">
        <f>'Imports 2016-17'!I156</f>
        <v>79.009999999999991</v>
      </c>
      <c r="AZ97" s="354">
        <f>'Imports 2016-17'!J156</f>
        <v>0</v>
      </c>
      <c r="BA97" s="354">
        <f>'Imports 2016-17'!K156</f>
        <v>30</v>
      </c>
      <c r="BB97" s="354">
        <f>'Imports 2016-17'!L156</f>
        <v>60</v>
      </c>
      <c r="BC97" s="354">
        <f>'Imports 2016-17'!M156</f>
        <v>15</v>
      </c>
      <c r="BD97" s="363">
        <f>'Imports 2016-17'!N156</f>
        <v>3121.3599999999997</v>
      </c>
      <c r="BF97" s="354">
        <f>'Imports 2016-17'!S156/10^5</f>
        <v>0</v>
      </c>
      <c r="BG97" s="354">
        <f>'Imports 2016-17'!T156/10^5</f>
        <v>0</v>
      </c>
      <c r="BH97" s="354">
        <f>'Imports 2016-17'!U156/10^5</f>
        <v>65.266763699999998</v>
      </c>
      <c r="BI97" s="354">
        <f>'Imports 2016-17'!V156/10^5</f>
        <v>1516.6732942000001</v>
      </c>
      <c r="BJ97" s="354">
        <f>'Imports 2016-17'!W156/10^5</f>
        <v>2138.4675938999994</v>
      </c>
      <c r="BK97" s="354">
        <f>'Imports 2016-17'!X156/10^5</f>
        <v>101.18346050000001</v>
      </c>
      <c r="BL97" s="354">
        <f>'Imports 2016-17'!Y156/10^5</f>
        <v>0</v>
      </c>
      <c r="BM97" s="354">
        <f>'Imports 2016-17'!Z156/10^5</f>
        <v>25.6887188</v>
      </c>
      <c r="BN97" s="354">
        <f>'Imports 2016-17'!AA156/10^5</f>
        <v>48.938363299999999</v>
      </c>
      <c r="BO97" s="354">
        <f>'Imports 2016-17'!AB156/10^5</f>
        <v>13.702606899999999</v>
      </c>
      <c r="BP97" s="363">
        <f>'Imports 2016-17'!AC156/10^5</f>
        <v>3909.9208012999993</v>
      </c>
      <c r="BR97" s="354"/>
      <c r="BS97" s="354"/>
      <c r="BT97" s="354"/>
      <c r="BU97" s="354">
        <v>531.07000000000005</v>
      </c>
      <c r="BV97" s="354">
        <v>18.809999999999999</v>
      </c>
      <c r="BW97" s="354"/>
      <c r="BX97" s="354"/>
      <c r="BY97" s="354">
        <v>1203.9379999999999</v>
      </c>
      <c r="BZ97" s="354">
        <v>1635.9450000000002</v>
      </c>
      <c r="CA97" s="354">
        <v>706.8900000000001</v>
      </c>
      <c r="CB97" s="363">
        <f t="shared" si="12"/>
        <v>4096.6530000000002</v>
      </c>
      <c r="CD97" s="354">
        <v>0</v>
      </c>
      <c r="CE97" s="354"/>
      <c r="CF97" s="354">
        <v>0</v>
      </c>
      <c r="CG97" s="354">
        <v>649.3783651</v>
      </c>
      <c r="CH97" s="354">
        <v>22.591498099999999</v>
      </c>
      <c r="CI97" s="354">
        <v>0</v>
      </c>
      <c r="CJ97" s="354"/>
      <c r="CK97" s="354">
        <v>1089.2108208999998</v>
      </c>
      <c r="CL97" s="354">
        <v>1408.3456634000001</v>
      </c>
      <c r="CM97" s="354">
        <v>650.92955280000012</v>
      </c>
      <c r="CN97" s="363">
        <f t="shared" si="13"/>
        <v>3820.4559003000004</v>
      </c>
    </row>
    <row r="98" spans="1:92">
      <c r="A98" s="353">
        <v>42644</v>
      </c>
      <c r="B98" s="397">
        <v>0</v>
      </c>
      <c r="C98" s="397">
        <v>0</v>
      </c>
      <c r="D98" s="397">
        <v>0</v>
      </c>
      <c r="E98" s="397">
        <v>0</v>
      </c>
      <c r="F98" s="397">
        <v>0</v>
      </c>
      <c r="G98" s="399"/>
      <c r="H98" s="401">
        <v>0.12</v>
      </c>
      <c r="I98" s="15"/>
      <c r="J98" s="354">
        <f>' VVF Sales - PUC &amp; Non PUC'!$CH$50</f>
        <v>0</v>
      </c>
      <c r="K98" s="354">
        <f>' VVF Sales - PUC &amp; Non PUC'!$CH$51</f>
        <v>2692.6100000000006</v>
      </c>
      <c r="L98" s="354">
        <f>' VVF Sales - PUC &amp; Non PUC'!$CH$52</f>
        <v>0</v>
      </c>
      <c r="M98" s="354">
        <f>' VVF Sales - PUC &amp; Non PUC'!$CH$53</f>
        <v>38.83</v>
      </c>
      <c r="N98" s="354">
        <f>' VVF Sales - PUC &amp; Non PUC'!$CH$54</f>
        <v>53.186</v>
      </c>
      <c r="O98" s="354">
        <f>' VVF Sales - PUC &amp; Non PUC'!$CH$55</f>
        <v>173.70000000000002</v>
      </c>
      <c r="P98" s="354">
        <f>' VVF Sales - PUC &amp; Non PUC'!$CH$56</f>
        <v>31</v>
      </c>
      <c r="Q98" s="363">
        <f t="shared" si="14"/>
        <v>2989.3260000000005</v>
      </c>
      <c r="S98" s="354">
        <f>' VVF Sales - PUC &amp; Non PUC'!$CI$50</f>
        <v>0</v>
      </c>
      <c r="T98" s="354">
        <f>' VVF Sales - PUC &amp; Non PUC'!$CI$51</f>
        <v>3925.3950152999996</v>
      </c>
      <c r="U98" s="354">
        <f>' VVF Sales - PUC &amp; Non PUC'!$CI$52</f>
        <v>0</v>
      </c>
      <c r="V98" s="354">
        <f>' VVF Sales - PUC &amp; Non PUC'!$CI$53</f>
        <v>60.866025</v>
      </c>
      <c r="W98" s="354">
        <f>' VVF Sales - PUC &amp; Non PUC'!$CI$54</f>
        <v>52.210500000000003</v>
      </c>
      <c r="X98" s="354">
        <f>' VVF Sales - PUC &amp; Non PUC'!$CI$55</f>
        <v>166.808595</v>
      </c>
      <c r="Y98" s="354">
        <f>' VVF Sales - PUC &amp; Non PUC'!$CI$56</f>
        <v>30.265260000000001</v>
      </c>
      <c r="Z98" s="363">
        <f t="shared" si="16"/>
        <v>4235.5453952999997</v>
      </c>
      <c r="AB98" s="356">
        <f>' VVF Sales - PUC &amp; Non PUC'!$CJ$50</f>
        <v>0</v>
      </c>
      <c r="AC98" s="356">
        <f>' VVF Sales - PUC &amp; Non PUC'!$CJ$51</f>
        <v>0</v>
      </c>
      <c r="AD98" s="356">
        <f>' VVF Sales - PUC &amp; Non PUC'!$CJ$52</f>
        <v>0</v>
      </c>
      <c r="AE98" s="356">
        <f>' VVF Sales - PUC &amp; Non PUC'!$CJ$53</f>
        <v>0</v>
      </c>
      <c r="AF98" s="356">
        <f>' VVF Sales - PUC &amp; Non PUC'!$CJ$54</f>
        <v>0</v>
      </c>
      <c r="AG98" s="356">
        <f>' VVF Sales - PUC &amp; Non PUC'!$CJ$55</f>
        <v>0</v>
      </c>
      <c r="AH98" s="356">
        <f>' VVF Sales - PUC &amp; Non PUC'!$CJ$56</f>
        <v>0</v>
      </c>
      <c r="AI98" s="367">
        <f t="shared" si="15"/>
        <v>0</v>
      </c>
      <c r="AK98" s="356">
        <f>' VVF Sales - PUC &amp; Non PUC'!$CK$50</f>
        <v>0</v>
      </c>
      <c r="AL98" s="356">
        <f>' VVF Sales - PUC &amp; Non PUC'!$CK$51</f>
        <v>0</v>
      </c>
      <c r="AM98" s="356">
        <f>' VVF Sales - PUC &amp; Non PUC'!$CK$52</f>
        <v>0</v>
      </c>
      <c r="AN98" s="356">
        <f>' VVF Sales - PUC &amp; Non PUC'!$CK$53</f>
        <v>0</v>
      </c>
      <c r="AO98" s="356">
        <f>' VVF Sales - PUC &amp; Non PUC'!$CK$54</f>
        <v>0</v>
      </c>
      <c r="AP98" s="356">
        <f>' VVF Sales - PUC &amp; Non PUC'!$CK$55</f>
        <v>0</v>
      </c>
      <c r="AQ98" s="356">
        <f>' VVF Sales - PUC &amp; Non PUC'!$CK$56</f>
        <v>0</v>
      </c>
      <c r="AR98" s="367">
        <f t="shared" si="17"/>
        <v>0</v>
      </c>
      <c r="AT98" s="354">
        <f>'Imports 2016-17'!D157</f>
        <v>0</v>
      </c>
      <c r="AU98" s="354">
        <f>'Imports 2016-17'!E157</f>
        <v>0</v>
      </c>
      <c r="AV98" s="354">
        <f>'Imports 2016-17'!F157</f>
        <v>0</v>
      </c>
      <c r="AW98" s="354">
        <f>'Imports 2016-17'!G157</f>
        <v>651.05999999999995</v>
      </c>
      <c r="AX98" s="354">
        <f>'Imports 2016-17'!H157</f>
        <v>1383.73</v>
      </c>
      <c r="AY98" s="354">
        <f>'Imports 2016-17'!I157</f>
        <v>78.78</v>
      </c>
      <c r="AZ98" s="354">
        <f>'Imports 2016-17'!J157</f>
        <v>0</v>
      </c>
      <c r="BA98" s="354">
        <f>'Imports 2016-17'!K157</f>
        <v>30</v>
      </c>
      <c r="BB98" s="354">
        <f>'Imports 2016-17'!L157</f>
        <v>43.8</v>
      </c>
      <c r="BC98" s="354">
        <f>'Imports 2016-17'!M157</f>
        <v>38.04</v>
      </c>
      <c r="BD98" s="363">
        <f>'Imports 2016-17'!N157</f>
        <v>2225.4100000000003</v>
      </c>
      <c r="BF98" s="354">
        <f>'Imports 2016-17'!S157/10^5</f>
        <v>0</v>
      </c>
      <c r="BG98" s="354">
        <f>'Imports 2016-17'!T157/10^5</f>
        <v>0</v>
      </c>
      <c r="BH98" s="354">
        <f>'Imports 2016-17'!U157/10^5</f>
        <v>0</v>
      </c>
      <c r="BI98" s="354">
        <f>'Imports 2016-17'!V157/10^5</f>
        <v>787.0307853999999</v>
      </c>
      <c r="BJ98" s="354">
        <f>'Imports 2016-17'!W157/10^5</f>
        <v>2066.1572103000003</v>
      </c>
      <c r="BK98" s="354">
        <f>'Imports 2016-17'!X157/10^5</f>
        <v>108.91637560000001</v>
      </c>
      <c r="BL98" s="354">
        <f>'Imports 2016-17'!Y157/10^5</f>
        <v>0</v>
      </c>
      <c r="BM98" s="354">
        <f>'Imports 2016-17'!Z157/10^5</f>
        <v>26.188896</v>
      </c>
      <c r="BN98" s="354">
        <f>'Imports 2016-17'!AA157/10^5</f>
        <v>35.652506599999995</v>
      </c>
      <c r="BO98" s="354">
        <f>'Imports 2016-17'!AB157/10^5</f>
        <v>31.105636099999998</v>
      </c>
      <c r="BP98" s="363">
        <f>'Imports 2016-17'!AC157/10^5</f>
        <v>3055.0514100000014</v>
      </c>
      <c r="BR98" s="354"/>
      <c r="BS98" s="354"/>
      <c r="BT98" s="354"/>
      <c r="BU98" s="354">
        <v>569.61</v>
      </c>
      <c r="BV98" s="354"/>
      <c r="BW98" s="354"/>
      <c r="BX98" s="354"/>
      <c r="BY98" s="354">
        <v>559.94900000000007</v>
      </c>
      <c r="BZ98" s="354">
        <v>888.35500000000002</v>
      </c>
      <c r="CA98" s="354">
        <v>46.550000000000004</v>
      </c>
      <c r="CB98" s="363">
        <f t="shared" si="12"/>
        <v>2064.4640000000004</v>
      </c>
      <c r="CD98" s="354">
        <v>0</v>
      </c>
      <c r="CE98" s="354"/>
      <c r="CF98" s="354">
        <v>0</v>
      </c>
      <c r="CG98" s="354">
        <v>688.43690770000012</v>
      </c>
      <c r="CH98" s="354">
        <v>0</v>
      </c>
      <c r="CI98" s="354">
        <v>0</v>
      </c>
      <c r="CJ98" s="354"/>
      <c r="CK98" s="354">
        <v>515.19711860000007</v>
      </c>
      <c r="CL98" s="354">
        <v>795.81956469999989</v>
      </c>
      <c r="CM98" s="354">
        <v>44.756942699999996</v>
      </c>
      <c r="CN98" s="363">
        <f t="shared" si="13"/>
        <v>2044.2105337</v>
      </c>
    </row>
    <row r="99" spans="1:92">
      <c r="A99" s="353">
        <v>42675</v>
      </c>
      <c r="B99" s="397">
        <v>0</v>
      </c>
      <c r="C99" s="397">
        <v>0</v>
      </c>
      <c r="D99" s="397">
        <v>0</v>
      </c>
      <c r="E99" s="397">
        <v>0</v>
      </c>
      <c r="F99" s="397">
        <v>0</v>
      </c>
      <c r="G99" s="399"/>
      <c r="H99" s="401">
        <v>0.12</v>
      </c>
      <c r="I99" s="15"/>
      <c r="J99" s="354">
        <f>' VVF Sales - PUC &amp; Non PUC'!$CV$50</f>
        <v>0</v>
      </c>
      <c r="K99" s="354">
        <f>' VVF Sales - PUC &amp; Non PUC'!$CV$51</f>
        <v>1956.2900000000004</v>
      </c>
      <c r="L99" s="354">
        <f>' VVF Sales - PUC &amp; Non PUC'!$CV$52</f>
        <v>0</v>
      </c>
      <c r="M99" s="354">
        <f>' VVF Sales - PUC &amp; Non PUC'!$CV$53</f>
        <v>39.26</v>
      </c>
      <c r="N99" s="354">
        <f>' VVF Sales - PUC &amp; Non PUC'!$CV$54</f>
        <v>25.4</v>
      </c>
      <c r="O99" s="354">
        <f>' VVF Sales - PUC &amp; Non PUC'!$CV$55</f>
        <v>406.82499999999999</v>
      </c>
      <c r="P99" s="354">
        <f>' VVF Sales - PUC &amp; Non PUC'!$CV$56</f>
        <v>22.4</v>
      </c>
      <c r="Q99" s="363">
        <f t="shared" si="14"/>
        <v>2450.1750000000006</v>
      </c>
      <c r="S99" s="354">
        <f>' VVF Sales - PUC &amp; Non PUC'!$CW$50</f>
        <v>0</v>
      </c>
      <c r="T99" s="354">
        <f>' VVF Sales - PUC &amp; Non PUC'!$CW$51</f>
        <v>2897.9849834000001</v>
      </c>
      <c r="U99" s="354">
        <f>' VVF Sales - PUC &amp; Non PUC'!$CW$52</f>
        <v>0</v>
      </c>
      <c r="V99" s="354">
        <f>' VVF Sales - PUC &amp; Non PUC'!$CW$53</f>
        <v>63.44455</v>
      </c>
      <c r="W99" s="354">
        <f>' VVF Sales - PUC &amp; Non PUC'!$CW$54</f>
        <v>25.06427</v>
      </c>
      <c r="X99" s="354">
        <f>' VVF Sales - PUC &amp; Non PUC'!$CW$55</f>
        <v>381.86419000000001</v>
      </c>
      <c r="Y99" s="354">
        <f>' VVF Sales - PUC &amp; Non PUC'!$CW$56</f>
        <v>21.913150000000002</v>
      </c>
      <c r="Z99" s="363">
        <f t="shared" si="16"/>
        <v>3390.2711433999998</v>
      </c>
      <c r="AB99" s="356">
        <f>' VVF Sales - PUC &amp; Non PUC'!$CX$50</f>
        <v>0</v>
      </c>
      <c r="AC99" s="356">
        <f>' VVF Sales - PUC &amp; Non PUC'!$CX$51</f>
        <v>0</v>
      </c>
      <c r="AD99" s="356">
        <f>' VVF Sales - PUC &amp; Non PUC'!$CX$52</f>
        <v>0</v>
      </c>
      <c r="AE99" s="356">
        <f>' VVF Sales - PUC &amp; Non PUC'!$CX$53</f>
        <v>0</v>
      </c>
      <c r="AF99" s="356">
        <f>' VVF Sales - PUC &amp; Non PUC'!$CX$54</f>
        <v>0</v>
      </c>
      <c r="AG99" s="356">
        <f>' VVF Sales - PUC &amp; Non PUC'!$CX$55</f>
        <v>10</v>
      </c>
      <c r="AH99" s="356">
        <f>' VVF Sales - PUC &amp; Non PUC'!$CX$56</f>
        <v>0</v>
      </c>
      <c r="AI99" s="367">
        <f t="shared" si="15"/>
        <v>10</v>
      </c>
      <c r="AK99" s="356">
        <f>' VVF Sales - PUC &amp; Non PUC'!$CY$50</f>
        <v>0</v>
      </c>
      <c r="AL99" s="356">
        <f>' VVF Sales - PUC &amp; Non PUC'!$CY$51</f>
        <v>0</v>
      </c>
      <c r="AM99" s="356">
        <f>' VVF Sales - PUC &amp; Non PUC'!$CY$52</f>
        <v>0</v>
      </c>
      <c r="AN99" s="356">
        <f>' VVF Sales - PUC &amp; Non PUC'!$CY$53</f>
        <v>0</v>
      </c>
      <c r="AO99" s="356">
        <f>' VVF Sales - PUC &amp; Non PUC'!$CY$54</f>
        <v>0</v>
      </c>
      <c r="AP99" s="356">
        <f>' VVF Sales - PUC &amp; Non PUC'!$CY$55</f>
        <v>9.75</v>
      </c>
      <c r="AQ99" s="356">
        <f>' VVF Sales - PUC &amp; Non PUC'!$CY$56</f>
        <v>0</v>
      </c>
      <c r="AR99" s="367">
        <f t="shared" si="17"/>
        <v>9.75</v>
      </c>
      <c r="AT99" s="354">
        <f>'Imports 2016-17'!D158</f>
        <v>0</v>
      </c>
      <c r="AU99" s="354">
        <f>'Imports 2016-17'!E158</f>
        <v>0</v>
      </c>
      <c r="AV99" s="354">
        <f>'Imports 2016-17'!F158</f>
        <v>0</v>
      </c>
      <c r="AW99" s="354">
        <f>'Imports 2016-17'!G158</f>
        <v>857.87999999999988</v>
      </c>
      <c r="AX99" s="354">
        <f>'Imports 2016-17'!H158</f>
        <v>1404.77</v>
      </c>
      <c r="AY99" s="354">
        <f>'Imports 2016-17'!I158</f>
        <v>118.89</v>
      </c>
      <c r="AZ99" s="354">
        <f>'Imports 2016-17'!J158</f>
        <v>0</v>
      </c>
      <c r="BA99" s="354">
        <f>'Imports 2016-17'!K158</f>
        <v>34</v>
      </c>
      <c r="BB99" s="354">
        <f>'Imports 2016-17'!L158</f>
        <v>0</v>
      </c>
      <c r="BC99" s="354">
        <f>'Imports 2016-17'!M158</f>
        <v>0</v>
      </c>
      <c r="BD99" s="363">
        <f>'Imports 2016-17'!N158</f>
        <v>2415.5399999999995</v>
      </c>
      <c r="BF99" s="354">
        <f>'Imports 2016-17'!S158/10^5</f>
        <v>0</v>
      </c>
      <c r="BG99" s="354">
        <f>'Imports 2016-17'!T158/10^5</f>
        <v>0</v>
      </c>
      <c r="BH99" s="354">
        <f>'Imports 2016-17'!U158/10^5</f>
        <v>0</v>
      </c>
      <c r="BI99" s="354">
        <f>'Imports 2016-17'!V158/10^5</f>
        <v>1212.4646928999998</v>
      </c>
      <c r="BJ99" s="354">
        <f>'Imports 2016-17'!W158/10^5</f>
        <v>2139.8395424999999</v>
      </c>
      <c r="BK99" s="354">
        <f>'Imports 2016-17'!X158/10^5</f>
        <v>169.52804920000003</v>
      </c>
      <c r="BL99" s="354">
        <f>'Imports 2016-17'!Y158/10^5</f>
        <v>0</v>
      </c>
      <c r="BM99" s="354">
        <f>'Imports 2016-17'!Z158/10^5</f>
        <v>29.9786261</v>
      </c>
      <c r="BN99" s="354">
        <f>'Imports 2016-17'!AA158/10^5</f>
        <v>0</v>
      </c>
      <c r="BO99" s="354">
        <f>'Imports 2016-17'!AB158/10^5</f>
        <v>0</v>
      </c>
      <c r="BP99" s="363">
        <f>'Imports 2016-17'!AC158/10^5</f>
        <v>3551.8109107</v>
      </c>
      <c r="BR99" s="354"/>
      <c r="BS99" s="354"/>
      <c r="BT99" s="354"/>
      <c r="BU99" s="354">
        <v>224.8</v>
      </c>
      <c r="BV99" s="354"/>
      <c r="BW99" s="354"/>
      <c r="BX99" s="354"/>
      <c r="BY99" s="354">
        <v>251.53299999999996</v>
      </c>
      <c r="BZ99" s="354">
        <v>931.01400000000001</v>
      </c>
      <c r="CA99" s="354">
        <v>361.32899999999995</v>
      </c>
      <c r="CB99" s="363">
        <f t="shared" si="12"/>
        <v>1768.6759999999999</v>
      </c>
      <c r="CD99" s="354">
        <v>0</v>
      </c>
      <c r="CE99" s="354"/>
      <c r="CF99" s="354">
        <v>0</v>
      </c>
      <c r="CG99" s="354">
        <v>318.56300000000005</v>
      </c>
      <c r="CH99" s="354">
        <v>0</v>
      </c>
      <c r="CI99" s="354">
        <v>0</v>
      </c>
      <c r="CJ99" s="354"/>
      <c r="CK99" s="354">
        <v>234.45641430000001</v>
      </c>
      <c r="CL99" s="354">
        <v>834.63540169999976</v>
      </c>
      <c r="CM99" s="354">
        <v>202.29454239999998</v>
      </c>
      <c r="CN99" s="363">
        <f t="shared" si="13"/>
        <v>1589.9493583999997</v>
      </c>
    </row>
    <row r="100" spans="1:92">
      <c r="A100" s="353">
        <v>42705</v>
      </c>
      <c r="B100" s="397"/>
      <c r="C100" s="397"/>
      <c r="D100" s="397"/>
      <c r="E100" s="397"/>
      <c r="F100" s="397"/>
      <c r="G100" s="399"/>
      <c r="H100" s="401">
        <v>0.12</v>
      </c>
      <c r="I100" s="15"/>
      <c r="J100" s="354">
        <f>' VVF Sales - PUC &amp; Non PUC'!$DJ$50</f>
        <v>0</v>
      </c>
      <c r="K100" s="354">
        <f>' VVF Sales - PUC &amp; Non PUC'!$DJ$51</f>
        <v>1676.6500000000005</v>
      </c>
      <c r="L100" s="354">
        <f>' VVF Sales - PUC &amp; Non PUC'!$DJ$52</f>
        <v>15.9</v>
      </c>
      <c r="M100" s="354">
        <f>' VVF Sales - PUC &amp; Non PUC'!$DJ$53</f>
        <v>60.53</v>
      </c>
      <c r="N100" s="354">
        <f>' VVF Sales - PUC &amp; Non PUC'!$DJ$54</f>
        <v>45.975000000000001</v>
      </c>
      <c r="O100" s="354">
        <f>' VVF Sales - PUC &amp; Non PUC'!$DJ$55</f>
        <v>423.22500000000002</v>
      </c>
      <c r="P100" s="354">
        <f>' VVF Sales - PUC &amp; Non PUC'!$DJ$56</f>
        <v>32.924999999999997</v>
      </c>
      <c r="Q100" s="363">
        <f t="shared" si="14"/>
        <v>2255.2050000000008</v>
      </c>
      <c r="S100" s="354">
        <f>' VVF Sales - PUC &amp; Non PUC'!$DK$50</f>
        <v>0</v>
      </c>
      <c r="T100" s="354">
        <f>' VVF Sales - PUC &amp; Non PUC'!$DK$51</f>
        <v>2636.2364397999995</v>
      </c>
      <c r="U100" s="354">
        <f>' VVF Sales - PUC &amp; Non PUC'!$DK$52</f>
        <v>28.62</v>
      </c>
      <c r="V100" s="354">
        <f>' VVF Sales - PUC &amp; Non PUC'!$DK$53</f>
        <v>100.374425</v>
      </c>
      <c r="W100" s="354">
        <f>' VVF Sales - PUC &amp; Non PUC'!$DK$54</f>
        <v>46.407705</v>
      </c>
      <c r="X100" s="354">
        <f>' VVF Sales - PUC &amp; Non PUC'!$DK$55</f>
        <v>404.67129749999998</v>
      </c>
      <c r="Y100" s="354">
        <f>' VVF Sales - PUC &amp; Non PUC'!$DK$56</f>
        <v>32.259822499999999</v>
      </c>
      <c r="Z100" s="363">
        <f t="shared" si="16"/>
        <v>3248.5696897999997</v>
      </c>
      <c r="AB100" s="356">
        <f>' VVF Sales - PUC &amp; Non PUC'!$DL$50</f>
        <v>0</v>
      </c>
      <c r="AC100" s="356">
        <f>' VVF Sales - PUC &amp; Non PUC'!$DL$51</f>
        <v>0</v>
      </c>
      <c r="AD100" s="356">
        <f>' VVF Sales - PUC &amp; Non PUC'!$DL$52</f>
        <v>0</v>
      </c>
      <c r="AE100" s="356">
        <f>' VVF Sales - PUC &amp; Non PUC'!$DL$53</f>
        <v>0</v>
      </c>
      <c r="AF100" s="356">
        <f>' VVF Sales - PUC &amp; Non PUC'!$DL$54</f>
        <v>0</v>
      </c>
      <c r="AG100" s="356">
        <f>' VVF Sales - PUC &amp; Non PUC'!$DL$55</f>
        <v>16.7</v>
      </c>
      <c r="AH100" s="356">
        <f>' VVF Sales - PUC &amp; Non PUC'!$DL$56</f>
        <v>0</v>
      </c>
      <c r="AI100" s="367">
        <f t="shared" si="15"/>
        <v>16.7</v>
      </c>
      <c r="AK100" s="356">
        <f>' VVF Sales - PUC &amp; Non PUC'!$DM$50</f>
        <v>0</v>
      </c>
      <c r="AL100" s="356">
        <f>' VVF Sales - PUC &amp; Non PUC'!$DM$51</f>
        <v>0</v>
      </c>
      <c r="AM100" s="356">
        <f>' VVF Sales - PUC &amp; Non PUC'!$DM$52</f>
        <v>0</v>
      </c>
      <c r="AN100" s="356">
        <f>' VVF Sales - PUC &amp; Non PUC'!$DM$53</f>
        <v>0</v>
      </c>
      <c r="AO100" s="356">
        <f>' VVF Sales - PUC &amp; Non PUC'!$DM$54</f>
        <v>0</v>
      </c>
      <c r="AP100" s="356">
        <f>' VVF Sales - PUC &amp; Non PUC'!$DM$55</f>
        <v>16.282499999999999</v>
      </c>
      <c r="AQ100" s="356">
        <f>' VVF Sales - PUC &amp; Non PUC'!$DM$56</f>
        <v>0</v>
      </c>
      <c r="AR100" s="367">
        <f t="shared" si="17"/>
        <v>16.282499999999999</v>
      </c>
      <c r="AT100" s="354">
        <f>'Imports 2016-17'!D159</f>
        <v>0</v>
      </c>
      <c r="AU100" s="354">
        <f>'Imports 2016-17'!E159</f>
        <v>0</v>
      </c>
      <c r="AV100" s="354">
        <f>'Imports 2016-17'!F159</f>
        <v>0</v>
      </c>
      <c r="AW100" s="354">
        <f>'Imports 2016-17'!G159</f>
        <v>0</v>
      </c>
      <c r="AX100" s="354">
        <f>'Imports 2016-17'!H159</f>
        <v>0</v>
      </c>
      <c r="AY100" s="354">
        <f>'Imports 2016-17'!I159</f>
        <v>0</v>
      </c>
      <c r="AZ100" s="354">
        <f>'Imports 2016-17'!J159</f>
        <v>0</v>
      </c>
      <c r="BA100" s="354">
        <f>'Imports 2016-17'!K159</f>
        <v>0</v>
      </c>
      <c r="BB100" s="354">
        <f>'Imports 2016-17'!L159</f>
        <v>0</v>
      </c>
      <c r="BC100" s="354">
        <f>'Imports 2016-17'!M159</f>
        <v>0</v>
      </c>
      <c r="BD100" s="363">
        <f>'Imports 2016-17'!N159</f>
        <v>0</v>
      </c>
      <c r="BF100" s="354">
        <f>'Imports 2016-17'!S159/10^5</f>
        <v>0</v>
      </c>
      <c r="BG100" s="354">
        <f>'Imports 2016-17'!T159/10^5</f>
        <v>0</v>
      </c>
      <c r="BH100" s="354">
        <f>'Imports 2016-17'!U159/10^5</f>
        <v>0</v>
      </c>
      <c r="BI100" s="354">
        <f>'Imports 2016-17'!V159/10^5</f>
        <v>0</v>
      </c>
      <c r="BJ100" s="354">
        <f>'Imports 2016-17'!W159/10^5</f>
        <v>0</v>
      </c>
      <c r="BK100" s="354">
        <f>'Imports 2016-17'!X159/10^5</f>
        <v>0</v>
      </c>
      <c r="BL100" s="354">
        <f>'Imports 2016-17'!Y159/10^5</f>
        <v>0</v>
      </c>
      <c r="BM100" s="354">
        <f>'Imports 2016-17'!Z159/10^5</f>
        <v>0</v>
      </c>
      <c r="BN100" s="354">
        <f>'Imports 2016-17'!AA159/10^5</f>
        <v>0</v>
      </c>
      <c r="BO100" s="354">
        <f>'Imports 2016-17'!AB159/10^5</f>
        <v>0</v>
      </c>
      <c r="BP100" s="363">
        <f>'Imports 2016-17'!AC159/10^5</f>
        <v>0</v>
      </c>
      <c r="BR100" s="354"/>
      <c r="BS100" s="354"/>
      <c r="BT100" s="354"/>
      <c r="BU100" s="354"/>
      <c r="BV100" s="354"/>
      <c r="BW100" s="354"/>
      <c r="BX100" s="354"/>
      <c r="BY100" s="354"/>
      <c r="BZ100" s="354"/>
      <c r="CA100" s="354"/>
      <c r="CB100" s="363">
        <f t="shared" si="12"/>
        <v>0</v>
      </c>
      <c r="CD100" s="354"/>
      <c r="CE100" s="354"/>
      <c r="CF100" s="354"/>
      <c r="CG100" s="354"/>
      <c r="CH100" s="354"/>
      <c r="CI100" s="354"/>
      <c r="CJ100" s="354"/>
      <c r="CK100" s="354"/>
      <c r="CL100" s="354"/>
      <c r="CM100" s="354"/>
      <c r="CN100" s="363">
        <f t="shared" si="13"/>
        <v>0</v>
      </c>
    </row>
    <row r="101" spans="1:92">
      <c r="A101" s="353">
        <v>42736</v>
      </c>
      <c r="B101" s="397"/>
      <c r="C101" s="397"/>
      <c r="D101" s="397"/>
      <c r="E101" s="397"/>
      <c r="F101" s="397"/>
      <c r="G101" s="399"/>
      <c r="H101" s="401">
        <v>0.12</v>
      </c>
      <c r="I101" s="15"/>
      <c r="J101" s="354">
        <f>' VVF Sales - PUC &amp; Non PUC'!$DX$50</f>
        <v>0</v>
      </c>
      <c r="K101" s="354">
        <f>' VVF Sales - PUC &amp; Non PUC'!$DX$51</f>
        <v>0</v>
      </c>
      <c r="L101" s="354">
        <f>' VVF Sales - PUC &amp; Non PUC'!$DX$52</f>
        <v>0</v>
      </c>
      <c r="M101" s="354">
        <f>' VVF Sales - PUC &amp; Non PUC'!$DX$53</f>
        <v>0</v>
      </c>
      <c r="N101" s="354">
        <f>' VVF Sales - PUC &amp; Non PUC'!$DX$54</f>
        <v>0</v>
      </c>
      <c r="O101" s="354">
        <f>' VVF Sales - PUC &amp; Non PUC'!$DX$55</f>
        <v>0</v>
      </c>
      <c r="P101" s="354">
        <f>' VVF Sales - PUC &amp; Non PUC'!$DX$56</f>
        <v>0</v>
      </c>
      <c r="Q101" s="363">
        <f t="shared" si="14"/>
        <v>0</v>
      </c>
      <c r="S101" s="354">
        <f>' VVF Sales - PUC &amp; Non PUC'!$DY$50</f>
        <v>0</v>
      </c>
      <c r="T101" s="354">
        <f>' VVF Sales - PUC &amp; Non PUC'!$DY$51</f>
        <v>0</v>
      </c>
      <c r="U101" s="354">
        <f>' VVF Sales - PUC &amp; Non PUC'!$DY$52</f>
        <v>0</v>
      </c>
      <c r="V101" s="354">
        <f>' VVF Sales - PUC &amp; Non PUC'!$DY$53</f>
        <v>0</v>
      </c>
      <c r="W101" s="354">
        <f>' VVF Sales - PUC &amp; Non PUC'!$DY$54</f>
        <v>0</v>
      </c>
      <c r="X101" s="354">
        <f>' VVF Sales - PUC &amp; Non PUC'!$DY$55</f>
        <v>0</v>
      </c>
      <c r="Y101" s="354">
        <f>' VVF Sales - PUC &amp; Non PUC'!$DY$56</f>
        <v>0</v>
      </c>
      <c r="Z101" s="363">
        <f t="shared" si="16"/>
        <v>0</v>
      </c>
      <c r="AB101" s="356">
        <f>' VVF Sales - PUC &amp; Non PUC'!$DZ$50</f>
        <v>0</v>
      </c>
      <c r="AC101" s="356">
        <f>' VVF Sales - PUC &amp; Non PUC'!$DZ$51</f>
        <v>0</v>
      </c>
      <c r="AD101" s="356">
        <f>' VVF Sales - PUC &amp; Non PUC'!$DZ$52</f>
        <v>0</v>
      </c>
      <c r="AE101" s="356">
        <f>' VVF Sales - PUC &amp; Non PUC'!$DZ$53</f>
        <v>0</v>
      </c>
      <c r="AF101" s="356">
        <f>' VVF Sales - PUC &amp; Non PUC'!$DZ$54</f>
        <v>0</v>
      </c>
      <c r="AG101" s="356">
        <f>' VVF Sales - PUC &amp; Non PUC'!$DZ$55</f>
        <v>0</v>
      </c>
      <c r="AH101" s="356">
        <f>' VVF Sales - PUC &amp; Non PUC'!$DZ$56</f>
        <v>0</v>
      </c>
      <c r="AI101" s="367">
        <f t="shared" si="15"/>
        <v>0</v>
      </c>
      <c r="AK101" s="356">
        <f>' VVF Sales - PUC &amp; Non PUC'!$EA$50</f>
        <v>0</v>
      </c>
      <c r="AL101" s="356">
        <f>' VVF Sales - PUC &amp; Non PUC'!$EA$51</f>
        <v>0</v>
      </c>
      <c r="AM101" s="356">
        <f>' VVF Sales - PUC &amp; Non PUC'!$EA$52</f>
        <v>0</v>
      </c>
      <c r="AN101" s="356">
        <f>' VVF Sales - PUC &amp; Non PUC'!$EA$53</f>
        <v>0</v>
      </c>
      <c r="AO101" s="356">
        <f>' VVF Sales - PUC &amp; Non PUC'!$EA$54</f>
        <v>0</v>
      </c>
      <c r="AP101" s="356">
        <f>' VVF Sales - PUC &amp; Non PUC'!$EA$55</f>
        <v>0</v>
      </c>
      <c r="AQ101" s="356">
        <f>' VVF Sales - PUC &amp; Non PUC'!$EA$56</f>
        <v>0</v>
      </c>
      <c r="AR101" s="367">
        <f t="shared" si="17"/>
        <v>0</v>
      </c>
      <c r="AT101" s="354">
        <f>'Imports 2016-17'!D160</f>
        <v>0</v>
      </c>
      <c r="AU101" s="354">
        <f>'Imports 2016-17'!E160</f>
        <v>0</v>
      </c>
      <c r="AV101" s="354">
        <f>'Imports 2016-17'!F160</f>
        <v>0</v>
      </c>
      <c r="AW101" s="354">
        <f>'Imports 2016-17'!G160</f>
        <v>0</v>
      </c>
      <c r="AX101" s="354">
        <f>'Imports 2016-17'!H160</f>
        <v>0</v>
      </c>
      <c r="AY101" s="354">
        <f>'Imports 2016-17'!I160</f>
        <v>0</v>
      </c>
      <c r="AZ101" s="354">
        <f>'Imports 2016-17'!J160</f>
        <v>0</v>
      </c>
      <c r="BA101" s="354">
        <f>'Imports 2016-17'!K160</f>
        <v>0</v>
      </c>
      <c r="BB101" s="354">
        <f>'Imports 2016-17'!L160</f>
        <v>0</v>
      </c>
      <c r="BC101" s="354">
        <f>'Imports 2016-17'!M160</f>
        <v>0</v>
      </c>
      <c r="BD101" s="363">
        <f>'Imports 2016-17'!N160</f>
        <v>0</v>
      </c>
      <c r="BF101" s="354">
        <f>'Imports 2016-17'!S160/10^5</f>
        <v>0</v>
      </c>
      <c r="BG101" s="354">
        <f>'Imports 2016-17'!T160/10^5</f>
        <v>0</v>
      </c>
      <c r="BH101" s="354">
        <f>'Imports 2016-17'!U160/10^5</f>
        <v>0</v>
      </c>
      <c r="BI101" s="354">
        <f>'Imports 2016-17'!V160/10^5</f>
        <v>0</v>
      </c>
      <c r="BJ101" s="354">
        <f>'Imports 2016-17'!W160/10^5</f>
        <v>0</v>
      </c>
      <c r="BK101" s="354">
        <f>'Imports 2016-17'!X160/10^5</f>
        <v>0</v>
      </c>
      <c r="BL101" s="354">
        <f>'Imports 2016-17'!Y160/10^5</f>
        <v>0</v>
      </c>
      <c r="BM101" s="354">
        <f>'Imports 2016-17'!Z160/10^5</f>
        <v>0</v>
      </c>
      <c r="BN101" s="354">
        <f>'Imports 2016-17'!AA160/10^5</f>
        <v>0</v>
      </c>
      <c r="BO101" s="354">
        <f>'Imports 2016-17'!AB160/10^5</f>
        <v>0</v>
      </c>
      <c r="BP101" s="363">
        <f>'Imports 2016-17'!AC160/10^5</f>
        <v>0</v>
      </c>
      <c r="BR101" s="354"/>
      <c r="BS101" s="354"/>
      <c r="BT101" s="354"/>
      <c r="BU101" s="354"/>
      <c r="BV101" s="354"/>
      <c r="BW101" s="354"/>
      <c r="BX101" s="354"/>
      <c r="BY101" s="354"/>
      <c r="BZ101" s="354"/>
      <c r="CA101" s="354"/>
      <c r="CB101" s="363">
        <f t="shared" si="12"/>
        <v>0</v>
      </c>
      <c r="CD101" s="354"/>
      <c r="CE101" s="354"/>
      <c r="CF101" s="354"/>
      <c r="CG101" s="354"/>
      <c r="CH101" s="354"/>
      <c r="CI101" s="354"/>
      <c r="CJ101" s="354"/>
      <c r="CK101" s="354"/>
      <c r="CL101" s="354"/>
      <c r="CM101" s="354"/>
      <c r="CN101" s="363">
        <f t="shared" si="13"/>
        <v>0</v>
      </c>
    </row>
    <row r="102" spans="1:92">
      <c r="A102" s="353">
        <v>42767</v>
      </c>
      <c r="B102" s="397"/>
      <c r="C102" s="397"/>
      <c r="D102" s="397"/>
      <c r="E102" s="397"/>
      <c r="F102" s="397"/>
      <c r="G102" s="399"/>
      <c r="H102" s="401">
        <v>0</v>
      </c>
      <c r="I102" s="15"/>
      <c r="J102" s="354">
        <f>' VVF Sales - PUC &amp; Non PUC'!$EL$50</f>
        <v>0</v>
      </c>
      <c r="K102" s="354">
        <f>' VVF Sales - PUC &amp; Non PUC'!$EL$51</f>
        <v>0</v>
      </c>
      <c r="L102" s="354">
        <f>' VVF Sales - PUC &amp; Non PUC'!$EL$52</f>
        <v>0</v>
      </c>
      <c r="M102" s="354">
        <f>' VVF Sales - PUC &amp; Non PUC'!$EL$53</f>
        <v>0</v>
      </c>
      <c r="N102" s="354">
        <f>' VVF Sales - PUC &amp; Non PUC'!$EL$54</f>
        <v>0</v>
      </c>
      <c r="O102" s="354">
        <f>' VVF Sales - PUC &amp; Non PUC'!$EL$55</f>
        <v>0</v>
      </c>
      <c r="P102" s="354">
        <f>' VVF Sales - PUC &amp; Non PUC'!$EL$56</f>
        <v>0</v>
      </c>
      <c r="Q102" s="363">
        <f t="shared" si="14"/>
        <v>0</v>
      </c>
      <c r="S102" s="354">
        <f>' VVF Sales - PUC &amp; Non PUC'!$EM$50</f>
        <v>0</v>
      </c>
      <c r="T102" s="354">
        <f>' VVF Sales - PUC &amp; Non PUC'!$EM$51</f>
        <v>0</v>
      </c>
      <c r="U102" s="354">
        <f>' VVF Sales - PUC &amp; Non PUC'!$EM$52</f>
        <v>0</v>
      </c>
      <c r="V102" s="354">
        <f>' VVF Sales - PUC &amp; Non PUC'!$EM$53</f>
        <v>0</v>
      </c>
      <c r="W102" s="354">
        <f>' VVF Sales - PUC &amp; Non PUC'!$EM$54</f>
        <v>0</v>
      </c>
      <c r="X102" s="354">
        <f>' VVF Sales - PUC &amp; Non PUC'!$EM$55</f>
        <v>0</v>
      </c>
      <c r="Y102" s="354">
        <f>' VVF Sales - PUC &amp; Non PUC'!$EM$56</f>
        <v>0</v>
      </c>
      <c r="Z102" s="363">
        <f t="shared" si="16"/>
        <v>0</v>
      </c>
      <c r="AB102" s="356">
        <f>' VVF Sales - PUC &amp; Non PUC'!$EN$50</f>
        <v>0</v>
      </c>
      <c r="AC102" s="356">
        <f>' VVF Sales - PUC &amp; Non PUC'!$EN$51</f>
        <v>0</v>
      </c>
      <c r="AD102" s="356">
        <f>' VVF Sales - PUC &amp; Non PUC'!$EN$52</f>
        <v>0</v>
      </c>
      <c r="AE102" s="356">
        <f>' VVF Sales - PUC &amp; Non PUC'!$EN$53</f>
        <v>0</v>
      </c>
      <c r="AF102" s="356">
        <f>' VVF Sales - PUC &amp; Non PUC'!$EN$54</f>
        <v>0</v>
      </c>
      <c r="AG102" s="356">
        <f>' VVF Sales - PUC &amp; Non PUC'!$EN$55</f>
        <v>0</v>
      </c>
      <c r="AH102" s="356">
        <f>' VVF Sales - PUC &amp; Non PUC'!$EN$56</f>
        <v>0</v>
      </c>
      <c r="AI102" s="367">
        <f t="shared" si="15"/>
        <v>0</v>
      </c>
      <c r="AK102" s="356">
        <f>' VVF Sales - PUC &amp; Non PUC'!$EO$50</f>
        <v>0</v>
      </c>
      <c r="AL102" s="356">
        <f>' VVF Sales - PUC &amp; Non PUC'!$EO$51</f>
        <v>0</v>
      </c>
      <c r="AM102" s="356">
        <f>' VVF Sales - PUC &amp; Non PUC'!$EO$52</f>
        <v>0</v>
      </c>
      <c r="AN102" s="356">
        <f>' VVF Sales - PUC &amp; Non PUC'!$EO$53</f>
        <v>0</v>
      </c>
      <c r="AO102" s="356">
        <f>' VVF Sales - PUC &amp; Non PUC'!$EO$54</f>
        <v>0</v>
      </c>
      <c r="AP102" s="356">
        <f>' VVF Sales - PUC &amp; Non PUC'!$EO$55</f>
        <v>0</v>
      </c>
      <c r="AQ102" s="356">
        <f>' VVF Sales - PUC &amp; Non PUC'!$EO$56</f>
        <v>0</v>
      </c>
      <c r="AR102" s="367">
        <f t="shared" si="17"/>
        <v>0</v>
      </c>
      <c r="AT102" s="354">
        <f>'Imports 2016-17'!D161</f>
        <v>0</v>
      </c>
      <c r="AU102" s="354">
        <f>'Imports 2016-17'!E161</f>
        <v>0</v>
      </c>
      <c r="AV102" s="354">
        <f>'Imports 2016-17'!F161</f>
        <v>0</v>
      </c>
      <c r="AW102" s="354">
        <f>'Imports 2016-17'!G161</f>
        <v>0</v>
      </c>
      <c r="AX102" s="354">
        <f>'Imports 2016-17'!H161</f>
        <v>0</v>
      </c>
      <c r="AY102" s="354">
        <f>'Imports 2016-17'!I161</f>
        <v>0</v>
      </c>
      <c r="AZ102" s="354">
        <f>'Imports 2016-17'!J161</f>
        <v>0</v>
      </c>
      <c r="BA102" s="354">
        <f>'Imports 2016-17'!K161</f>
        <v>0</v>
      </c>
      <c r="BB102" s="354">
        <f>'Imports 2016-17'!L161</f>
        <v>0</v>
      </c>
      <c r="BC102" s="354">
        <f>'Imports 2016-17'!M161</f>
        <v>0</v>
      </c>
      <c r="BD102" s="363">
        <f>'Imports 2016-17'!N161</f>
        <v>0</v>
      </c>
      <c r="BF102" s="354">
        <f>'Imports 2016-17'!S161/10^5</f>
        <v>0</v>
      </c>
      <c r="BG102" s="354">
        <f>'Imports 2016-17'!T161/10^5</f>
        <v>0</v>
      </c>
      <c r="BH102" s="354">
        <f>'Imports 2016-17'!U161/10^5</f>
        <v>0</v>
      </c>
      <c r="BI102" s="354">
        <f>'Imports 2016-17'!V161/10^5</f>
        <v>0</v>
      </c>
      <c r="BJ102" s="354">
        <f>'Imports 2016-17'!W161/10^5</f>
        <v>0</v>
      </c>
      <c r="BK102" s="354">
        <f>'Imports 2016-17'!X161/10^5</f>
        <v>0</v>
      </c>
      <c r="BL102" s="354">
        <f>'Imports 2016-17'!Y161/10^5</f>
        <v>0</v>
      </c>
      <c r="BM102" s="354">
        <f>'Imports 2016-17'!Z161/10^5</f>
        <v>0</v>
      </c>
      <c r="BN102" s="354">
        <f>'Imports 2016-17'!AA161/10^5</f>
        <v>0</v>
      </c>
      <c r="BO102" s="354">
        <f>'Imports 2016-17'!AB161/10^5</f>
        <v>0</v>
      </c>
      <c r="BP102" s="363">
        <f>'Imports 2016-17'!AC161/10^5</f>
        <v>0</v>
      </c>
      <c r="BR102" s="354"/>
      <c r="BS102" s="354"/>
      <c r="BT102" s="354"/>
      <c r="BU102" s="354"/>
      <c r="BV102" s="354"/>
      <c r="BW102" s="354"/>
      <c r="BX102" s="354"/>
      <c r="BY102" s="354"/>
      <c r="BZ102" s="354"/>
      <c r="CA102" s="354"/>
      <c r="CB102" s="363">
        <f t="shared" si="12"/>
        <v>0</v>
      </c>
      <c r="CD102" s="354"/>
      <c r="CE102" s="354"/>
      <c r="CF102" s="354"/>
      <c r="CG102" s="354"/>
      <c r="CH102" s="354"/>
      <c r="CI102" s="354"/>
      <c r="CJ102" s="354"/>
      <c r="CK102" s="354"/>
      <c r="CL102" s="354"/>
      <c r="CM102" s="354"/>
      <c r="CN102" s="363">
        <f t="shared" si="13"/>
        <v>0</v>
      </c>
    </row>
    <row r="103" spans="1:92">
      <c r="A103" s="353">
        <v>42795</v>
      </c>
      <c r="B103" s="397"/>
      <c r="C103" s="397"/>
      <c r="D103" s="397"/>
      <c r="E103" s="397"/>
      <c r="F103" s="397"/>
      <c r="G103" s="399"/>
      <c r="H103" s="397"/>
      <c r="I103" s="15"/>
      <c r="J103" s="354">
        <f>' VVF Sales - PUC &amp; Non PUC'!$EZ$50</f>
        <v>0</v>
      </c>
      <c r="K103" s="354">
        <f>' VVF Sales - PUC &amp; Non PUC'!$EZ$51</f>
        <v>0</v>
      </c>
      <c r="L103" s="354">
        <f>' VVF Sales - PUC &amp; Non PUC'!$EZ$52</f>
        <v>0</v>
      </c>
      <c r="M103" s="354">
        <f>' VVF Sales - PUC &amp; Non PUC'!$EZ$53</f>
        <v>0</v>
      </c>
      <c r="N103" s="354">
        <f>' VVF Sales - PUC &amp; Non PUC'!$EZ$54</f>
        <v>0</v>
      </c>
      <c r="O103" s="354">
        <f>' VVF Sales - PUC &amp; Non PUC'!$EZ$55</f>
        <v>0</v>
      </c>
      <c r="P103" s="354">
        <f>' VVF Sales - PUC &amp; Non PUC'!$EZ$56</f>
        <v>0</v>
      </c>
      <c r="Q103" s="363">
        <f t="shared" si="14"/>
        <v>0</v>
      </c>
      <c r="R103" s="13">
        <f>SUM(Q92:Q103)</f>
        <v>26183.776000000002</v>
      </c>
      <c r="S103" s="354">
        <f>' VVF Sales - PUC &amp; Non PUC'!$FA$50</f>
        <v>0</v>
      </c>
      <c r="T103" s="354">
        <f>' VVF Sales - PUC &amp; Non PUC'!$FA$51</f>
        <v>0</v>
      </c>
      <c r="U103" s="354">
        <f>' VVF Sales - PUC &amp; Non PUC'!$FA$52</f>
        <v>0</v>
      </c>
      <c r="V103" s="354">
        <f>' VVF Sales - PUC &amp; Non PUC'!$FA$53</f>
        <v>0</v>
      </c>
      <c r="W103" s="354">
        <f>' VVF Sales - PUC &amp; Non PUC'!$FA$54</f>
        <v>0</v>
      </c>
      <c r="X103" s="354">
        <f>' VVF Sales - PUC &amp; Non PUC'!$FA$55</f>
        <v>0</v>
      </c>
      <c r="Y103" s="354">
        <f>' VVF Sales - PUC &amp; Non PUC'!$FA$56</f>
        <v>0</v>
      </c>
      <c r="Z103" s="363">
        <f t="shared" si="16"/>
        <v>0</v>
      </c>
      <c r="AA103" s="13">
        <f>SUM(Z92:Z103)</f>
        <v>32515.641424000001</v>
      </c>
      <c r="AB103" s="356">
        <f>' VVF Sales - PUC &amp; Non PUC'!$FB$50</f>
        <v>0</v>
      </c>
      <c r="AC103" s="356">
        <f>' VVF Sales - PUC &amp; Non PUC'!$FB$51</f>
        <v>0</v>
      </c>
      <c r="AD103" s="356">
        <f>' VVF Sales - PUC &amp; Non PUC'!$FB$52</f>
        <v>0</v>
      </c>
      <c r="AE103" s="356">
        <f>' VVF Sales - PUC &amp; Non PUC'!$FB$53</f>
        <v>0</v>
      </c>
      <c r="AF103" s="356">
        <f>' VVF Sales - PUC &amp; Non PUC'!$FB$54</f>
        <v>0</v>
      </c>
      <c r="AG103" s="356">
        <f>' VVF Sales - PUC &amp; Non PUC'!$FB$55</f>
        <v>0</v>
      </c>
      <c r="AH103" s="356">
        <f>' VVF Sales - PUC &amp; Non PUC'!$FB$56</f>
        <v>0</v>
      </c>
      <c r="AI103" s="367">
        <f t="shared" si="15"/>
        <v>0</v>
      </c>
      <c r="AJ103" s="13">
        <f>SUM(AI92:AI103)</f>
        <v>46.7</v>
      </c>
      <c r="AK103" s="356">
        <f>' VVF Sales - PUC &amp; Non PUC'!$FC$50</f>
        <v>0</v>
      </c>
      <c r="AL103" s="356">
        <f>' VVF Sales - PUC &amp; Non PUC'!$FC$51</f>
        <v>0</v>
      </c>
      <c r="AM103" s="356">
        <f>' VVF Sales - PUC &amp; Non PUC'!$FC$52</f>
        <v>0</v>
      </c>
      <c r="AN103" s="356">
        <f>' VVF Sales - PUC &amp; Non PUC'!$FC$53</f>
        <v>0</v>
      </c>
      <c r="AO103" s="356">
        <f>' VVF Sales - PUC &amp; Non PUC'!$FC$54</f>
        <v>0</v>
      </c>
      <c r="AP103" s="356">
        <f>' VVF Sales - PUC &amp; Non PUC'!$FC$55</f>
        <v>0</v>
      </c>
      <c r="AQ103" s="356">
        <f>' VVF Sales - PUC &amp; Non PUC'!$FC$56</f>
        <v>0</v>
      </c>
      <c r="AR103" s="367">
        <f t="shared" si="17"/>
        <v>0</v>
      </c>
      <c r="AS103" s="368">
        <f>SUM(AR92:AR103)</f>
        <v>45.532499999999999</v>
      </c>
      <c r="AT103" s="354">
        <f>'Imports 2016-17'!D162</f>
        <v>0</v>
      </c>
      <c r="AU103" s="354">
        <f>'Imports 2016-17'!E162</f>
        <v>0</v>
      </c>
      <c r="AV103" s="354">
        <f>'Imports 2016-17'!F162</f>
        <v>0</v>
      </c>
      <c r="AW103" s="354">
        <f>'Imports 2016-17'!G162</f>
        <v>0</v>
      </c>
      <c r="AX103" s="354">
        <f>'Imports 2016-17'!H162</f>
        <v>0</v>
      </c>
      <c r="AY103" s="354">
        <f>'Imports 2016-17'!I162</f>
        <v>0</v>
      </c>
      <c r="AZ103" s="354">
        <f>'Imports 2016-17'!J162</f>
        <v>0</v>
      </c>
      <c r="BA103" s="354">
        <f>'Imports 2016-17'!K162</f>
        <v>0</v>
      </c>
      <c r="BB103" s="354">
        <f>'Imports 2016-17'!L162</f>
        <v>0</v>
      </c>
      <c r="BC103" s="354">
        <f>'Imports 2016-17'!M162</f>
        <v>0</v>
      </c>
      <c r="BD103" s="363">
        <f>'Imports 2016-17'!N162</f>
        <v>0</v>
      </c>
      <c r="BF103" s="354">
        <f>'Imports 2016-17'!S162/10^5</f>
        <v>0</v>
      </c>
      <c r="BG103" s="354">
        <f>'Imports 2016-17'!T162/10^5</f>
        <v>0</v>
      </c>
      <c r="BH103" s="354">
        <f>'Imports 2016-17'!U162/10^5</f>
        <v>0</v>
      </c>
      <c r="BI103" s="354">
        <f>'Imports 2016-17'!V162/10^5</f>
        <v>0</v>
      </c>
      <c r="BJ103" s="354">
        <f>'Imports 2016-17'!W162/10^5</f>
        <v>0</v>
      </c>
      <c r="BK103" s="354">
        <f>'Imports 2016-17'!X162/10^5</f>
        <v>0</v>
      </c>
      <c r="BL103" s="354">
        <f>'Imports 2016-17'!Y162/10^5</f>
        <v>0</v>
      </c>
      <c r="BM103" s="354">
        <f>'Imports 2016-17'!Z162/10^5</f>
        <v>0</v>
      </c>
      <c r="BN103" s="354">
        <f>'Imports 2016-17'!AA162/10^5</f>
        <v>0</v>
      </c>
      <c r="BO103" s="354">
        <f>'Imports 2016-17'!AB162/10^5</f>
        <v>0</v>
      </c>
      <c r="BP103" s="363">
        <f>'Imports 2016-17'!AC162/10^5</f>
        <v>0</v>
      </c>
      <c r="BR103" s="354"/>
      <c r="BS103" s="354"/>
      <c r="BT103" s="354"/>
      <c r="BU103" s="354"/>
      <c r="BV103" s="354"/>
      <c r="BW103" s="354"/>
      <c r="BX103" s="354"/>
      <c r="BY103" s="354"/>
      <c r="BZ103" s="354"/>
      <c r="CA103" s="354"/>
      <c r="CB103" s="363">
        <f t="shared" si="12"/>
        <v>0</v>
      </c>
      <c r="CD103" s="354"/>
      <c r="CE103" s="354"/>
      <c r="CF103" s="354"/>
      <c r="CG103" s="354"/>
      <c r="CH103" s="354"/>
      <c r="CI103" s="354"/>
      <c r="CJ103" s="354"/>
      <c r="CK103" s="354"/>
      <c r="CL103" s="354"/>
      <c r="CM103" s="354"/>
      <c r="CN103" s="363">
        <f t="shared" si="13"/>
        <v>0</v>
      </c>
    </row>
    <row r="104" spans="1:92">
      <c r="Z104" s="363">
        <f t="shared" si="16"/>
        <v>0</v>
      </c>
      <c r="AR104" s="367">
        <f t="shared" si="17"/>
        <v>0</v>
      </c>
    </row>
  </sheetData>
  <mergeCells count="9">
    <mergeCell ref="B2:F2"/>
    <mergeCell ref="BR2:CB2"/>
    <mergeCell ref="CD2:CN2"/>
    <mergeCell ref="BF2:BP2"/>
    <mergeCell ref="J2:P2"/>
    <mergeCell ref="S2:Y2"/>
    <mergeCell ref="AB2:AH2"/>
    <mergeCell ref="AK2:AQ2"/>
    <mergeCell ref="AT2:BD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35" sqref="D35"/>
    </sheetView>
  </sheetViews>
  <sheetFormatPr defaultRowHeight="12"/>
  <cols>
    <col min="1" max="1" width="18.7109375" style="35" bestFit="1" customWidth="1"/>
    <col min="2" max="2" width="9.140625" style="35"/>
    <col min="3" max="3" width="14" style="35" bestFit="1" customWidth="1"/>
    <col min="4" max="4" width="9.140625" style="35"/>
    <col min="5" max="5" width="13.5703125" style="35" bestFit="1" customWidth="1"/>
    <col min="6" max="6" width="9.140625" style="35"/>
    <col min="7" max="7" width="14" style="35" bestFit="1" customWidth="1"/>
    <col min="8" max="8" width="12" style="35" bestFit="1" customWidth="1"/>
    <col min="9" max="9" width="14" style="35" bestFit="1" customWidth="1"/>
    <col min="10" max="10" width="14" style="35" customWidth="1"/>
    <col min="11" max="12" width="10.5703125" style="35" customWidth="1"/>
    <col min="13" max="13" width="10" style="44" customWidth="1"/>
    <col min="14" max="18" width="9.140625" style="35" customWidth="1"/>
    <col min="19" max="16384" width="9.140625" style="35"/>
  </cols>
  <sheetData>
    <row r="1" spans="1:14">
      <c r="H1" s="134"/>
      <c r="I1" s="134"/>
      <c r="J1" s="134"/>
      <c r="K1" s="134"/>
    </row>
    <row r="3" spans="1:14">
      <c r="A3" s="371" t="s">
        <v>353</v>
      </c>
      <c r="B3" s="444" t="s">
        <v>354</v>
      </c>
      <c r="C3" s="445"/>
      <c r="D3" s="444" t="s">
        <v>355</v>
      </c>
      <c r="E3" s="445"/>
      <c r="F3" s="444" t="s">
        <v>356</v>
      </c>
      <c r="G3" s="445"/>
      <c r="K3" s="372" t="s">
        <v>357</v>
      </c>
      <c r="L3" s="35" t="s">
        <v>358</v>
      </c>
      <c r="N3" s="35" t="s">
        <v>359</v>
      </c>
    </row>
    <row r="4" spans="1:14">
      <c r="A4" s="371"/>
      <c r="B4" s="373" t="s">
        <v>360</v>
      </c>
      <c r="C4" s="374" t="s">
        <v>361</v>
      </c>
      <c r="D4" s="373" t="s">
        <v>360</v>
      </c>
      <c r="E4" s="374" t="s">
        <v>361</v>
      </c>
      <c r="F4" s="373" t="s">
        <v>360</v>
      </c>
      <c r="G4" s="374" t="s">
        <v>361</v>
      </c>
      <c r="L4" s="372" t="s">
        <v>357</v>
      </c>
      <c r="M4" s="375" t="s">
        <v>362</v>
      </c>
      <c r="N4" s="372" t="s">
        <v>363</v>
      </c>
    </row>
    <row r="5" spans="1:14">
      <c r="A5" s="376">
        <v>41730</v>
      </c>
      <c r="B5" s="377">
        <v>2038.8</v>
      </c>
      <c r="C5" s="378">
        <v>230681999.99999997</v>
      </c>
      <c r="D5" s="379">
        <v>0</v>
      </c>
      <c r="E5" s="380">
        <v>0</v>
      </c>
      <c r="F5" s="381">
        <f t="shared" ref="F5:G20" si="0">B5-D5</f>
        <v>2038.8</v>
      </c>
      <c r="G5" s="382">
        <f t="shared" si="0"/>
        <v>230681999.99999997</v>
      </c>
      <c r="I5" s="44"/>
      <c r="J5" s="44"/>
      <c r="L5" s="372"/>
      <c r="M5" s="375"/>
      <c r="N5" s="372"/>
    </row>
    <row r="6" spans="1:14">
      <c r="A6" s="376">
        <v>41760</v>
      </c>
      <c r="B6" s="377">
        <v>1895.6900000000007</v>
      </c>
      <c r="C6" s="378">
        <v>219483000</v>
      </c>
      <c r="D6" s="379">
        <v>0</v>
      </c>
      <c r="E6" s="380">
        <v>0</v>
      </c>
      <c r="F6" s="381">
        <f t="shared" si="0"/>
        <v>1895.6900000000007</v>
      </c>
      <c r="G6" s="382">
        <f t="shared" si="0"/>
        <v>219483000</v>
      </c>
      <c r="I6" s="44"/>
      <c r="J6" s="44"/>
      <c r="L6" s="372"/>
      <c r="M6" s="375"/>
      <c r="N6" s="372"/>
    </row>
    <row r="7" spans="1:14">
      <c r="A7" s="376">
        <v>41791</v>
      </c>
      <c r="B7" s="377">
        <v>810.80000000000007</v>
      </c>
      <c r="C7" s="378">
        <v>87165000.000000015</v>
      </c>
      <c r="D7" s="379">
        <v>0</v>
      </c>
      <c r="E7" s="380">
        <v>0</v>
      </c>
      <c r="F7" s="381">
        <f t="shared" si="0"/>
        <v>810.80000000000007</v>
      </c>
      <c r="G7" s="382">
        <f t="shared" si="0"/>
        <v>87165000.000000015</v>
      </c>
      <c r="I7" s="44"/>
      <c r="J7" s="44"/>
      <c r="L7" s="372"/>
      <c r="M7" s="375"/>
      <c r="N7" s="372"/>
    </row>
    <row r="8" spans="1:14">
      <c r="A8" s="376">
        <v>41821</v>
      </c>
      <c r="B8" s="377">
        <v>1243.7199999999998</v>
      </c>
      <c r="C8" s="378">
        <v>138892000</v>
      </c>
      <c r="D8" s="379">
        <v>0</v>
      </c>
      <c r="E8" s="380">
        <v>0</v>
      </c>
      <c r="F8" s="381">
        <f t="shared" si="0"/>
        <v>1243.7199999999998</v>
      </c>
      <c r="G8" s="382">
        <f t="shared" si="0"/>
        <v>138892000</v>
      </c>
      <c r="I8" s="44"/>
      <c r="J8" s="44"/>
      <c r="L8" s="372"/>
      <c r="M8" s="375"/>
      <c r="N8" s="372"/>
    </row>
    <row r="9" spans="1:14">
      <c r="A9" s="376">
        <v>41852</v>
      </c>
      <c r="B9" s="377">
        <v>1259.7399999999998</v>
      </c>
      <c r="C9" s="378">
        <v>140636000</v>
      </c>
      <c r="D9" s="379">
        <v>0</v>
      </c>
      <c r="E9" s="380">
        <v>0</v>
      </c>
      <c r="F9" s="381">
        <f t="shared" si="0"/>
        <v>1259.7399999999998</v>
      </c>
      <c r="G9" s="382">
        <f t="shared" si="0"/>
        <v>140636000</v>
      </c>
      <c r="I9" s="44"/>
      <c r="J9" s="44"/>
      <c r="L9" s="372"/>
      <c r="M9" s="375"/>
      <c r="N9" s="372"/>
    </row>
    <row r="10" spans="1:14">
      <c r="A10" s="376">
        <v>41883</v>
      </c>
      <c r="B10" s="377">
        <v>1758.56</v>
      </c>
      <c r="C10" s="378">
        <v>168063000</v>
      </c>
      <c r="D10" s="379">
        <v>0</v>
      </c>
      <c r="E10" s="380">
        <v>0</v>
      </c>
      <c r="F10" s="381">
        <f t="shared" si="0"/>
        <v>1758.56</v>
      </c>
      <c r="G10" s="382">
        <f t="shared" si="0"/>
        <v>168063000</v>
      </c>
      <c r="I10" s="44"/>
      <c r="J10" s="44"/>
      <c r="L10" s="372"/>
      <c r="M10" s="375"/>
      <c r="N10" s="372"/>
    </row>
    <row r="11" spans="1:14">
      <c r="A11" s="376">
        <v>41913</v>
      </c>
      <c r="B11" s="377">
        <v>2985.9899999999989</v>
      </c>
      <c r="C11" s="378">
        <v>256634000</v>
      </c>
      <c r="D11" s="379">
        <v>0</v>
      </c>
      <c r="E11" s="380">
        <v>0</v>
      </c>
      <c r="F11" s="381">
        <f t="shared" si="0"/>
        <v>2985.9899999999989</v>
      </c>
      <c r="G11" s="382">
        <f t="shared" si="0"/>
        <v>256634000</v>
      </c>
      <c r="I11" s="44"/>
      <c r="J11" s="44"/>
      <c r="L11" s="372"/>
      <c r="M11" s="375"/>
      <c r="N11" s="372"/>
    </row>
    <row r="12" spans="1:14">
      <c r="A12" s="376">
        <v>41944</v>
      </c>
      <c r="B12" s="377">
        <v>2800.329999999999</v>
      </c>
      <c r="C12" s="378">
        <v>225584000</v>
      </c>
      <c r="D12" s="379">
        <v>0</v>
      </c>
      <c r="E12" s="380">
        <v>0</v>
      </c>
      <c r="F12" s="381">
        <f t="shared" si="0"/>
        <v>2800.329999999999</v>
      </c>
      <c r="G12" s="382">
        <f t="shared" si="0"/>
        <v>225584000</v>
      </c>
      <c r="I12" s="44"/>
      <c r="J12" s="44"/>
      <c r="L12" s="372"/>
      <c r="M12" s="375"/>
      <c r="N12" s="372"/>
    </row>
    <row r="13" spans="1:14">
      <c r="A13" s="376">
        <v>41974</v>
      </c>
      <c r="B13" s="377">
        <v>2595.5600000000004</v>
      </c>
      <c r="C13" s="378">
        <v>209185000.00000003</v>
      </c>
      <c r="D13" s="379">
        <v>0</v>
      </c>
      <c r="E13" s="380">
        <v>0</v>
      </c>
      <c r="F13" s="381">
        <f t="shared" si="0"/>
        <v>2595.5600000000004</v>
      </c>
      <c r="G13" s="382">
        <f t="shared" si="0"/>
        <v>209185000.00000003</v>
      </c>
      <c r="I13" s="44"/>
      <c r="J13" s="44"/>
      <c r="L13" s="372"/>
      <c r="M13" s="375"/>
      <c r="N13" s="372"/>
    </row>
    <row r="14" spans="1:14">
      <c r="A14" s="376">
        <v>42005</v>
      </c>
      <c r="B14" s="377">
        <v>3401.2099999999996</v>
      </c>
      <c r="C14" s="378">
        <v>277505000</v>
      </c>
      <c r="D14" s="379">
        <v>0</v>
      </c>
      <c r="E14" s="380">
        <v>0</v>
      </c>
      <c r="F14" s="381">
        <f t="shared" si="0"/>
        <v>3401.2099999999996</v>
      </c>
      <c r="G14" s="382">
        <f t="shared" si="0"/>
        <v>277505000</v>
      </c>
      <c r="I14" s="44"/>
      <c r="J14" s="44"/>
      <c r="L14" s="372"/>
      <c r="M14" s="375"/>
      <c r="N14" s="372"/>
    </row>
    <row r="15" spans="1:14">
      <c r="A15" s="376">
        <v>42036</v>
      </c>
      <c r="B15" s="377">
        <v>1877.02</v>
      </c>
      <c r="C15" s="378">
        <v>172102000</v>
      </c>
      <c r="D15" s="379">
        <v>0</v>
      </c>
      <c r="E15" s="380">
        <v>0</v>
      </c>
      <c r="F15" s="381">
        <f t="shared" si="0"/>
        <v>1877.02</v>
      </c>
      <c r="G15" s="382">
        <f t="shared" si="0"/>
        <v>172102000</v>
      </c>
      <c r="I15" s="44"/>
      <c r="J15" s="44"/>
      <c r="L15" s="372"/>
      <c r="M15" s="375"/>
      <c r="N15" s="372"/>
    </row>
    <row r="16" spans="1:14">
      <c r="A16" s="376">
        <v>42064</v>
      </c>
      <c r="B16" s="377">
        <v>2533.1200000000008</v>
      </c>
      <c r="C16" s="378">
        <v>210092000</v>
      </c>
      <c r="D16" s="379">
        <v>0</v>
      </c>
      <c r="E16" s="380">
        <v>0</v>
      </c>
      <c r="F16" s="381">
        <f t="shared" si="0"/>
        <v>2533.1200000000008</v>
      </c>
      <c r="G16" s="382">
        <f t="shared" si="0"/>
        <v>210092000</v>
      </c>
      <c r="I16" s="44"/>
      <c r="J16" s="44"/>
      <c r="L16" s="372"/>
      <c r="M16" s="375"/>
      <c r="N16" s="372"/>
    </row>
    <row r="17" spans="1:14">
      <c r="A17" s="376">
        <v>42095</v>
      </c>
      <c r="B17" s="381">
        <v>1599.5199999999998</v>
      </c>
      <c r="C17" s="382">
        <v>144239537.15999997</v>
      </c>
      <c r="D17" s="379">
        <v>0</v>
      </c>
      <c r="E17" s="380">
        <v>0</v>
      </c>
      <c r="F17" s="381">
        <f t="shared" si="0"/>
        <v>1599.5199999999998</v>
      </c>
      <c r="G17" s="382">
        <f t="shared" si="0"/>
        <v>144239537.15999997</v>
      </c>
      <c r="I17" s="44"/>
      <c r="J17" s="45"/>
      <c r="M17" s="44">
        <f t="shared" ref="M17:M41" si="1">+C17/B17</f>
        <v>90176.763754126237</v>
      </c>
    </row>
    <row r="18" spans="1:14">
      <c r="A18" s="376">
        <v>42125</v>
      </c>
      <c r="B18" s="381">
        <v>1384.29</v>
      </c>
      <c r="C18" s="382">
        <v>129705007.73999999</v>
      </c>
      <c r="D18" s="379">
        <v>0</v>
      </c>
      <c r="E18" s="380">
        <v>0</v>
      </c>
      <c r="F18" s="381">
        <f t="shared" si="0"/>
        <v>1384.29</v>
      </c>
      <c r="G18" s="382">
        <f t="shared" si="0"/>
        <v>129705007.73999999</v>
      </c>
      <c r="I18" s="44"/>
      <c r="J18" s="45"/>
      <c r="M18" s="44">
        <f t="shared" si="1"/>
        <v>93697.857919944523</v>
      </c>
    </row>
    <row r="19" spans="1:14">
      <c r="A19" s="376">
        <v>42156</v>
      </c>
      <c r="B19" s="381">
        <v>895.78000000000009</v>
      </c>
      <c r="C19" s="382">
        <v>82884663.789999992</v>
      </c>
      <c r="D19" s="379">
        <v>0</v>
      </c>
      <c r="E19" s="380">
        <v>0</v>
      </c>
      <c r="F19" s="381">
        <f t="shared" si="0"/>
        <v>895.78000000000009</v>
      </c>
      <c r="G19" s="382">
        <f t="shared" si="0"/>
        <v>82884663.789999992</v>
      </c>
      <c r="I19" s="44"/>
      <c r="J19" s="45"/>
      <c r="M19" s="44">
        <f t="shared" si="1"/>
        <v>92527.924032686584</v>
      </c>
    </row>
    <row r="20" spans="1:14">
      <c r="A20" s="376">
        <v>42186</v>
      </c>
      <c r="B20" s="381">
        <v>1544.5999999999997</v>
      </c>
      <c r="C20" s="382">
        <v>140594993.84999999</v>
      </c>
      <c r="D20" s="379">
        <v>0</v>
      </c>
      <c r="E20" s="380">
        <v>0</v>
      </c>
      <c r="F20" s="381">
        <f t="shared" si="0"/>
        <v>1544.5999999999997</v>
      </c>
      <c r="G20" s="382">
        <f t="shared" si="0"/>
        <v>140594993.84999999</v>
      </c>
      <c r="I20" s="44"/>
      <c r="J20" s="45"/>
      <c r="M20" s="44">
        <f t="shared" si="1"/>
        <v>91023.561990159273</v>
      </c>
    </row>
    <row r="21" spans="1:14">
      <c r="A21" s="376">
        <v>42217</v>
      </c>
      <c r="B21" s="381">
        <v>2282.1299999999997</v>
      </c>
      <c r="C21" s="382">
        <v>198784333.44999999</v>
      </c>
      <c r="D21" s="379">
        <v>0</v>
      </c>
      <c r="E21" s="380">
        <v>0</v>
      </c>
      <c r="F21" s="381">
        <f t="shared" ref="F21:G21" si="2">B21-D21</f>
        <v>2282.1299999999997</v>
      </c>
      <c r="G21" s="382">
        <f t="shared" si="2"/>
        <v>198784333.44999999</v>
      </c>
      <c r="I21" s="44"/>
      <c r="J21" s="45"/>
      <c r="M21" s="44">
        <f t="shared" si="1"/>
        <v>87104.73700008326</v>
      </c>
    </row>
    <row r="22" spans="1:14">
      <c r="A22" s="376">
        <v>42248</v>
      </c>
      <c r="B22" s="381">
        <v>3402.6099999999997</v>
      </c>
      <c r="C22" s="382">
        <v>287433440.56000018</v>
      </c>
      <c r="D22" s="381">
        <v>655.20999999999992</v>
      </c>
      <c r="E22" s="382">
        <v>56674241.130000003</v>
      </c>
      <c r="F22" s="381">
        <f>B22-D22</f>
        <v>2747.3999999999996</v>
      </c>
      <c r="G22" s="382">
        <f>C22-E22</f>
        <v>230759199.43000019</v>
      </c>
      <c r="I22" s="44"/>
      <c r="J22" s="45"/>
      <c r="K22" s="134">
        <f t="shared" ref="K22:K41" si="3">+E22/D22</f>
        <v>86497.82684940708</v>
      </c>
      <c r="L22" s="134">
        <f t="shared" ref="L22:L41" si="4">+G22/F22</f>
        <v>83991.846629540742</v>
      </c>
      <c r="M22" s="44">
        <f t="shared" si="1"/>
        <v>84474.400698287558</v>
      </c>
      <c r="N22" s="134">
        <f>+K22-L22</f>
        <v>2505.9802198663383</v>
      </c>
    </row>
    <row r="23" spans="1:14">
      <c r="A23" s="376">
        <v>42278</v>
      </c>
      <c r="B23" s="381">
        <v>3903.6600000000021</v>
      </c>
      <c r="C23" s="382">
        <v>320793254.7700001</v>
      </c>
      <c r="D23" s="381">
        <v>1931.9999999999995</v>
      </c>
      <c r="E23" s="382">
        <v>168635064.00999993</v>
      </c>
      <c r="F23" s="381">
        <f t="shared" ref="F23:G37" si="5">B23-D23</f>
        <v>1971.6600000000026</v>
      </c>
      <c r="G23" s="382">
        <f t="shared" si="5"/>
        <v>152158190.76000017</v>
      </c>
      <c r="I23" s="44"/>
      <c r="J23" s="45"/>
      <c r="K23" s="134">
        <f t="shared" si="3"/>
        <v>87285.229818840569</v>
      </c>
      <c r="L23" s="134">
        <f t="shared" si="4"/>
        <v>77172.631569337493</v>
      </c>
      <c r="M23" s="44">
        <f t="shared" si="1"/>
        <v>82177.560230655319</v>
      </c>
      <c r="N23" s="134">
        <f t="shared" ref="N23:N41" si="6">+K23-L23</f>
        <v>10112.598249503077</v>
      </c>
    </row>
    <row r="24" spans="1:14">
      <c r="A24" s="376">
        <v>42309</v>
      </c>
      <c r="B24" s="381">
        <v>1421.97</v>
      </c>
      <c r="C24" s="382">
        <v>113380117.99999999</v>
      </c>
      <c r="D24" s="381">
        <v>411.82000000000005</v>
      </c>
      <c r="E24" s="382">
        <v>35865226.649999991</v>
      </c>
      <c r="F24" s="381">
        <f t="shared" si="5"/>
        <v>1010.15</v>
      </c>
      <c r="G24" s="382">
        <f t="shared" si="5"/>
        <v>77514891.349999994</v>
      </c>
      <c r="I24" s="44"/>
      <c r="J24" s="45"/>
      <c r="K24" s="134">
        <f t="shared" si="3"/>
        <v>87089.569836336232</v>
      </c>
      <c r="L24" s="134">
        <f t="shared" si="4"/>
        <v>76736.020739494124</v>
      </c>
      <c r="M24" s="44">
        <f t="shared" si="1"/>
        <v>79734.535890349289</v>
      </c>
      <c r="N24" s="134">
        <f t="shared" si="6"/>
        <v>10353.549096842107</v>
      </c>
    </row>
    <row r="25" spans="1:14">
      <c r="A25" s="376">
        <v>42339</v>
      </c>
      <c r="B25" s="381">
        <v>1776.86</v>
      </c>
      <c r="C25" s="382">
        <v>146878860.08000001</v>
      </c>
      <c r="D25" s="381">
        <v>397</v>
      </c>
      <c r="E25" s="382">
        <v>35174597</v>
      </c>
      <c r="F25" s="381">
        <f t="shared" si="5"/>
        <v>1379.86</v>
      </c>
      <c r="G25" s="382">
        <f t="shared" si="5"/>
        <v>111704263.08000001</v>
      </c>
      <c r="I25" s="44"/>
      <c r="J25" s="45"/>
      <c r="K25" s="134">
        <f t="shared" si="3"/>
        <v>88601</v>
      </c>
      <c r="L25" s="134">
        <f t="shared" si="4"/>
        <v>80953.330830663996</v>
      </c>
      <c r="M25" s="44">
        <f t="shared" si="1"/>
        <v>82662.033069572179</v>
      </c>
      <c r="N25" s="134">
        <f t="shared" si="6"/>
        <v>7647.6691693360044</v>
      </c>
    </row>
    <row r="26" spans="1:14">
      <c r="A26" s="376">
        <v>42370</v>
      </c>
      <c r="B26" s="381">
        <v>3028.8900000000012</v>
      </c>
      <c r="C26" s="382">
        <v>244466872.11000004</v>
      </c>
      <c r="D26" s="381">
        <v>860.32000000000016</v>
      </c>
      <c r="E26" s="382">
        <v>67855514.040000021</v>
      </c>
      <c r="F26" s="381">
        <f t="shared" si="5"/>
        <v>2168.5700000000011</v>
      </c>
      <c r="G26" s="382">
        <f t="shared" si="5"/>
        <v>176611358.07000002</v>
      </c>
      <c r="I26" s="44"/>
      <c r="J26" s="45"/>
      <c r="K26" s="134">
        <f t="shared" si="3"/>
        <v>78872.412637158282</v>
      </c>
      <c r="L26" s="134">
        <f t="shared" si="4"/>
        <v>81441.391363894145</v>
      </c>
      <c r="M26" s="44">
        <f t="shared" si="1"/>
        <v>80711.703663718377</v>
      </c>
      <c r="N26" s="134">
        <f t="shared" si="6"/>
        <v>-2568.9787267358624</v>
      </c>
    </row>
    <row r="27" spans="1:14">
      <c r="A27" s="376">
        <v>42401</v>
      </c>
      <c r="B27" s="381">
        <v>2906.3500000000017</v>
      </c>
      <c r="C27" s="382">
        <v>251690148.37</v>
      </c>
      <c r="D27" s="381">
        <v>1074.4600000000003</v>
      </c>
      <c r="E27" s="382">
        <v>89622134.679999948</v>
      </c>
      <c r="F27" s="381">
        <f t="shared" si="5"/>
        <v>1831.8900000000015</v>
      </c>
      <c r="G27" s="382">
        <f t="shared" si="5"/>
        <v>162068013.69000006</v>
      </c>
      <c r="I27" s="44"/>
      <c r="J27" s="45"/>
      <c r="K27" s="134">
        <f t="shared" si="3"/>
        <v>83411.327252759453</v>
      </c>
      <c r="L27" s="134">
        <f t="shared" si="4"/>
        <v>88470.38506133006</v>
      </c>
      <c r="M27" s="44">
        <f t="shared" si="1"/>
        <v>86600.082016962813</v>
      </c>
      <c r="N27" s="134">
        <f t="shared" si="6"/>
        <v>-5059.0578085706074</v>
      </c>
    </row>
    <row r="28" spans="1:14">
      <c r="A28" s="376">
        <v>42430</v>
      </c>
      <c r="B28" s="381">
        <v>3455.63</v>
      </c>
      <c r="C28" s="382">
        <v>301189684.62999994</v>
      </c>
      <c r="D28" s="381">
        <v>1726.1800000000007</v>
      </c>
      <c r="E28" s="382">
        <v>145019546.32000008</v>
      </c>
      <c r="F28" s="381">
        <f t="shared" si="5"/>
        <v>1729.4499999999994</v>
      </c>
      <c r="G28" s="382">
        <f t="shared" si="5"/>
        <v>156170138.30999985</v>
      </c>
      <c r="H28" s="45"/>
      <c r="I28" s="44"/>
      <c r="J28" s="45"/>
      <c r="K28" s="134">
        <f t="shared" si="3"/>
        <v>84011.833250298354</v>
      </c>
      <c r="L28" s="134">
        <f t="shared" si="4"/>
        <v>90300.464488710233</v>
      </c>
      <c r="M28" s="44">
        <f t="shared" si="1"/>
        <v>87159.124278351534</v>
      </c>
      <c r="N28" s="134">
        <f t="shared" si="6"/>
        <v>-6288.6312384118792</v>
      </c>
    </row>
    <row r="29" spans="1:14">
      <c r="A29" s="376">
        <v>42461</v>
      </c>
      <c r="B29" s="381">
        <f>1881</f>
        <v>1881</v>
      </c>
      <c r="C29" s="382">
        <f>174330951</f>
        <v>174330951</v>
      </c>
      <c r="D29" s="381">
        <v>1131.76</v>
      </c>
      <c r="E29" s="382">
        <f>102592074</f>
        <v>102592074</v>
      </c>
      <c r="F29" s="381">
        <f t="shared" si="5"/>
        <v>749.24</v>
      </c>
      <c r="G29" s="382">
        <f t="shared" si="5"/>
        <v>71738877</v>
      </c>
      <c r="I29" s="44"/>
      <c r="J29" s="45"/>
      <c r="K29" s="134">
        <f t="shared" si="3"/>
        <v>90648.25934827172</v>
      </c>
      <c r="L29" s="134">
        <f t="shared" si="4"/>
        <v>95748.861512999836</v>
      </c>
      <c r="M29" s="44">
        <f t="shared" si="1"/>
        <v>92679.931419457731</v>
      </c>
      <c r="N29" s="134">
        <f t="shared" si="6"/>
        <v>-5100.6021647281159</v>
      </c>
    </row>
    <row r="30" spans="1:14">
      <c r="A30" s="376">
        <v>42491</v>
      </c>
      <c r="B30" s="381">
        <v>2897</v>
      </c>
      <c r="C30" s="382">
        <v>329241467</v>
      </c>
      <c r="D30" s="381">
        <v>1122.08</v>
      </c>
      <c r="E30" s="382">
        <f>112755977</f>
        <v>112755977</v>
      </c>
      <c r="F30" s="381">
        <f t="shared" si="5"/>
        <v>1774.92</v>
      </c>
      <c r="G30" s="382">
        <f t="shared" si="5"/>
        <v>216485490</v>
      </c>
      <c r="I30" s="44"/>
      <c r="J30" s="45"/>
      <c r="K30" s="134">
        <f t="shared" si="3"/>
        <v>100488.35822757737</v>
      </c>
      <c r="L30" s="134">
        <f t="shared" si="4"/>
        <v>121969.15353931444</v>
      </c>
      <c r="M30" s="44">
        <f t="shared" si="1"/>
        <v>113649.10838798758</v>
      </c>
      <c r="N30" s="134">
        <f t="shared" si="6"/>
        <v>-21480.795311737078</v>
      </c>
    </row>
    <row r="31" spans="1:14">
      <c r="A31" s="376">
        <v>42522</v>
      </c>
      <c r="B31" s="381">
        <v>2450</v>
      </c>
      <c r="C31" s="382">
        <v>319503431</v>
      </c>
      <c r="D31" s="381">
        <v>1133.28</v>
      </c>
      <c r="E31" s="382">
        <f>138604265</f>
        <v>138604265</v>
      </c>
      <c r="F31" s="381">
        <f t="shared" si="5"/>
        <v>1316.72</v>
      </c>
      <c r="G31" s="382">
        <f t="shared" si="5"/>
        <v>180899166</v>
      </c>
      <c r="I31" s="44"/>
      <c r="J31" s="45"/>
      <c r="K31" s="134">
        <f t="shared" si="3"/>
        <v>122303.63634759284</v>
      </c>
      <c r="L31" s="134">
        <f t="shared" si="4"/>
        <v>137386.20663466796</v>
      </c>
      <c r="M31" s="44">
        <f t="shared" si="1"/>
        <v>130409.56367346938</v>
      </c>
      <c r="N31" s="134">
        <f t="shared" si="6"/>
        <v>-15082.570287075127</v>
      </c>
    </row>
    <row r="32" spans="1:14">
      <c r="A32" s="376">
        <v>42552</v>
      </c>
      <c r="B32" s="381">
        <f>2979</f>
        <v>2979</v>
      </c>
      <c r="C32" s="382">
        <f>394694255</f>
        <v>394694255</v>
      </c>
      <c r="D32" s="381">
        <v>1219</v>
      </c>
      <c r="E32" s="382">
        <v>155090038</v>
      </c>
      <c r="F32" s="381">
        <f t="shared" si="5"/>
        <v>1760</v>
      </c>
      <c r="G32" s="382">
        <f t="shared" si="5"/>
        <v>239604217</v>
      </c>
      <c r="I32" s="44"/>
      <c r="K32" s="134">
        <f t="shared" si="3"/>
        <v>127227.26661197703</v>
      </c>
      <c r="L32" s="134">
        <f t="shared" si="4"/>
        <v>136138.75965909092</v>
      </c>
      <c r="M32" s="44">
        <f t="shared" si="1"/>
        <v>132492.19704598858</v>
      </c>
      <c r="N32" s="134">
        <f t="shared" si="6"/>
        <v>-8911.4930471138941</v>
      </c>
    </row>
    <row r="33" spans="1:14">
      <c r="A33" s="376">
        <v>42583</v>
      </c>
      <c r="B33" s="381">
        <v>3127</v>
      </c>
      <c r="C33" s="382">
        <f>403481354</f>
        <v>403481354</v>
      </c>
      <c r="D33" s="381">
        <v>1664</v>
      </c>
      <c r="E33" s="382">
        <v>210961044</v>
      </c>
      <c r="F33" s="381">
        <f t="shared" si="5"/>
        <v>1463</v>
      </c>
      <c r="G33" s="382">
        <f t="shared" si="5"/>
        <v>192520310</v>
      </c>
      <c r="I33" s="44"/>
      <c r="K33" s="134">
        <f t="shared" si="3"/>
        <v>126779.47355769231</v>
      </c>
      <c r="L33" s="134">
        <f t="shared" si="4"/>
        <v>131592.82980177717</v>
      </c>
      <c r="M33" s="44">
        <f t="shared" si="1"/>
        <v>129031.45314998401</v>
      </c>
      <c r="N33" s="134">
        <f t="shared" si="6"/>
        <v>-4813.3562440848618</v>
      </c>
    </row>
    <row r="34" spans="1:14">
      <c r="A34" s="376">
        <v>42614</v>
      </c>
      <c r="B34" s="381">
        <v>3523</v>
      </c>
      <c r="C34" s="382">
        <v>461885429</v>
      </c>
      <c r="D34" s="381">
        <v>1792</v>
      </c>
      <c r="E34" s="382">
        <v>235237474</v>
      </c>
      <c r="F34" s="381">
        <f t="shared" si="5"/>
        <v>1731</v>
      </c>
      <c r="G34" s="382">
        <f t="shared" si="5"/>
        <v>226647955</v>
      </c>
      <c r="I34" s="44"/>
      <c r="K34" s="134">
        <f t="shared" si="3"/>
        <v>131270.91183035713</v>
      </c>
      <c r="L34" s="134">
        <f t="shared" si="4"/>
        <v>130934.69381860197</v>
      </c>
      <c r="M34" s="44">
        <f t="shared" si="1"/>
        <v>131105.71359636672</v>
      </c>
      <c r="N34" s="134">
        <f t="shared" si="6"/>
        <v>336.21801175516157</v>
      </c>
    </row>
    <row r="35" spans="1:14">
      <c r="A35" s="376">
        <v>42644</v>
      </c>
      <c r="B35" s="381">
        <v>3246</v>
      </c>
      <c r="C35" s="382">
        <v>461170886</v>
      </c>
      <c r="D35" s="381">
        <v>1905</v>
      </c>
      <c r="E35" s="382">
        <v>279953886</v>
      </c>
      <c r="F35" s="381">
        <f t="shared" si="5"/>
        <v>1341</v>
      </c>
      <c r="G35" s="382">
        <f t="shared" si="5"/>
        <v>181217000</v>
      </c>
      <c r="I35" s="44"/>
      <c r="K35" s="134">
        <f t="shared" si="3"/>
        <v>146957.42047244095</v>
      </c>
      <c r="L35" s="134">
        <f t="shared" si="4"/>
        <v>135135.71961222967</v>
      </c>
      <c r="M35" s="44">
        <f t="shared" si="1"/>
        <v>142073.59396179914</v>
      </c>
      <c r="N35" s="134">
        <f t="shared" si="6"/>
        <v>11821.700860211276</v>
      </c>
    </row>
    <row r="36" spans="1:14">
      <c r="A36" s="376">
        <v>42675</v>
      </c>
      <c r="B36" s="381">
        <f>2184</f>
        <v>2184</v>
      </c>
      <c r="C36" s="382">
        <f>322197235</f>
        <v>322197235</v>
      </c>
      <c r="D36" s="381">
        <f>1033</f>
        <v>1033</v>
      </c>
      <c r="E36" s="382">
        <f>158912240</f>
        <v>158912240</v>
      </c>
      <c r="F36" s="381">
        <f t="shared" si="5"/>
        <v>1151</v>
      </c>
      <c r="G36" s="382">
        <f t="shared" si="5"/>
        <v>163284995</v>
      </c>
      <c r="I36" s="44"/>
      <c r="K36" s="134">
        <f t="shared" si="3"/>
        <v>153835.66311713457</v>
      </c>
      <c r="L36" s="134">
        <f t="shared" si="4"/>
        <v>141863.5925282363</v>
      </c>
      <c r="M36" s="44">
        <f t="shared" si="1"/>
        <v>147526.2065018315</v>
      </c>
      <c r="N36" s="134">
        <f t="shared" si="6"/>
        <v>11972.070588898263</v>
      </c>
    </row>
    <row r="37" spans="1:14">
      <c r="A37" s="376">
        <v>42705</v>
      </c>
      <c r="B37" s="381">
        <v>2615</v>
      </c>
      <c r="C37" s="382">
        <f>394697008</f>
        <v>394697008</v>
      </c>
      <c r="D37" s="381">
        <f>274</f>
        <v>274</v>
      </c>
      <c r="E37" s="382">
        <v>42865555</v>
      </c>
      <c r="F37" s="381">
        <f t="shared" si="5"/>
        <v>2341</v>
      </c>
      <c r="G37" s="382">
        <f t="shared" si="5"/>
        <v>351831453</v>
      </c>
      <c r="I37" s="44"/>
      <c r="K37" s="134">
        <f t="shared" ref="K37:K38" si="7">+E37/D37</f>
        <v>156443.63138686132</v>
      </c>
      <c r="L37" s="134">
        <f t="shared" ref="L37:L38" si="8">+G37/F37</f>
        <v>150291.09483126868</v>
      </c>
      <c r="M37" s="44">
        <f t="shared" ref="M37:M38" si="9">+C37/B37</f>
        <v>150935.75831739962</v>
      </c>
      <c r="N37" s="134">
        <f t="shared" ref="N37:N38" si="10">+K37-L37</f>
        <v>6152.5365555926401</v>
      </c>
    </row>
    <row r="38" spans="1:14">
      <c r="A38" s="376">
        <v>42736</v>
      </c>
      <c r="B38" s="381">
        <v>2620</v>
      </c>
      <c r="C38" s="382">
        <f>416242802</f>
        <v>416242802</v>
      </c>
      <c r="D38" s="381">
        <v>1194</v>
      </c>
      <c r="E38" s="382">
        <v>183796332</v>
      </c>
      <c r="F38" s="381"/>
      <c r="G38" s="382"/>
      <c r="I38" s="44"/>
      <c r="K38" s="134">
        <f t="shared" si="7"/>
        <v>153933.27638190956</v>
      </c>
      <c r="L38" s="134" t="e">
        <f t="shared" si="8"/>
        <v>#DIV/0!</v>
      </c>
      <c r="M38" s="44">
        <f t="shared" si="9"/>
        <v>158871.29847328246</v>
      </c>
      <c r="N38" s="134" t="e">
        <f t="shared" si="10"/>
        <v>#DIV/0!</v>
      </c>
    </row>
    <row r="39" spans="1:14">
      <c r="A39" s="376">
        <v>42767</v>
      </c>
      <c r="B39" s="381"/>
      <c r="C39" s="382"/>
      <c r="D39" s="381"/>
      <c r="E39" s="382"/>
      <c r="F39" s="381"/>
      <c r="G39" s="382"/>
      <c r="I39" s="44"/>
      <c r="K39" s="134"/>
      <c r="L39" s="134"/>
      <c r="N39" s="134"/>
    </row>
    <row r="40" spans="1:14">
      <c r="A40" s="376">
        <v>42795</v>
      </c>
      <c r="B40" s="381"/>
      <c r="C40" s="382"/>
      <c r="D40" s="381"/>
      <c r="E40" s="382"/>
      <c r="F40" s="381"/>
      <c r="G40" s="382"/>
      <c r="I40" s="44"/>
      <c r="K40" s="134"/>
      <c r="L40" s="134"/>
      <c r="N40" s="134"/>
    </row>
    <row r="41" spans="1:14">
      <c r="A41" s="383" t="s">
        <v>4</v>
      </c>
      <c r="B41" s="384">
        <f t="shared" ref="B41:G41" si="11">SUM(B17:B40)</f>
        <v>55124.290000000008</v>
      </c>
      <c r="C41" s="385">
        <f t="shared" si="11"/>
        <v>6039485732.5100002</v>
      </c>
      <c r="D41" s="384">
        <f t="shared" si="11"/>
        <v>19525.11</v>
      </c>
      <c r="E41" s="385">
        <f t="shared" si="11"/>
        <v>2219615208.8299999</v>
      </c>
      <c r="F41" s="384">
        <f t="shared" si="11"/>
        <v>34173.180000000008</v>
      </c>
      <c r="G41" s="385">
        <f t="shared" si="11"/>
        <v>3587424053.6800003</v>
      </c>
      <c r="I41" s="44"/>
      <c r="K41" s="134">
        <f t="shared" si="3"/>
        <v>113680.03605767137</v>
      </c>
      <c r="L41" s="134">
        <f t="shared" si="4"/>
        <v>104977.76483429401</v>
      </c>
      <c r="M41" s="44">
        <f t="shared" si="1"/>
        <v>109561.24301120249</v>
      </c>
      <c r="N41" s="134">
        <f t="shared" si="6"/>
        <v>8702.2712233773636</v>
      </c>
    </row>
    <row r="45" spans="1:14">
      <c r="A45" s="371" t="s">
        <v>353</v>
      </c>
      <c r="B45" s="444" t="s">
        <v>364</v>
      </c>
      <c r="C45" s="445"/>
      <c r="D45" s="444" t="s">
        <v>365</v>
      </c>
      <c r="E45" s="445"/>
      <c r="F45" s="444" t="s">
        <v>366</v>
      </c>
      <c r="G45" s="445"/>
      <c r="H45" s="444" t="s">
        <v>367</v>
      </c>
      <c r="I45" s="445"/>
    </row>
    <row r="46" spans="1:14">
      <c r="A46" s="371"/>
      <c r="B46" s="373" t="s">
        <v>360</v>
      </c>
      <c r="C46" s="374" t="s">
        <v>361</v>
      </c>
      <c r="D46" s="373" t="s">
        <v>360</v>
      </c>
      <c r="E46" s="374" t="s">
        <v>361</v>
      </c>
      <c r="F46" s="373" t="s">
        <v>360</v>
      </c>
      <c r="G46" s="374" t="s">
        <v>361</v>
      </c>
      <c r="H46" s="373" t="s">
        <v>360</v>
      </c>
      <c r="I46" s="374" t="s">
        <v>361</v>
      </c>
      <c r="K46" s="372" t="s">
        <v>368</v>
      </c>
      <c r="L46" s="372" t="s">
        <v>290</v>
      </c>
      <c r="M46" s="375" t="s">
        <v>20</v>
      </c>
      <c r="N46" s="372" t="s">
        <v>50</v>
      </c>
    </row>
    <row r="47" spans="1:14">
      <c r="A47" s="376">
        <v>42095</v>
      </c>
      <c r="B47" s="381">
        <v>1202.2400000000002</v>
      </c>
      <c r="C47" s="382">
        <v>106887308.29000001</v>
      </c>
      <c r="D47" s="381"/>
      <c r="E47" s="382"/>
      <c r="F47" s="381"/>
      <c r="G47" s="382"/>
      <c r="H47" s="381">
        <f>B47-D47-F47</f>
        <v>1202.2400000000002</v>
      </c>
      <c r="I47" s="382">
        <f>C47-E47-G47</f>
        <v>106887308.29000001</v>
      </c>
      <c r="J47" s="339"/>
      <c r="L47" s="44">
        <f>IF(H47&lt;=0,0,+I47/H47)</f>
        <v>88906.797552901233</v>
      </c>
      <c r="M47" s="44">
        <f>IF(B47&lt;=0,0,+C47/B47)</f>
        <v>88906.797552901233</v>
      </c>
    </row>
    <row r="48" spans="1:14">
      <c r="A48" s="376">
        <v>42125</v>
      </c>
      <c r="B48" s="381">
        <v>949.81499999999994</v>
      </c>
      <c r="C48" s="382">
        <v>88369314.699999973</v>
      </c>
      <c r="D48" s="381"/>
      <c r="E48" s="382"/>
      <c r="F48" s="381"/>
      <c r="G48" s="382"/>
      <c r="H48" s="381">
        <f t="shared" ref="H48:I63" si="12">B48-D48-F48</f>
        <v>949.81499999999994</v>
      </c>
      <c r="I48" s="382">
        <f t="shared" si="12"/>
        <v>88369314.699999973</v>
      </c>
      <c r="J48" s="339"/>
      <c r="L48" s="44">
        <f t="shared" ref="L48:L71" si="13">IF(H48&lt;=0,0,+I48/H48)</f>
        <v>93038.449276964442</v>
      </c>
      <c r="M48" s="44">
        <f t="shared" ref="M48:M71" si="14">IF(B48&lt;=0,0,+C48/B48)</f>
        <v>93038.449276964442</v>
      </c>
    </row>
    <row r="49" spans="1:14">
      <c r="A49" s="376">
        <v>42156</v>
      </c>
      <c r="B49" s="381">
        <v>1164.9900000000005</v>
      </c>
      <c r="C49" s="382">
        <v>107087981.74000001</v>
      </c>
      <c r="D49" s="381"/>
      <c r="E49" s="382"/>
      <c r="F49" s="381"/>
      <c r="G49" s="382"/>
      <c r="H49" s="381">
        <f t="shared" si="12"/>
        <v>1164.9900000000005</v>
      </c>
      <c r="I49" s="382">
        <f t="shared" si="12"/>
        <v>107087981.74000001</v>
      </c>
      <c r="J49" s="339"/>
      <c r="L49" s="44">
        <f t="shared" si="13"/>
        <v>91921.80339745403</v>
      </c>
      <c r="M49" s="44">
        <f t="shared" si="14"/>
        <v>91921.80339745403</v>
      </c>
    </row>
    <row r="50" spans="1:14">
      <c r="A50" s="376">
        <v>42186</v>
      </c>
      <c r="B50" s="381">
        <v>1191.5749999999998</v>
      </c>
      <c r="C50" s="382">
        <v>107904591.69000003</v>
      </c>
      <c r="D50" s="381"/>
      <c r="E50" s="382"/>
      <c r="F50" s="381"/>
      <c r="G50" s="382"/>
      <c r="H50" s="381">
        <f t="shared" si="12"/>
        <v>1191.5749999999998</v>
      </c>
      <c r="I50" s="382">
        <f t="shared" si="12"/>
        <v>107904591.69000003</v>
      </c>
      <c r="J50" s="339"/>
      <c r="L50" s="44">
        <f t="shared" si="13"/>
        <v>90556.273579086541</v>
      </c>
      <c r="M50" s="44">
        <f t="shared" si="14"/>
        <v>90556.273579086541</v>
      </c>
    </row>
    <row r="51" spans="1:14">
      <c r="A51" s="376">
        <v>42217</v>
      </c>
      <c r="B51" s="381">
        <v>916.0899999999998</v>
      </c>
      <c r="C51" s="382">
        <v>81450004.340000018</v>
      </c>
      <c r="D51" s="381"/>
      <c r="E51" s="382"/>
      <c r="F51" s="381"/>
      <c r="G51" s="382"/>
      <c r="H51" s="381">
        <f t="shared" si="12"/>
        <v>916.0899999999998</v>
      </c>
      <c r="I51" s="382">
        <f t="shared" si="12"/>
        <v>81450004.340000018</v>
      </c>
      <c r="J51" s="339"/>
      <c r="L51" s="44">
        <f t="shared" si="13"/>
        <v>88910.482965647519</v>
      </c>
      <c r="M51" s="44">
        <f t="shared" si="14"/>
        <v>88910.482965647519</v>
      </c>
    </row>
    <row r="52" spans="1:14">
      <c r="A52" s="376">
        <v>42248</v>
      </c>
      <c r="B52" s="381">
        <v>1222.0250000000003</v>
      </c>
      <c r="C52" s="382">
        <v>104476475.10000002</v>
      </c>
      <c r="D52" s="381">
        <v>289.96999999999997</v>
      </c>
      <c r="E52" s="382">
        <v>20601049.129999999</v>
      </c>
      <c r="F52" s="381"/>
      <c r="G52" s="382"/>
      <c r="H52" s="381">
        <f t="shared" si="12"/>
        <v>932.05500000000029</v>
      </c>
      <c r="I52" s="382">
        <f t="shared" si="12"/>
        <v>83875425.970000029</v>
      </c>
      <c r="J52" s="339"/>
      <c r="K52" s="44">
        <f>IF(D52&lt;=0,0,+E52/D52)</f>
        <v>71045.449977583892</v>
      </c>
      <c r="L52" s="44">
        <f t="shared" si="13"/>
        <v>89989.781686703034</v>
      </c>
      <c r="M52" s="44">
        <f t="shared" si="14"/>
        <v>85494.548065710595</v>
      </c>
      <c r="N52" s="134">
        <f t="shared" ref="N52:N66" si="15">+K52-L52</f>
        <v>-18944.331709119142</v>
      </c>
    </row>
    <row r="53" spans="1:14">
      <c r="A53" s="376">
        <v>42278</v>
      </c>
      <c r="B53" s="381">
        <v>1830.3860000000002</v>
      </c>
      <c r="C53" s="382">
        <v>152377959.9199999</v>
      </c>
      <c r="D53" s="381">
        <v>177.33999999999997</v>
      </c>
      <c r="E53" s="382">
        <v>13071960.490000004</v>
      </c>
      <c r="F53" s="381"/>
      <c r="G53" s="382"/>
      <c r="H53" s="381">
        <f t="shared" si="12"/>
        <v>1653.0460000000003</v>
      </c>
      <c r="I53" s="382">
        <f t="shared" si="12"/>
        <v>139305999.42999989</v>
      </c>
      <c r="J53" s="339"/>
      <c r="K53" s="44">
        <f t="shared" ref="K53:K71" si="16">IF(D53&lt;=0,0,+E53/D53)</f>
        <v>73711.29181233792</v>
      </c>
      <c r="L53" s="44">
        <f t="shared" si="13"/>
        <v>84272.306656922956</v>
      </c>
      <c r="M53" s="44">
        <f t="shared" si="14"/>
        <v>83249.085121935961</v>
      </c>
      <c r="N53" s="134">
        <f t="shared" si="15"/>
        <v>-10561.014844585035</v>
      </c>
    </row>
    <row r="54" spans="1:14">
      <c r="A54" s="376">
        <v>42309</v>
      </c>
      <c r="B54" s="381">
        <v>1559.65</v>
      </c>
      <c r="C54" s="382">
        <v>129863395.51000001</v>
      </c>
      <c r="D54" s="381">
        <v>500.28000000000003</v>
      </c>
      <c r="E54" s="382">
        <v>37027223.640000001</v>
      </c>
      <c r="F54" s="381"/>
      <c r="G54" s="382"/>
      <c r="H54" s="381">
        <f t="shared" si="12"/>
        <v>1059.3700000000001</v>
      </c>
      <c r="I54" s="382">
        <f t="shared" si="12"/>
        <v>92836171.870000005</v>
      </c>
      <c r="J54" s="339"/>
      <c r="K54" s="44">
        <f t="shared" si="16"/>
        <v>74013</v>
      </c>
      <c r="L54" s="44">
        <f t="shared" si="13"/>
        <v>87633.378205914836</v>
      </c>
      <c r="M54" s="44">
        <f t="shared" si="14"/>
        <v>83264.447478600967</v>
      </c>
      <c r="N54" s="134">
        <f t="shared" si="15"/>
        <v>-13620.378205914836</v>
      </c>
    </row>
    <row r="55" spans="1:14">
      <c r="A55" s="376">
        <v>42339</v>
      </c>
      <c r="B55" s="381">
        <v>3221.9780000000001</v>
      </c>
      <c r="C55" s="382">
        <v>254707253.86000019</v>
      </c>
      <c r="D55" s="381">
        <v>1217.2300000000002</v>
      </c>
      <c r="E55" s="382">
        <v>90090843.98999998</v>
      </c>
      <c r="F55" s="381"/>
      <c r="G55" s="382"/>
      <c r="H55" s="381">
        <f t="shared" si="12"/>
        <v>2004.7479999999998</v>
      </c>
      <c r="I55" s="382">
        <f t="shared" si="12"/>
        <v>164616409.87000021</v>
      </c>
      <c r="J55" s="339"/>
      <c r="K55" s="44">
        <f t="shared" si="16"/>
        <v>74012.999999999971</v>
      </c>
      <c r="L55" s="44">
        <f t="shared" si="13"/>
        <v>82113.268036681038</v>
      </c>
      <c r="M55" s="44">
        <f t="shared" si="14"/>
        <v>79053.070461685391</v>
      </c>
      <c r="N55" s="134">
        <f t="shared" si="15"/>
        <v>-8100.2680366810673</v>
      </c>
    </row>
    <row r="56" spans="1:14">
      <c r="A56" s="376">
        <v>42370</v>
      </c>
      <c r="B56" s="381">
        <v>2720.5099999999998</v>
      </c>
      <c r="C56" s="382">
        <v>207360477.80000004</v>
      </c>
      <c r="D56" s="381">
        <v>1312.8400000000001</v>
      </c>
      <c r="E56" s="382">
        <v>91186009.700000018</v>
      </c>
      <c r="F56" s="381">
        <v>9</v>
      </c>
      <c r="G56" s="382">
        <v>754920</v>
      </c>
      <c r="H56" s="381">
        <f t="shared" si="12"/>
        <v>1398.6699999999996</v>
      </c>
      <c r="I56" s="382">
        <f t="shared" si="12"/>
        <v>115419548.10000002</v>
      </c>
      <c r="J56" s="339"/>
      <c r="K56" s="44">
        <f t="shared" si="16"/>
        <v>69457.062322903032</v>
      </c>
      <c r="L56" s="44">
        <f t="shared" si="13"/>
        <v>82520.929239920821</v>
      </c>
      <c r="M56" s="44">
        <f t="shared" si="14"/>
        <v>76221.178308478949</v>
      </c>
      <c r="N56" s="134">
        <f t="shared" si="15"/>
        <v>-13063.866917017789</v>
      </c>
    </row>
    <row r="57" spans="1:14">
      <c r="A57" s="376">
        <v>42401</v>
      </c>
      <c r="B57" s="381">
        <v>2321.6820000000007</v>
      </c>
      <c r="C57" s="382">
        <v>180539740.71000007</v>
      </c>
      <c r="D57" s="381">
        <v>1123.4700000000003</v>
      </c>
      <c r="E57" s="382">
        <v>78092545.300000012</v>
      </c>
      <c r="F57" s="381">
        <v>10.5</v>
      </c>
      <c r="G57" s="382">
        <v>880740</v>
      </c>
      <c r="H57" s="381">
        <f t="shared" si="12"/>
        <v>1187.7120000000004</v>
      </c>
      <c r="I57" s="382">
        <f t="shared" si="12"/>
        <v>101566455.41000006</v>
      </c>
      <c r="J57" s="339"/>
      <c r="K57" s="44">
        <f t="shared" si="16"/>
        <v>69510.129598476138</v>
      </c>
      <c r="L57" s="44">
        <f t="shared" si="13"/>
        <v>85514.38009382748</v>
      </c>
      <c r="M57" s="44">
        <f t="shared" si="14"/>
        <v>77762.475959239906</v>
      </c>
      <c r="N57" s="134">
        <f t="shared" si="15"/>
        <v>-16004.250495351342</v>
      </c>
    </row>
    <row r="58" spans="1:14">
      <c r="A58" s="376">
        <v>42430</v>
      </c>
      <c r="B58" s="381">
        <v>1961.5569999999993</v>
      </c>
      <c r="C58" s="382">
        <v>152587694.75000003</v>
      </c>
      <c r="D58" s="381">
        <v>689.94999999999982</v>
      </c>
      <c r="E58" s="382">
        <v>46479313.379999988</v>
      </c>
      <c r="F58" s="381"/>
      <c r="G58" s="382"/>
      <c r="H58" s="381">
        <f t="shared" si="12"/>
        <v>1271.6069999999995</v>
      </c>
      <c r="I58" s="382">
        <f t="shared" si="12"/>
        <v>106108381.37000003</v>
      </c>
      <c r="J58" s="339"/>
      <c r="K58" s="44">
        <f t="shared" si="16"/>
        <v>67366.20534821364</v>
      </c>
      <c r="L58" s="44">
        <f t="shared" si="13"/>
        <v>83444.31995891819</v>
      </c>
      <c r="M58" s="44">
        <f t="shared" si="14"/>
        <v>77789.069983691574</v>
      </c>
      <c r="N58" s="134">
        <f t="shared" si="15"/>
        <v>-16078.11461070455</v>
      </c>
    </row>
    <row r="59" spans="1:14">
      <c r="A59" s="376">
        <v>42461</v>
      </c>
      <c r="B59" s="381">
        <v>457</v>
      </c>
      <c r="C59" s="382">
        <f>40795647</f>
        <v>40795647</v>
      </c>
      <c r="D59" s="381">
        <v>0</v>
      </c>
      <c r="E59" s="382">
        <v>0</v>
      </c>
      <c r="F59" s="381">
        <v>0</v>
      </c>
      <c r="G59" s="382">
        <v>0</v>
      </c>
      <c r="H59" s="381">
        <f t="shared" si="12"/>
        <v>457</v>
      </c>
      <c r="I59" s="382">
        <f t="shared" si="12"/>
        <v>40795647</v>
      </c>
      <c r="J59" s="339"/>
      <c r="K59" s="44">
        <f t="shared" si="16"/>
        <v>0</v>
      </c>
      <c r="L59" s="44">
        <f t="shared" si="13"/>
        <v>89268.374179431077</v>
      </c>
      <c r="M59" s="44">
        <f t="shared" si="14"/>
        <v>89268.374179431077</v>
      </c>
      <c r="N59" s="134">
        <f t="shared" si="15"/>
        <v>-89268.374179431077</v>
      </c>
    </row>
    <row r="60" spans="1:14">
      <c r="A60" s="376">
        <v>42491</v>
      </c>
      <c r="B60" s="381">
        <v>1332</v>
      </c>
      <c r="C60" s="382">
        <f>114627561</f>
        <v>114627561</v>
      </c>
      <c r="D60" s="381">
        <v>0</v>
      </c>
      <c r="E60" s="382">
        <v>0</v>
      </c>
      <c r="F60" s="381">
        <v>18</v>
      </c>
      <c r="G60" s="382">
        <v>1427580</v>
      </c>
      <c r="H60" s="381">
        <f t="shared" si="12"/>
        <v>1314</v>
      </c>
      <c r="I60" s="382">
        <f t="shared" si="12"/>
        <v>113199981</v>
      </c>
      <c r="J60" s="339"/>
      <c r="K60" s="44">
        <f t="shared" si="16"/>
        <v>0</v>
      </c>
      <c r="L60" s="44">
        <f t="shared" si="13"/>
        <v>86149.148401826489</v>
      </c>
      <c r="M60" s="44">
        <f t="shared" si="14"/>
        <v>86056.727477477471</v>
      </c>
      <c r="N60" s="134">
        <f t="shared" si="15"/>
        <v>-86149.148401826489</v>
      </c>
    </row>
    <row r="61" spans="1:14">
      <c r="A61" s="376">
        <v>42522</v>
      </c>
      <c r="B61" s="381">
        <v>1643</v>
      </c>
      <c r="C61" s="382">
        <f>130165218</f>
        <v>130165218</v>
      </c>
      <c r="D61" s="381">
        <v>938</v>
      </c>
      <c r="E61" s="382">
        <f>65365200</f>
        <v>65365200</v>
      </c>
      <c r="F61" s="381">
        <v>22</v>
      </c>
      <c r="G61" s="382">
        <f>1744820</f>
        <v>1744820</v>
      </c>
      <c r="H61" s="381">
        <f t="shared" si="12"/>
        <v>683</v>
      </c>
      <c r="I61" s="382">
        <f t="shared" si="12"/>
        <v>63055198</v>
      </c>
      <c r="J61" s="339"/>
      <c r="K61" s="44">
        <f t="shared" si="16"/>
        <v>69685.71428571429</v>
      </c>
      <c r="L61" s="44">
        <f t="shared" si="13"/>
        <v>92320.934114202057</v>
      </c>
      <c r="M61" s="44">
        <f t="shared" si="14"/>
        <v>79224.113207547169</v>
      </c>
      <c r="N61" s="134">
        <f t="shared" si="15"/>
        <v>-22635.219828487767</v>
      </c>
    </row>
    <row r="62" spans="1:14">
      <c r="A62" s="376">
        <v>42552</v>
      </c>
      <c r="B62" s="381">
        <f>2561</f>
        <v>2561</v>
      </c>
      <c r="C62" s="382">
        <f>219157866</f>
        <v>219157866</v>
      </c>
      <c r="D62" s="381">
        <v>792</v>
      </c>
      <c r="E62" s="382">
        <v>57554164</v>
      </c>
      <c r="F62" s="381">
        <v>10</v>
      </c>
      <c r="G62" s="382">
        <v>897200</v>
      </c>
      <c r="H62" s="381">
        <f t="shared" si="12"/>
        <v>1759</v>
      </c>
      <c r="I62" s="382">
        <f t="shared" si="12"/>
        <v>160706502</v>
      </c>
      <c r="J62" s="339"/>
      <c r="K62" s="44">
        <f t="shared" si="16"/>
        <v>72669.398989898997</v>
      </c>
      <c r="L62" s="44">
        <f t="shared" si="13"/>
        <v>91362.422967595223</v>
      </c>
      <c r="M62" s="44">
        <f t="shared" si="14"/>
        <v>85575.113627489263</v>
      </c>
      <c r="N62" s="134">
        <f t="shared" si="15"/>
        <v>-18693.023977696226</v>
      </c>
    </row>
    <row r="63" spans="1:14">
      <c r="A63" s="376">
        <v>42583</v>
      </c>
      <c r="B63" s="381">
        <f>852</f>
        <v>852</v>
      </c>
      <c r="C63" s="382">
        <f>76163746</f>
        <v>76163746</v>
      </c>
      <c r="D63" s="381"/>
      <c r="E63" s="382"/>
      <c r="F63" s="381"/>
      <c r="G63" s="382"/>
      <c r="H63" s="381">
        <f t="shared" si="12"/>
        <v>852</v>
      </c>
      <c r="I63" s="382">
        <f t="shared" si="12"/>
        <v>76163746</v>
      </c>
      <c r="J63" s="339"/>
      <c r="K63" s="44">
        <f t="shared" si="16"/>
        <v>0</v>
      </c>
      <c r="L63" s="44">
        <f t="shared" si="13"/>
        <v>89394.068075117364</v>
      </c>
      <c r="M63" s="44">
        <f t="shared" si="14"/>
        <v>89394.068075117364</v>
      </c>
      <c r="N63" s="134">
        <f t="shared" si="15"/>
        <v>-89394.068075117364</v>
      </c>
    </row>
    <row r="64" spans="1:14">
      <c r="A64" s="376">
        <v>42614</v>
      </c>
      <c r="B64" s="381">
        <f>736</f>
        <v>736</v>
      </c>
      <c r="C64" s="382">
        <f>66274400</f>
        <v>66274400</v>
      </c>
      <c r="D64" s="381"/>
      <c r="E64" s="382"/>
      <c r="F64" s="381"/>
      <c r="G64" s="382"/>
      <c r="H64" s="381">
        <f t="shared" ref="H64:I66" si="17">B64-D64-F64</f>
        <v>736</v>
      </c>
      <c r="I64" s="382">
        <f t="shared" si="17"/>
        <v>66274400</v>
      </c>
      <c r="J64" s="339"/>
      <c r="K64" s="44">
        <f t="shared" si="16"/>
        <v>0</v>
      </c>
      <c r="L64" s="44">
        <f t="shared" si="13"/>
        <v>90046.739130434784</v>
      </c>
      <c r="M64" s="44">
        <f t="shared" si="14"/>
        <v>90046.739130434784</v>
      </c>
      <c r="N64" s="134">
        <f t="shared" si="15"/>
        <v>-90046.739130434784</v>
      </c>
    </row>
    <row r="65" spans="1:14">
      <c r="A65" s="376">
        <v>42644</v>
      </c>
      <c r="B65" s="381">
        <f>715</f>
        <v>715</v>
      </c>
      <c r="C65" s="382">
        <f>64306896</f>
        <v>64306896</v>
      </c>
      <c r="D65" s="381"/>
      <c r="E65" s="382"/>
      <c r="F65" s="381"/>
      <c r="G65" s="382"/>
      <c r="H65" s="381">
        <f t="shared" si="17"/>
        <v>715</v>
      </c>
      <c r="I65" s="382">
        <f t="shared" si="17"/>
        <v>64306896</v>
      </c>
      <c r="J65" s="339"/>
      <c r="K65" s="44">
        <f t="shared" si="16"/>
        <v>0</v>
      </c>
      <c r="L65" s="44">
        <f t="shared" si="13"/>
        <v>89939.714685314684</v>
      </c>
      <c r="M65" s="44">
        <f t="shared" si="14"/>
        <v>89939.714685314684</v>
      </c>
      <c r="N65" s="134">
        <f t="shared" si="15"/>
        <v>-89939.714685314684</v>
      </c>
    </row>
    <row r="66" spans="1:14">
      <c r="A66" s="376">
        <v>42675</v>
      </c>
      <c r="B66" s="381">
        <f>812</f>
        <v>812</v>
      </c>
      <c r="C66" s="382">
        <f>73433398</f>
        <v>73433398</v>
      </c>
      <c r="D66" s="381"/>
      <c r="E66" s="382"/>
      <c r="F66" s="381"/>
      <c r="G66" s="382"/>
      <c r="H66" s="381">
        <f t="shared" si="17"/>
        <v>812</v>
      </c>
      <c r="I66" s="382">
        <f t="shared" si="17"/>
        <v>73433398</v>
      </c>
      <c r="J66" s="339"/>
      <c r="K66" s="44">
        <f t="shared" si="16"/>
        <v>0</v>
      </c>
      <c r="L66" s="44">
        <f t="shared" si="13"/>
        <v>90435.219211822667</v>
      </c>
      <c r="M66" s="44">
        <f t="shared" si="14"/>
        <v>90435.219211822667</v>
      </c>
      <c r="N66" s="134">
        <f t="shared" si="15"/>
        <v>-90435.219211822667</v>
      </c>
    </row>
    <row r="67" spans="1:14">
      <c r="A67" s="376">
        <v>42705</v>
      </c>
      <c r="B67" s="381">
        <v>786</v>
      </c>
      <c r="C67" s="382">
        <f>73348322</f>
        <v>73348322</v>
      </c>
      <c r="D67" s="381"/>
      <c r="E67" s="382"/>
      <c r="F67" s="381"/>
      <c r="G67" s="382"/>
      <c r="H67" s="381">
        <f t="shared" ref="H67:H68" si="18">B67-D67-F67</f>
        <v>786</v>
      </c>
      <c r="I67" s="382">
        <f t="shared" ref="I67:I68" si="19">C67-E67-G67</f>
        <v>73348322</v>
      </c>
      <c r="J67" s="339"/>
      <c r="K67" s="44">
        <f t="shared" ref="K67" si="20">IF(D67&lt;=0,0,+E67/D67)</f>
        <v>0</v>
      </c>
      <c r="L67" s="44">
        <f t="shared" ref="L67" si="21">IF(H67&lt;=0,0,+I67/H67)</f>
        <v>93318.475826972004</v>
      </c>
      <c r="M67" s="44">
        <f t="shared" ref="M67" si="22">IF(B67&lt;=0,0,+C67/B67)</f>
        <v>93318.475826972004</v>
      </c>
      <c r="N67" s="134">
        <f t="shared" ref="N67" si="23">+K67-L67</f>
        <v>-93318.475826972004</v>
      </c>
    </row>
    <row r="68" spans="1:14">
      <c r="A68" s="376">
        <v>42736</v>
      </c>
      <c r="B68" s="381">
        <f>779</f>
        <v>779</v>
      </c>
      <c r="C68" s="382">
        <f>72976957</f>
        <v>72976957</v>
      </c>
      <c r="D68" s="381"/>
      <c r="E68" s="382"/>
      <c r="F68" s="381">
        <v>27</v>
      </c>
      <c r="G68" s="382">
        <v>2326920</v>
      </c>
      <c r="H68" s="381">
        <f t="shared" si="18"/>
        <v>752</v>
      </c>
      <c r="I68" s="382">
        <f t="shared" si="19"/>
        <v>70650037</v>
      </c>
      <c r="J68" s="339"/>
      <c r="K68" s="44">
        <f t="shared" ref="K68" si="24">IF(D68&lt;=0,0,+E68/D68)</f>
        <v>0</v>
      </c>
      <c r="L68" s="44">
        <f t="shared" ref="L68" si="25">IF(H68&lt;=0,0,+I68/H68)</f>
        <v>93949.517287234048</v>
      </c>
      <c r="M68" s="44">
        <f t="shared" ref="M68" si="26">IF(B68&lt;=0,0,+C68/B68)</f>
        <v>93680.30423620026</v>
      </c>
      <c r="N68" s="134">
        <f t="shared" ref="N68" si="27">+K68-L68</f>
        <v>-93949.517287234048</v>
      </c>
    </row>
    <row r="69" spans="1:14">
      <c r="A69" s="376">
        <v>42767</v>
      </c>
      <c r="B69" s="381"/>
      <c r="C69" s="382"/>
      <c r="D69" s="381"/>
      <c r="E69" s="382"/>
      <c r="F69" s="381"/>
      <c r="G69" s="382"/>
      <c r="H69" s="381"/>
      <c r="I69" s="382"/>
      <c r="J69" s="339"/>
      <c r="K69" s="44"/>
      <c r="L69" s="44"/>
      <c r="N69" s="134"/>
    </row>
    <row r="70" spans="1:14">
      <c r="A70" s="376">
        <v>42795</v>
      </c>
      <c r="B70" s="381"/>
      <c r="C70" s="382"/>
      <c r="D70" s="381"/>
      <c r="E70" s="382"/>
      <c r="F70" s="381"/>
      <c r="G70" s="382"/>
      <c r="H70" s="381"/>
      <c r="I70" s="382"/>
      <c r="J70" s="339"/>
      <c r="K70" s="44"/>
      <c r="L70" s="44"/>
      <c r="N70" s="134"/>
    </row>
    <row r="71" spans="1:14">
      <c r="A71" s="383" t="s">
        <v>4</v>
      </c>
      <c r="B71" s="384">
        <f t="shared" ref="B71:I71" si="28">SUM(B47:B70)</f>
        <v>30935.498</v>
      </c>
      <c r="C71" s="385">
        <f t="shared" si="28"/>
        <v>2604862209.4099998</v>
      </c>
      <c r="D71" s="384">
        <f t="shared" si="28"/>
        <v>7041.0800000000008</v>
      </c>
      <c r="E71" s="385">
        <f t="shared" si="28"/>
        <v>499468309.63</v>
      </c>
      <c r="F71" s="384">
        <f t="shared" si="28"/>
        <v>96.5</v>
      </c>
      <c r="G71" s="385">
        <f t="shared" si="28"/>
        <v>8032180</v>
      </c>
      <c r="H71" s="384">
        <f t="shared" si="28"/>
        <v>23797.918000000001</v>
      </c>
      <c r="I71" s="385">
        <f t="shared" si="28"/>
        <v>2097361719.7800007</v>
      </c>
      <c r="J71" s="386"/>
      <c r="K71" s="386">
        <f t="shared" si="16"/>
        <v>70936.320795957436</v>
      </c>
      <c r="L71" s="386">
        <f t="shared" si="13"/>
        <v>88132.15171932269</v>
      </c>
      <c r="M71" s="375">
        <f t="shared" si="14"/>
        <v>84203.015235442464</v>
      </c>
    </row>
    <row r="74" spans="1:14">
      <c r="A74" s="47" t="s">
        <v>369</v>
      </c>
    </row>
    <row r="75" spans="1:14">
      <c r="A75" s="35" t="s">
        <v>42</v>
      </c>
      <c r="B75" s="44">
        <v>0</v>
      </c>
      <c r="C75" s="44">
        <v>0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</row>
    <row r="76" spans="1:14">
      <c r="A76" s="35" t="s">
        <v>43</v>
      </c>
      <c r="B76" s="44">
        <f t="shared" ref="B76:I76" si="29">SUM(B5:B16)</f>
        <v>25200.54</v>
      </c>
      <c r="C76" s="44">
        <f t="shared" si="29"/>
        <v>2336023000</v>
      </c>
      <c r="D76" s="44">
        <f t="shared" si="29"/>
        <v>0</v>
      </c>
      <c r="E76" s="44">
        <f t="shared" si="29"/>
        <v>0</v>
      </c>
      <c r="F76" s="44">
        <f t="shared" si="29"/>
        <v>25200.54</v>
      </c>
      <c r="G76" s="44">
        <f t="shared" si="29"/>
        <v>2336023000</v>
      </c>
      <c r="H76" s="44">
        <f t="shared" si="29"/>
        <v>0</v>
      </c>
      <c r="I76" s="44">
        <f t="shared" si="29"/>
        <v>0</v>
      </c>
    </row>
    <row r="77" spans="1:14">
      <c r="A77" s="35" t="s">
        <v>44</v>
      </c>
      <c r="B77" s="44">
        <f t="shared" ref="B77:I77" si="30">SUM(B17:B28)</f>
        <v>27602.290000000008</v>
      </c>
      <c r="C77" s="44">
        <f t="shared" si="30"/>
        <v>2362040914.5100002</v>
      </c>
      <c r="D77" s="44">
        <f t="shared" si="30"/>
        <v>7056.9900000000016</v>
      </c>
      <c r="E77" s="44">
        <f t="shared" si="30"/>
        <v>598846323.82999992</v>
      </c>
      <c r="F77" s="44">
        <f t="shared" si="30"/>
        <v>20545.300000000007</v>
      </c>
      <c r="G77" s="44">
        <f t="shared" si="30"/>
        <v>1763194590.6800001</v>
      </c>
      <c r="H77" s="44">
        <f t="shared" si="30"/>
        <v>0</v>
      </c>
      <c r="I77" s="44">
        <f t="shared" si="30"/>
        <v>0</v>
      </c>
    </row>
    <row r="78" spans="1:14">
      <c r="A78" s="35" t="s">
        <v>370</v>
      </c>
      <c r="B78" s="44">
        <f t="shared" ref="B78:I78" si="31">SUM(B29:B40)</f>
        <v>27522</v>
      </c>
      <c r="C78" s="44">
        <f t="shared" si="31"/>
        <v>3677444818</v>
      </c>
      <c r="D78" s="44">
        <f t="shared" si="31"/>
        <v>12468.119999999999</v>
      </c>
      <c r="E78" s="44">
        <f t="shared" si="31"/>
        <v>1620768885</v>
      </c>
      <c r="F78" s="44">
        <f t="shared" si="31"/>
        <v>13627.880000000001</v>
      </c>
      <c r="G78" s="44">
        <f t="shared" si="31"/>
        <v>1824229463</v>
      </c>
      <c r="H78" s="44">
        <f t="shared" si="31"/>
        <v>0</v>
      </c>
      <c r="I78" s="44">
        <f t="shared" si="31"/>
        <v>0</v>
      </c>
    </row>
    <row r="79" spans="1:14">
      <c r="B79" s="44"/>
    </row>
    <row r="80" spans="1:14">
      <c r="A80" s="47" t="s">
        <v>371</v>
      </c>
      <c r="B80" s="44"/>
    </row>
    <row r="81" spans="1:9">
      <c r="A81" s="35" t="s">
        <v>42</v>
      </c>
      <c r="B81" s="44">
        <v>0</v>
      </c>
      <c r="C81" s="44">
        <v>0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</row>
    <row r="82" spans="1:9">
      <c r="A82" s="35" t="s">
        <v>43</v>
      </c>
      <c r="B82" s="44">
        <v>0</v>
      </c>
      <c r="C82" s="44">
        <v>0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</row>
    <row r="83" spans="1:9">
      <c r="A83" s="35" t="s">
        <v>44</v>
      </c>
      <c r="B83" s="45">
        <f>SUM(B47:B58)</f>
        <v>20262.498</v>
      </c>
      <c r="C83" s="45">
        <f t="shared" ref="C83:I83" si="32">SUM(C47:C58)</f>
        <v>1673612198.4100001</v>
      </c>
      <c r="D83" s="45">
        <f t="shared" si="32"/>
        <v>5311.0800000000008</v>
      </c>
      <c r="E83" s="45">
        <f t="shared" si="32"/>
        <v>376548945.63</v>
      </c>
      <c r="F83" s="45">
        <f t="shared" si="32"/>
        <v>19.5</v>
      </c>
      <c r="G83" s="45">
        <f t="shared" si="32"/>
        <v>1635660</v>
      </c>
      <c r="H83" s="45">
        <f t="shared" si="32"/>
        <v>14931.918000000001</v>
      </c>
      <c r="I83" s="45">
        <f t="shared" si="32"/>
        <v>1295427592.7800007</v>
      </c>
    </row>
    <row r="84" spans="1:9">
      <c r="A84" s="35" t="s">
        <v>46</v>
      </c>
      <c r="B84" s="45">
        <f>SUM(B59:B70)</f>
        <v>10673</v>
      </c>
      <c r="C84" s="45">
        <f t="shared" ref="C84:I84" si="33">SUM(C59:C70)</f>
        <v>931250011</v>
      </c>
      <c r="D84" s="45">
        <f t="shared" si="33"/>
        <v>1730</v>
      </c>
      <c r="E84" s="45">
        <f t="shared" si="33"/>
        <v>122919364</v>
      </c>
      <c r="F84" s="45">
        <f t="shared" si="33"/>
        <v>77</v>
      </c>
      <c r="G84" s="45">
        <f t="shared" si="33"/>
        <v>6396520</v>
      </c>
      <c r="H84" s="45">
        <f t="shared" si="33"/>
        <v>8866</v>
      </c>
      <c r="I84" s="45">
        <f t="shared" si="33"/>
        <v>801934127</v>
      </c>
    </row>
    <row r="86" spans="1:9">
      <c r="F86" s="45">
        <f t="shared" ref="F86:G89" si="34">D81+F81</f>
        <v>0</v>
      </c>
      <c r="G86" s="45">
        <f t="shared" si="34"/>
        <v>0</v>
      </c>
    </row>
    <row r="87" spans="1:9">
      <c r="F87" s="45">
        <f t="shared" si="34"/>
        <v>0</v>
      </c>
      <c r="G87" s="45">
        <f t="shared" si="34"/>
        <v>0</v>
      </c>
    </row>
    <row r="88" spans="1:9">
      <c r="F88" s="45">
        <f t="shared" si="34"/>
        <v>5330.5800000000008</v>
      </c>
      <c r="G88" s="45">
        <f t="shared" si="34"/>
        <v>378184605.63</v>
      </c>
    </row>
    <row r="89" spans="1:9">
      <c r="F89" s="45">
        <f t="shared" si="34"/>
        <v>1807</v>
      </c>
      <c r="G89" s="45">
        <f t="shared" si="34"/>
        <v>129315884</v>
      </c>
    </row>
  </sheetData>
  <mergeCells count="7">
    <mergeCell ref="H45:I45"/>
    <mergeCell ref="B3:C3"/>
    <mergeCell ref="D3:E3"/>
    <mergeCell ref="F3:G3"/>
    <mergeCell ref="B45:C45"/>
    <mergeCell ref="D45:E45"/>
    <mergeCell ref="F45:G4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showGridLines="0" workbookViewId="0">
      <selection activeCell="I19" sqref="I19"/>
    </sheetView>
  </sheetViews>
  <sheetFormatPr defaultRowHeight="12.75"/>
  <cols>
    <col min="1" max="1" width="11.85546875" style="1" bestFit="1" customWidth="1"/>
    <col min="2" max="2" width="13.5703125" style="1" bestFit="1" customWidth="1"/>
    <col min="3" max="5" width="12" style="1" bestFit="1" customWidth="1"/>
    <col min="6" max="6" width="11" style="1" bestFit="1" customWidth="1"/>
    <col min="7" max="7" width="13.5703125" style="1" bestFit="1" customWidth="1"/>
    <col min="8" max="16384" width="9.140625" style="1"/>
  </cols>
  <sheetData>
    <row r="1" spans="1:7">
      <c r="E1" s="404" t="s">
        <v>7</v>
      </c>
      <c r="F1" s="404"/>
    </row>
    <row r="2" spans="1:7">
      <c r="A2" s="25" t="s">
        <v>5</v>
      </c>
      <c r="B2" s="3" t="s">
        <v>1</v>
      </c>
      <c r="C2" s="3" t="s">
        <v>0</v>
      </c>
      <c r="D2" s="3" t="s">
        <v>3</v>
      </c>
      <c r="E2" s="3" t="s">
        <v>2</v>
      </c>
      <c r="F2" s="3" t="s">
        <v>8</v>
      </c>
      <c r="G2" s="5" t="s">
        <v>4</v>
      </c>
    </row>
    <row r="3" spans="1:7">
      <c r="A3" s="9">
        <v>42095</v>
      </c>
      <c r="B3" s="2">
        <v>4060.86</v>
      </c>
      <c r="C3" s="2">
        <v>668.45</v>
      </c>
      <c r="D3" s="2">
        <v>580.06999999999994</v>
      </c>
      <c r="E3" s="2"/>
      <c r="F3" s="10">
        <v>6.0605000000000002</v>
      </c>
      <c r="G3" s="6">
        <f>SUM(B3:F3)</f>
        <v>5315.4404999999997</v>
      </c>
    </row>
    <row r="4" spans="1:7">
      <c r="A4" s="9">
        <v>42125</v>
      </c>
      <c r="B4" s="2">
        <v>2528.67</v>
      </c>
      <c r="C4" s="2">
        <v>1690.8500000000004</v>
      </c>
      <c r="D4" s="2">
        <v>596.34000000000015</v>
      </c>
      <c r="E4" s="2">
        <v>75.460000000000008</v>
      </c>
      <c r="F4" s="10">
        <v>26.78</v>
      </c>
      <c r="G4" s="6">
        <f t="shared" ref="G4:G13" si="0">SUM(B4:F4)</f>
        <v>4918.1000000000004</v>
      </c>
    </row>
    <row r="5" spans="1:7">
      <c r="A5" s="9">
        <v>42156</v>
      </c>
      <c r="B5" s="2">
        <v>3704.09</v>
      </c>
      <c r="C5" s="2">
        <v>1351.25</v>
      </c>
      <c r="D5" s="2">
        <v>1380.6600000000003</v>
      </c>
      <c r="E5" s="2">
        <v>228.46</v>
      </c>
      <c r="F5" s="10">
        <v>14.076000000000001</v>
      </c>
      <c r="G5" s="6">
        <f t="shared" si="0"/>
        <v>6678.5360000000001</v>
      </c>
    </row>
    <row r="6" spans="1:7">
      <c r="A6" s="9">
        <v>42186</v>
      </c>
      <c r="B6" s="2">
        <v>1833.17</v>
      </c>
      <c r="C6" s="2">
        <v>519.31999999999994</v>
      </c>
      <c r="D6" s="2">
        <v>399.96999999999997</v>
      </c>
      <c r="E6" s="2">
        <v>929.20600000000002</v>
      </c>
      <c r="F6" s="10">
        <v>9.3770000000000007</v>
      </c>
      <c r="G6" s="6">
        <f t="shared" si="0"/>
        <v>3691.0429999999997</v>
      </c>
    </row>
    <row r="7" spans="1:7">
      <c r="A7" s="9">
        <v>42217</v>
      </c>
      <c r="B7" s="2">
        <v>1940.7799999999997</v>
      </c>
      <c r="C7" s="2">
        <v>2233.92</v>
      </c>
      <c r="D7" s="2">
        <v>819.81000000000006</v>
      </c>
      <c r="E7" s="2">
        <v>251.22</v>
      </c>
      <c r="F7" s="10">
        <v>11.098000000000001</v>
      </c>
      <c r="G7" s="6">
        <f t="shared" si="0"/>
        <v>5256.8280000000004</v>
      </c>
    </row>
    <row r="8" spans="1:7">
      <c r="A8" s="9">
        <v>42248</v>
      </c>
      <c r="B8" s="2">
        <v>915.32</v>
      </c>
      <c r="C8" s="2">
        <v>377.52</v>
      </c>
      <c r="D8" s="2">
        <v>536.6400000000001</v>
      </c>
      <c r="E8" s="2">
        <v>218.8</v>
      </c>
      <c r="F8" s="10">
        <v>35.405180000000001</v>
      </c>
      <c r="G8" s="6">
        <f t="shared" si="0"/>
        <v>2083.6851800000004</v>
      </c>
    </row>
    <row r="9" spans="1:7">
      <c r="A9" s="9">
        <v>42278</v>
      </c>
      <c r="B9" s="2">
        <v>1004.3199999999999</v>
      </c>
      <c r="C9" s="2">
        <v>653.6</v>
      </c>
      <c r="D9" s="2">
        <v>518.79999999999995</v>
      </c>
      <c r="E9" s="2">
        <v>476.08600000000001</v>
      </c>
      <c r="F9" s="10">
        <v>19.383008000000004</v>
      </c>
      <c r="G9" s="6">
        <f t="shared" si="0"/>
        <v>2672.1890080000003</v>
      </c>
    </row>
    <row r="10" spans="1:7">
      <c r="A10" s="9">
        <v>42309</v>
      </c>
      <c r="B10" s="2">
        <v>1529.89</v>
      </c>
      <c r="C10" s="2">
        <v>993.33999999999992</v>
      </c>
      <c r="D10" s="2">
        <v>540.81000000000006</v>
      </c>
      <c r="E10" s="2">
        <v>54</v>
      </c>
      <c r="F10" s="10">
        <v>30.97</v>
      </c>
      <c r="G10" s="6">
        <f t="shared" si="0"/>
        <v>3149.0099999999998</v>
      </c>
    </row>
    <row r="11" spans="1:7">
      <c r="A11" s="9">
        <v>42339</v>
      </c>
      <c r="B11" s="2">
        <v>1615.7600000000002</v>
      </c>
      <c r="C11" s="2">
        <v>936.64</v>
      </c>
      <c r="D11" s="2">
        <v>620.9799999999999</v>
      </c>
      <c r="E11" s="2">
        <v>224</v>
      </c>
      <c r="F11" s="10">
        <v>29.781000000000002</v>
      </c>
      <c r="G11" s="6">
        <f t="shared" si="0"/>
        <v>3427.1610000000001</v>
      </c>
    </row>
    <row r="12" spans="1:7">
      <c r="A12" s="9">
        <v>42370</v>
      </c>
      <c r="B12" s="2">
        <v>1993.3600000000001</v>
      </c>
      <c r="C12" s="2">
        <v>428.45000000000005</v>
      </c>
      <c r="D12" s="2">
        <v>400.62</v>
      </c>
      <c r="E12" s="2">
        <v>19.1402</v>
      </c>
      <c r="F12" s="10">
        <v>48.26400000000001</v>
      </c>
      <c r="G12" s="6">
        <f t="shared" si="0"/>
        <v>2889.8342000000002</v>
      </c>
    </row>
    <row r="13" spans="1:7">
      <c r="A13" s="9">
        <v>42401</v>
      </c>
      <c r="B13" s="2">
        <v>1577.4799999999998</v>
      </c>
      <c r="C13" s="2">
        <v>1020.89</v>
      </c>
      <c r="D13" s="2">
        <v>300.46000000000004</v>
      </c>
      <c r="E13" s="2"/>
      <c r="F13" s="10">
        <v>41.564999999999998</v>
      </c>
      <c r="G13" s="6">
        <f t="shared" si="0"/>
        <v>2940.395</v>
      </c>
    </row>
    <row r="14" spans="1:7">
      <c r="A14" s="8" t="s">
        <v>4</v>
      </c>
      <c r="B14" s="4">
        <f>SUM(B3:B13)</f>
        <v>22703.7</v>
      </c>
      <c r="C14" s="4">
        <f>SUM(C3:C13)</f>
        <v>10874.23</v>
      </c>
      <c r="D14" s="4">
        <f>SUM(D3:D13)</f>
        <v>6695.1600000000008</v>
      </c>
      <c r="E14" s="4">
        <f>SUM(E3:E13)</f>
        <v>2476.3721999999998</v>
      </c>
      <c r="F14" s="4">
        <f>SUM(F3:F13)</f>
        <v>272.75968800000004</v>
      </c>
      <c r="G14" s="7">
        <f t="shared" ref="G14" si="1">SUM(G3:G13)</f>
        <v>43022.221888</v>
      </c>
    </row>
    <row r="16" spans="1:7">
      <c r="E16" s="404" t="s">
        <v>7</v>
      </c>
      <c r="F16" s="404"/>
    </row>
    <row r="17" spans="1:7">
      <c r="A17" s="25" t="s">
        <v>6</v>
      </c>
      <c r="B17" s="3" t="s">
        <v>1</v>
      </c>
      <c r="C17" s="3" t="s">
        <v>0</v>
      </c>
      <c r="D17" s="3" t="s">
        <v>3</v>
      </c>
      <c r="E17" s="3" t="s">
        <v>2</v>
      </c>
      <c r="F17" s="3" t="s">
        <v>8</v>
      </c>
      <c r="G17" s="5" t="s">
        <v>4</v>
      </c>
    </row>
    <row r="18" spans="1:7">
      <c r="A18" s="9">
        <v>42095</v>
      </c>
      <c r="B18" s="2">
        <v>369300572.07999998</v>
      </c>
      <c r="C18" s="2">
        <v>58782788.039999999</v>
      </c>
      <c r="D18" s="2">
        <v>53992608.030000001</v>
      </c>
      <c r="E18" s="2"/>
      <c r="F18" s="10">
        <v>1978366.8399999999</v>
      </c>
      <c r="G18" s="6">
        <f>SUM(B18:F18)</f>
        <v>484054334.98999995</v>
      </c>
    </row>
    <row r="19" spans="1:7">
      <c r="A19" s="9">
        <v>42125</v>
      </c>
      <c r="B19" s="2">
        <v>232081353.61000004</v>
      </c>
      <c r="C19" s="2">
        <v>148896191.69999999</v>
      </c>
      <c r="D19" s="2">
        <v>53078998.770000011</v>
      </c>
      <c r="E19" s="2">
        <v>7015599.9800000004</v>
      </c>
      <c r="F19" s="10">
        <v>5013949.38</v>
      </c>
      <c r="G19" s="6">
        <f t="shared" ref="G19:G28" si="2">SUM(B19:F19)</f>
        <v>446086093.44000006</v>
      </c>
    </row>
    <row r="20" spans="1:7">
      <c r="A20" s="9">
        <v>42156</v>
      </c>
      <c r="B20" s="2">
        <v>328276018.69000012</v>
      </c>
      <c r="C20" s="2">
        <v>121985351.28</v>
      </c>
      <c r="D20" s="2">
        <v>119949662.33000001</v>
      </c>
      <c r="E20" s="2">
        <v>21407589.689999998</v>
      </c>
      <c r="F20" s="10">
        <v>6936793.5300000012</v>
      </c>
      <c r="G20" s="6">
        <f t="shared" si="2"/>
        <v>598555415.52000022</v>
      </c>
    </row>
    <row r="21" spans="1:7">
      <c r="A21" s="9">
        <v>42186</v>
      </c>
      <c r="B21" s="2">
        <v>165741273.97999999</v>
      </c>
      <c r="C21" s="2">
        <v>44027062.789999999</v>
      </c>
      <c r="D21" s="2">
        <v>34425913.439999998</v>
      </c>
      <c r="E21" s="2">
        <v>80518847.99000001</v>
      </c>
      <c r="F21" s="10">
        <v>3115099.8299999996</v>
      </c>
      <c r="G21" s="6">
        <f t="shared" si="2"/>
        <v>327828198.02999997</v>
      </c>
    </row>
    <row r="22" spans="1:7">
      <c r="A22" s="9">
        <v>42217</v>
      </c>
      <c r="B22" s="2">
        <v>175787047.03</v>
      </c>
      <c r="C22" s="2">
        <v>199793648.46000004</v>
      </c>
      <c r="D22" s="2">
        <v>69245386.840000004</v>
      </c>
      <c r="E22" s="2">
        <v>22098657.699999999</v>
      </c>
      <c r="F22" s="10">
        <v>3424598.86</v>
      </c>
      <c r="G22" s="6">
        <f t="shared" si="2"/>
        <v>470349338.89000005</v>
      </c>
    </row>
    <row r="23" spans="1:7">
      <c r="A23" s="9">
        <v>42248</v>
      </c>
      <c r="B23" s="2">
        <v>84431852.680000007</v>
      </c>
      <c r="C23" s="2">
        <v>33329648.100000001</v>
      </c>
      <c r="D23" s="2">
        <v>43999033.039999992</v>
      </c>
      <c r="E23" s="2">
        <v>19025066.489999998</v>
      </c>
      <c r="F23" s="10">
        <v>6140260.0800000001</v>
      </c>
      <c r="G23" s="6">
        <f t="shared" si="2"/>
        <v>186925860.39000002</v>
      </c>
    </row>
    <row r="24" spans="1:7">
      <c r="A24" s="9">
        <v>42278</v>
      </c>
      <c r="B24" s="2">
        <v>78289437.350000009</v>
      </c>
      <c r="C24" s="2">
        <v>49081565.149999991</v>
      </c>
      <c r="D24" s="2">
        <v>38888423.730000004</v>
      </c>
      <c r="E24" s="2">
        <v>41317897.140000001</v>
      </c>
      <c r="F24" s="10">
        <v>7532017.5499999998</v>
      </c>
      <c r="G24" s="6">
        <f t="shared" si="2"/>
        <v>215109340.92000002</v>
      </c>
    </row>
    <row r="25" spans="1:7">
      <c r="A25" s="9">
        <v>42309</v>
      </c>
      <c r="B25" s="2">
        <v>116045949.71999997</v>
      </c>
      <c r="C25" s="2">
        <v>65912977.280000001</v>
      </c>
      <c r="D25" s="2">
        <v>39376097.829999998</v>
      </c>
      <c r="E25" s="2">
        <v>4272975.49</v>
      </c>
      <c r="F25" s="10">
        <v>10230089.68</v>
      </c>
      <c r="G25" s="6">
        <f t="shared" si="2"/>
        <v>235838090</v>
      </c>
    </row>
    <row r="26" spans="1:7">
      <c r="A26" s="9">
        <v>42339</v>
      </c>
      <c r="B26" s="2">
        <v>129882377.17000002</v>
      </c>
      <c r="C26" s="2">
        <v>74931454.289999992</v>
      </c>
      <c r="D26" s="2">
        <v>46988407.879999995</v>
      </c>
      <c r="E26" s="2">
        <v>16717498.810000001</v>
      </c>
      <c r="F26" s="10">
        <v>5632656.0800000001</v>
      </c>
      <c r="G26" s="6">
        <f t="shared" si="2"/>
        <v>274152394.22999996</v>
      </c>
    </row>
    <row r="27" spans="1:7">
      <c r="A27" s="9">
        <v>42370</v>
      </c>
      <c r="B27" s="2">
        <v>159727846.99000001</v>
      </c>
      <c r="C27" s="2">
        <v>31282291.780000001</v>
      </c>
      <c r="D27" s="2">
        <v>31339685.789999999</v>
      </c>
      <c r="E27" s="2">
        <v>1583001.52</v>
      </c>
      <c r="F27" s="10">
        <v>6723371.0500000007</v>
      </c>
      <c r="G27" s="6">
        <f t="shared" si="2"/>
        <v>230656197.13000003</v>
      </c>
    </row>
    <row r="28" spans="1:7">
      <c r="A28" s="9">
        <v>42401</v>
      </c>
      <c r="B28" s="2">
        <v>127749201.72000001</v>
      </c>
      <c r="C28" s="2">
        <v>77809658.730000019</v>
      </c>
      <c r="D28" s="2">
        <v>24981029.32</v>
      </c>
      <c r="E28" s="2"/>
      <c r="F28" s="10">
        <v>4695988.8000000007</v>
      </c>
      <c r="G28" s="6">
        <f t="shared" si="2"/>
        <v>235235878.57000005</v>
      </c>
    </row>
    <row r="29" spans="1:7">
      <c r="A29" s="8" t="s">
        <v>4</v>
      </c>
      <c r="B29" s="4">
        <f t="shared" ref="B29" si="3">SUM(B18:B28)</f>
        <v>1967312931.0200002</v>
      </c>
      <c r="C29" s="4">
        <f t="shared" ref="C29" si="4">SUM(C18:C28)</f>
        <v>905832637.5999999</v>
      </c>
      <c r="D29" s="4">
        <f t="shared" ref="D29" si="5">SUM(D18:D28)</f>
        <v>556265247.00000012</v>
      </c>
      <c r="E29" s="4">
        <f t="shared" ref="E29:F29" si="6">SUM(E18:E28)</f>
        <v>213957134.81000003</v>
      </c>
      <c r="F29" s="4">
        <f t="shared" si="6"/>
        <v>61423191.679999992</v>
      </c>
      <c r="G29" s="7">
        <f t="shared" ref="G29" si="7">SUM(G18:G28)</f>
        <v>3704791142.1100006</v>
      </c>
    </row>
    <row r="31" spans="1:7">
      <c r="E31" s="404" t="s">
        <v>7</v>
      </c>
      <c r="F31" s="404"/>
    </row>
    <row r="32" spans="1:7">
      <c r="A32" s="25" t="s">
        <v>6</v>
      </c>
      <c r="B32" s="3" t="s">
        <v>1</v>
      </c>
      <c r="C32" s="3" t="s">
        <v>0</v>
      </c>
      <c r="D32" s="3" t="s">
        <v>3</v>
      </c>
      <c r="E32" s="3" t="s">
        <v>2</v>
      </c>
      <c r="F32" s="3" t="s">
        <v>8</v>
      </c>
      <c r="G32" s="5" t="s">
        <v>4</v>
      </c>
    </row>
    <row r="33" spans="1:7">
      <c r="A33" s="9">
        <v>42095</v>
      </c>
      <c r="B33" s="13">
        <f>IF(B3&lt;=0,0,B18/B3)</f>
        <v>90941.468575621911</v>
      </c>
      <c r="C33" s="13">
        <f t="shared" ref="C33:F33" si="8">IF(C3&lt;=0,0,C18/C3)</f>
        <v>87938.945381105528</v>
      </c>
      <c r="D33" s="13">
        <f t="shared" si="8"/>
        <v>93079.469770889729</v>
      </c>
      <c r="E33" s="13">
        <f t="shared" si="8"/>
        <v>0</v>
      </c>
      <c r="F33" s="13">
        <f t="shared" si="8"/>
        <v>326436.24123422155</v>
      </c>
      <c r="G33" s="20">
        <f t="shared" ref="G33" si="9">IF(G3&lt;=0,0,G18/G3)</f>
        <v>91065.704712525709</v>
      </c>
    </row>
    <row r="34" spans="1:7">
      <c r="A34" s="9">
        <v>42125</v>
      </c>
      <c r="B34" s="13">
        <f t="shared" ref="B34:F44" si="10">IF(B4&lt;=0,0,B19/B4)</f>
        <v>91780.008308715667</v>
      </c>
      <c r="C34" s="13">
        <f t="shared" si="10"/>
        <v>88059.964928881891</v>
      </c>
      <c r="D34" s="13">
        <f t="shared" si="10"/>
        <v>89007.946423181405</v>
      </c>
      <c r="E34" s="13">
        <f t="shared" si="10"/>
        <v>92971.110257089851</v>
      </c>
      <c r="F34" s="13">
        <f t="shared" si="10"/>
        <v>187227.3853622106</v>
      </c>
      <c r="G34" s="24">
        <f t="shared" ref="G34" si="11">IF(G4&lt;=0,0,G19/G4)</f>
        <v>90702.93272605275</v>
      </c>
    </row>
    <row r="35" spans="1:7">
      <c r="A35" s="9">
        <v>42156</v>
      </c>
      <c r="B35" s="13">
        <f t="shared" si="10"/>
        <v>88625.281429446943</v>
      </c>
      <c r="C35" s="13">
        <f t="shared" si="10"/>
        <v>90275.930641998144</v>
      </c>
      <c r="D35" s="13">
        <f t="shared" si="10"/>
        <v>86878.494582301209</v>
      </c>
      <c r="E35" s="13">
        <f t="shared" si="10"/>
        <v>93703.88553794974</v>
      </c>
      <c r="F35" s="13">
        <f t="shared" si="10"/>
        <v>492809.99786871276</v>
      </c>
      <c r="G35" s="24">
        <f t="shared" ref="G35" si="12">IF(G5&lt;=0,0,G20/G5)</f>
        <v>89623.746210247307</v>
      </c>
    </row>
    <row r="36" spans="1:7">
      <c r="A36" s="9">
        <v>42186</v>
      </c>
      <c r="B36" s="13">
        <f t="shared" si="10"/>
        <v>90412.386183496332</v>
      </c>
      <c r="C36" s="13">
        <f t="shared" si="10"/>
        <v>84778.292363090208</v>
      </c>
      <c r="D36" s="13">
        <f t="shared" si="10"/>
        <v>86071.238942920725</v>
      </c>
      <c r="E36" s="13">
        <f t="shared" si="10"/>
        <v>86653.387935506238</v>
      </c>
      <c r="F36" s="13">
        <f t="shared" si="10"/>
        <v>332206.44449184166</v>
      </c>
      <c r="G36" s="24">
        <f t="shared" ref="G36" si="13">IF(G6&lt;=0,0,G21/G6)</f>
        <v>88817.225383177603</v>
      </c>
    </row>
    <row r="37" spans="1:7">
      <c r="A37" s="9">
        <v>42217</v>
      </c>
      <c r="B37" s="13">
        <f t="shared" si="10"/>
        <v>90575.462973649788</v>
      </c>
      <c r="C37" s="13">
        <f t="shared" si="10"/>
        <v>89436.348866566404</v>
      </c>
      <c r="D37" s="13">
        <f t="shared" si="10"/>
        <v>84465.164904063131</v>
      </c>
      <c r="E37" s="13">
        <f t="shared" si="10"/>
        <v>87965.359843961473</v>
      </c>
      <c r="F37" s="13">
        <f t="shared" si="10"/>
        <v>308578.01946296624</v>
      </c>
      <c r="G37" s="24">
        <f t="shared" ref="G37" si="14">IF(G7&lt;=0,0,G22/G7)</f>
        <v>89473.982958925044</v>
      </c>
    </row>
    <row r="38" spans="1:7">
      <c r="A38" s="9">
        <v>42248</v>
      </c>
      <c r="B38" s="13">
        <f t="shared" si="10"/>
        <v>92242.988987457938</v>
      </c>
      <c r="C38" s="13">
        <f t="shared" si="10"/>
        <v>88285.781150667521</v>
      </c>
      <c r="D38" s="13">
        <f t="shared" si="10"/>
        <v>81989.849880739392</v>
      </c>
      <c r="E38" s="13">
        <f t="shared" si="10"/>
        <v>86951.857815356474</v>
      </c>
      <c r="F38" s="13">
        <f t="shared" si="10"/>
        <v>173428.29721526624</v>
      </c>
      <c r="G38" s="24">
        <f t="shared" ref="G38" si="15">IF(G8&lt;=0,0,G23/G8)</f>
        <v>89709.262312841325</v>
      </c>
    </row>
    <row r="39" spans="1:7">
      <c r="A39" s="9">
        <v>42278</v>
      </c>
      <c r="B39" s="13">
        <f t="shared" si="10"/>
        <v>77952.681764776178</v>
      </c>
      <c r="C39" s="13">
        <f t="shared" si="10"/>
        <v>75094.193925948581</v>
      </c>
      <c r="D39" s="13">
        <f t="shared" si="10"/>
        <v>74958.411198920599</v>
      </c>
      <c r="E39" s="13">
        <f t="shared" si="10"/>
        <v>86786.624979520508</v>
      </c>
      <c r="F39" s="13">
        <f t="shared" si="10"/>
        <v>388588.6829330101</v>
      </c>
      <c r="G39" s="24">
        <f t="shared" ref="G39" si="16">IF(G9&lt;=0,0,G24/G9)</f>
        <v>80499.298618475572</v>
      </c>
    </row>
    <row r="40" spans="1:7">
      <c r="A40" s="9">
        <v>42309</v>
      </c>
      <c r="B40" s="13">
        <f t="shared" si="10"/>
        <v>75852.479407016159</v>
      </c>
      <c r="C40" s="13">
        <f t="shared" si="10"/>
        <v>66354.900920128057</v>
      </c>
      <c r="D40" s="13">
        <f t="shared" si="10"/>
        <v>72809.485456999668</v>
      </c>
      <c r="E40" s="13">
        <f t="shared" si="10"/>
        <v>79129.175740740742</v>
      </c>
      <c r="F40" s="13">
        <f t="shared" si="10"/>
        <v>330322.55989667418</v>
      </c>
      <c r="G40" s="24">
        <f t="shared" ref="G40" si="17">IF(G10&lt;=0,0,G25/G10)</f>
        <v>74892.772649181818</v>
      </c>
    </row>
    <row r="41" spans="1:7">
      <c r="A41" s="9">
        <v>42339</v>
      </c>
      <c r="B41" s="13">
        <f t="shared" si="10"/>
        <v>80384.696471010539</v>
      </c>
      <c r="C41" s="13">
        <f t="shared" si="10"/>
        <v>80000.271491715059</v>
      </c>
      <c r="D41" s="13">
        <f t="shared" si="10"/>
        <v>75668.150149763285</v>
      </c>
      <c r="E41" s="13">
        <f t="shared" si="10"/>
        <v>74631.691116071437</v>
      </c>
      <c r="F41" s="13">
        <f t="shared" si="10"/>
        <v>189135.89469796178</v>
      </c>
      <c r="G41" s="24">
        <f t="shared" ref="G41" si="18">IF(G11&lt;=0,0,G26/G11)</f>
        <v>79994.022524766115</v>
      </c>
    </row>
    <row r="42" spans="1:7">
      <c r="A42" s="9">
        <v>42370</v>
      </c>
      <c r="B42" s="13">
        <f t="shared" si="10"/>
        <v>80129.954945418795</v>
      </c>
      <c r="C42" s="13">
        <f t="shared" si="10"/>
        <v>73012.701085307504</v>
      </c>
      <c r="D42" s="13">
        <f t="shared" si="10"/>
        <v>78227.961135240374</v>
      </c>
      <c r="E42" s="13">
        <f t="shared" si="10"/>
        <v>82705.589283288573</v>
      </c>
      <c r="F42" s="13">
        <f t="shared" si="10"/>
        <v>139304.05788993865</v>
      </c>
      <c r="G42" s="24">
        <f t="shared" ref="G42" si="19">IF(G12&lt;=0,0,G27/G12)</f>
        <v>79816.41200384438</v>
      </c>
    </row>
    <row r="43" spans="1:7">
      <c r="A43" s="9">
        <v>42401</v>
      </c>
      <c r="B43" s="13">
        <f t="shared" si="10"/>
        <v>80983.088039151073</v>
      </c>
      <c r="C43" s="13">
        <f t="shared" si="10"/>
        <v>76217.475663391771</v>
      </c>
      <c r="D43" s="13">
        <f t="shared" si="10"/>
        <v>83142.61239432868</v>
      </c>
      <c r="E43" s="13">
        <f t="shared" si="10"/>
        <v>0</v>
      </c>
      <c r="F43" s="13">
        <f t="shared" si="10"/>
        <v>112979.40093828944</v>
      </c>
      <c r="G43" s="26">
        <f t="shared" ref="G43:G44" si="20">IF(G13&lt;=0,0,G28/G13)</f>
        <v>80001.455100420193</v>
      </c>
    </row>
    <row r="44" spans="1:7">
      <c r="A44" s="8" t="s">
        <v>4</v>
      </c>
      <c r="B44" s="4">
        <f t="shared" si="10"/>
        <v>86651.644050088755</v>
      </c>
      <c r="C44" s="4">
        <f t="shared" si="10"/>
        <v>83300.853265012775</v>
      </c>
      <c r="D44" s="4">
        <f t="shared" si="10"/>
        <v>83084.683114369196</v>
      </c>
      <c r="E44" s="4">
        <f t="shared" si="10"/>
        <v>86399.425260063916</v>
      </c>
      <c r="F44" s="4">
        <f t="shared" si="10"/>
        <v>225191.60412003397</v>
      </c>
      <c r="G44" s="7">
        <f t="shared" si="20"/>
        <v>86113.431141578534</v>
      </c>
    </row>
  </sheetData>
  <mergeCells count="3">
    <mergeCell ref="E1:F1"/>
    <mergeCell ref="E16:F16"/>
    <mergeCell ref="E31:F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5"/>
  <sheetViews>
    <sheetView showGridLines="0" workbookViewId="0">
      <selection activeCell="F18" sqref="F18"/>
    </sheetView>
  </sheetViews>
  <sheetFormatPr defaultRowHeight="12"/>
  <cols>
    <col min="1" max="1" width="9.140625" style="135"/>
    <col min="2" max="2" width="9.140625" style="248"/>
    <col min="3" max="3" width="9.140625" style="135" customWidth="1"/>
    <col min="4" max="4" width="9.85546875" style="135" customWidth="1"/>
    <col min="5" max="10" width="9.140625" style="135" customWidth="1"/>
    <col min="11" max="16384" width="9.140625" style="135"/>
  </cols>
  <sheetData>
    <row r="2" spans="2:12">
      <c r="B2" s="249"/>
      <c r="C2" s="405" t="s">
        <v>48</v>
      </c>
      <c r="D2" s="405"/>
      <c r="E2" s="405" t="s">
        <v>33</v>
      </c>
      <c r="F2" s="405"/>
      <c r="G2" s="405" t="s">
        <v>39</v>
      </c>
      <c r="H2" s="405"/>
      <c r="I2" s="405" t="s">
        <v>197</v>
      </c>
      <c r="J2" s="405"/>
      <c r="K2" s="405" t="s">
        <v>341</v>
      </c>
      <c r="L2" s="405"/>
    </row>
    <row r="3" spans="2:12">
      <c r="B3" s="408"/>
      <c r="C3" s="245" t="s">
        <v>198</v>
      </c>
      <c r="D3" s="406" t="s">
        <v>200</v>
      </c>
      <c r="E3" s="245" t="s">
        <v>198</v>
      </c>
      <c r="F3" s="406" t="s">
        <v>200</v>
      </c>
      <c r="G3" s="245" t="s">
        <v>198</v>
      </c>
      <c r="H3" s="406" t="s">
        <v>200</v>
      </c>
      <c r="I3" s="245" t="s">
        <v>198</v>
      </c>
      <c r="J3" s="406" t="s">
        <v>200</v>
      </c>
      <c r="K3" s="343" t="s">
        <v>198</v>
      </c>
      <c r="L3" s="406" t="s">
        <v>200</v>
      </c>
    </row>
    <row r="4" spans="2:12">
      <c r="B4" s="409"/>
      <c r="C4" s="247" t="s">
        <v>199</v>
      </c>
      <c r="D4" s="407"/>
      <c r="E4" s="247" t="s">
        <v>199</v>
      </c>
      <c r="F4" s="407"/>
      <c r="G4" s="247" t="s">
        <v>199</v>
      </c>
      <c r="H4" s="407"/>
      <c r="I4" s="247" t="s">
        <v>199</v>
      </c>
      <c r="J4" s="407"/>
      <c r="K4" s="344" t="s">
        <v>199</v>
      </c>
      <c r="L4" s="407"/>
    </row>
    <row r="5" spans="2:12">
      <c r="B5" s="275" t="s">
        <v>17</v>
      </c>
      <c r="C5" s="274"/>
      <c r="D5" s="274"/>
      <c r="E5" s="274"/>
      <c r="F5" s="274"/>
      <c r="G5" s="274"/>
      <c r="H5" s="274"/>
      <c r="I5" s="274"/>
      <c r="J5" s="274"/>
      <c r="K5" s="274"/>
      <c r="L5" s="274"/>
    </row>
    <row r="6" spans="2:12">
      <c r="B6" s="250" t="s">
        <v>0</v>
      </c>
      <c r="C6" s="266">
        <f>'Import Summary'!$CF$6</f>
        <v>19.760000000000002</v>
      </c>
      <c r="D6" s="265">
        <f>'Import Summary'!$CR$6</f>
        <v>151.81465030364373</v>
      </c>
      <c r="E6" s="266">
        <f>'Import Summary'!$CF$22</f>
        <v>0</v>
      </c>
      <c r="F6" s="265">
        <f>'Import Summary'!$CR$22</f>
        <v>0</v>
      </c>
      <c r="G6" s="266">
        <f>'Import Summary'!$CF$38</f>
        <v>6.8</v>
      </c>
      <c r="H6" s="265">
        <f>'Import Summary'!$CR$38</f>
        <v>243.7938</v>
      </c>
      <c r="I6" s="266">
        <v>0</v>
      </c>
      <c r="J6" s="265">
        <v>0</v>
      </c>
      <c r="K6" s="266">
        <f>'Import Summary'!$CF$54</f>
        <v>0</v>
      </c>
      <c r="L6" s="265">
        <f>'Import Summary'!$CR$54</f>
        <v>0</v>
      </c>
    </row>
    <row r="7" spans="2:12">
      <c r="B7" s="250" t="s">
        <v>1</v>
      </c>
      <c r="C7" s="266">
        <f>'Import Summary'!$CG$6</f>
        <v>0</v>
      </c>
      <c r="D7" s="265">
        <f>'Import Summary'!$CS$6</f>
        <v>0</v>
      </c>
      <c r="E7" s="266">
        <f>'Import Summary'!$CG$22</f>
        <v>0</v>
      </c>
      <c r="F7" s="265">
        <f>'Import Summary'!$CS$22</f>
        <v>0</v>
      </c>
      <c r="G7" s="266">
        <f>'Import Summary'!$CG$38</f>
        <v>0</v>
      </c>
      <c r="H7" s="265">
        <f>'Import Summary'!$CS$38</f>
        <v>0</v>
      </c>
      <c r="I7" s="266">
        <v>0</v>
      </c>
      <c r="J7" s="265">
        <v>0</v>
      </c>
      <c r="K7" s="266">
        <f>'Import Summary'!$CG$54</f>
        <v>0</v>
      </c>
      <c r="L7" s="265">
        <f>'Import Summary'!$CS$54</f>
        <v>0</v>
      </c>
    </row>
    <row r="8" spans="2:12">
      <c r="B8" s="250" t="s">
        <v>3</v>
      </c>
      <c r="C8" s="266">
        <f>'Import Summary'!$CH$6</f>
        <v>19.5</v>
      </c>
      <c r="D8" s="265">
        <f>'Import Summary'!$CT$6</f>
        <v>177.24591025641024</v>
      </c>
      <c r="E8" s="266">
        <f>'Import Summary'!$CH$22</f>
        <v>20.07</v>
      </c>
      <c r="F8" s="265">
        <f>'Import Summary'!$CT$22</f>
        <v>197.91738814150472</v>
      </c>
      <c r="G8" s="266">
        <f>'Import Summary'!$CH$38</f>
        <v>0</v>
      </c>
      <c r="H8" s="265">
        <f>'Import Summary'!$CT$38</f>
        <v>0</v>
      </c>
      <c r="I8" s="266">
        <v>0</v>
      </c>
      <c r="J8" s="265">
        <v>0</v>
      </c>
      <c r="K8" s="266">
        <f>'Import Summary'!$CH$54</f>
        <v>0</v>
      </c>
      <c r="L8" s="265">
        <f>'Import Summary'!$CT$54</f>
        <v>0</v>
      </c>
    </row>
    <row r="9" spans="2:12">
      <c r="B9" s="250" t="s">
        <v>7</v>
      </c>
      <c r="C9" s="266">
        <f>'Import Summary'!$CI$6</f>
        <v>18.8</v>
      </c>
      <c r="D9" s="265">
        <f>'Import Summary'!$CU$6</f>
        <v>140.51927978723404</v>
      </c>
      <c r="E9" s="266">
        <f>'Import Summary'!$CI$22</f>
        <v>18.91</v>
      </c>
      <c r="F9" s="265">
        <f>'Import Summary'!$CU$22</f>
        <v>134.98234108937072</v>
      </c>
      <c r="G9" s="266">
        <f>'Import Summary'!$CI$38</f>
        <v>13.6</v>
      </c>
      <c r="H9" s="265">
        <f>'Import Summary'!$CU$38</f>
        <v>216.1033875</v>
      </c>
      <c r="I9" s="266">
        <v>19</v>
      </c>
      <c r="J9" s="265">
        <v>125.08950999999999</v>
      </c>
      <c r="K9" s="266">
        <f>'Import Summary'!$CI$54</f>
        <v>148.01</v>
      </c>
      <c r="L9" s="265">
        <f>'Import Summary'!$CU$54</f>
        <v>124.30412836970474</v>
      </c>
    </row>
    <row r="10" spans="2:12">
      <c r="B10" s="278" t="s">
        <v>58</v>
      </c>
      <c r="C10" s="276">
        <f>SUM(C6:C9)</f>
        <v>58.06</v>
      </c>
      <c r="D10" s="277">
        <f>IF(C10&lt;=0,0,SUMPRODUCT(C6:C9,D6:D9)/C10)</f>
        <v>156.69850499483292</v>
      </c>
      <c r="E10" s="276">
        <f>SUM(E6:E9)</f>
        <v>38.980000000000004</v>
      </c>
      <c r="F10" s="277">
        <f>IF(E10&lt;=0,0,SUMPRODUCT(E6:E9,F6:F9)/E10)</f>
        <v>167.38630194971776</v>
      </c>
      <c r="G10" s="276">
        <f>SUM(G6:G9)</f>
        <v>20.399999999999999</v>
      </c>
      <c r="H10" s="277">
        <f>IF(G10&lt;=0,0,SUMPRODUCT(G6:G9,H6:H9)/G10)</f>
        <v>225.33352500000001</v>
      </c>
      <c r="I10" s="276">
        <v>19</v>
      </c>
      <c r="J10" s="277">
        <v>125.08950999999998</v>
      </c>
      <c r="K10" s="276">
        <f>SUM(K6:K9)</f>
        <v>148.01</v>
      </c>
      <c r="L10" s="277">
        <f>IF(K10&lt;=0,0,SUMPRODUCT(K6:K9,L6:L9)/K10)</f>
        <v>124.30412836970473</v>
      </c>
    </row>
    <row r="11" spans="2:12">
      <c r="B11" s="275" t="s">
        <v>24</v>
      </c>
      <c r="C11" s="274"/>
      <c r="D11" s="274"/>
      <c r="E11" s="274"/>
      <c r="F11" s="274"/>
      <c r="G11" s="274"/>
      <c r="H11" s="274"/>
      <c r="I11" s="274"/>
      <c r="J11" s="274"/>
      <c r="K11" s="274"/>
      <c r="L11" s="274"/>
    </row>
    <row r="12" spans="2:12">
      <c r="B12" s="250" t="s">
        <v>0</v>
      </c>
      <c r="C12" s="266">
        <f>'Import Summary'!$CF$7</f>
        <v>0</v>
      </c>
      <c r="D12" s="265">
        <f>'Import Summary'!$CR$7</f>
        <v>0</v>
      </c>
      <c r="E12" s="266">
        <f>'Import Summary'!$CF$23</f>
        <v>0</v>
      </c>
      <c r="F12" s="265">
        <f>'Import Summary'!$CR$23</f>
        <v>0</v>
      </c>
      <c r="G12" s="266">
        <f>'Import Summary'!$CF$39</f>
        <v>0</v>
      </c>
      <c r="H12" s="265">
        <f>'Import Summary'!$CR$39</f>
        <v>0</v>
      </c>
      <c r="I12" s="266">
        <v>0</v>
      </c>
      <c r="J12" s="265">
        <v>0</v>
      </c>
      <c r="K12" s="266">
        <f>'Import Summary'!$CF$55</f>
        <v>0</v>
      </c>
      <c r="L12" s="265">
        <f>'Import Summary'!$CR$55</f>
        <v>0</v>
      </c>
    </row>
    <row r="13" spans="2:12">
      <c r="B13" s="250" t="s">
        <v>1</v>
      </c>
      <c r="C13" s="266">
        <f>'Import Summary'!$CG$7</f>
        <v>20.09</v>
      </c>
      <c r="D13" s="265">
        <f>'Import Summary'!$CS$7</f>
        <v>113.604799900448</v>
      </c>
      <c r="E13" s="266">
        <f>'Import Summary'!$CG$23</f>
        <v>37.57</v>
      </c>
      <c r="F13" s="265">
        <f>'Import Summary'!$CS$23</f>
        <v>152.17580889007183</v>
      </c>
      <c r="G13" s="266">
        <f>'Import Summary'!$CG$39</f>
        <v>0</v>
      </c>
      <c r="H13" s="265">
        <f>'Import Summary'!$CS$39</f>
        <v>0</v>
      </c>
      <c r="I13" s="266">
        <v>0</v>
      </c>
      <c r="J13" s="265">
        <v>0</v>
      </c>
      <c r="K13" s="266">
        <f>'Import Summary'!$CG$55</f>
        <v>0</v>
      </c>
      <c r="L13" s="265">
        <f>'Import Summary'!$CS$55</f>
        <v>0</v>
      </c>
    </row>
    <row r="14" spans="2:12">
      <c r="B14" s="250" t="s">
        <v>3</v>
      </c>
      <c r="C14" s="266">
        <f>'Import Summary'!$CH$7</f>
        <v>0</v>
      </c>
      <c r="D14" s="265">
        <f>'Import Summary'!$CT$7</f>
        <v>0</v>
      </c>
      <c r="E14" s="266">
        <f>'Import Summary'!$CH$23</f>
        <v>0</v>
      </c>
      <c r="F14" s="265">
        <f>'Import Summary'!$CT$23</f>
        <v>0</v>
      </c>
      <c r="G14" s="266">
        <f>'Import Summary'!$CH$39</f>
        <v>0</v>
      </c>
      <c r="H14" s="265">
        <f>'Import Summary'!$CT$39</f>
        <v>0</v>
      </c>
      <c r="I14" s="266">
        <v>0</v>
      </c>
      <c r="J14" s="265">
        <v>0</v>
      </c>
      <c r="K14" s="266">
        <f>'Import Summary'!$CH$55</f>
        <v>0</v>
      </c>
      <c r="L14" s="265">
        <f>'Import Summary'!$CT$55</f>
        <v>0</v>
      </c>
    </row>
    <row r="15" spans="2:12">
      <c r="B15" s="250" t="s">
        <v>7</v>
      </c>
      <c r="C15" s="266">
        <f>'Import Summary'!$CI$7</f>
        <v>37.049999999999997</v>
      </c>
      <c r="D15" s="265">
        <f>'Import Summary'!$CU$7</f>
        <v>167.73726504723351</v>
      </c>
      <c r="E15" s="266">
        <f>'Import Summary'!$CI$23</f>
        <v>57.7</v>
      </c>
      <c r="F15" s="265">
        <f>'Import Summary'!$CU$23</f>
        <v>171.74904714038126</v>
      </c>
      <c r="G15" s="266">
        <f>'Import Summary'!$CI$39</f>
        <v>0</v>
      </c>
      <c r="H15" s="265">
        <f>'Import Summary'!$CU$39</f>
        <v>0</v>
      </c>
      <c r="I15" s="266">
        <v>0</v>
      </c>
      <c r="J15" s="265">
        <v>0</v>
      </c>
      <c r="K15" s="266">
        <f>'Import Summary'!$CI$55</f>
        <v>0</v>
      </c>
      <c r="L15" s="265">
        <f>'Import Summary'!$CU$55</f>
        <v>0</v>
      </c>
    </row>
    <row r="16" spans="2:12">
      <c r="B16" s="278" t="s">
        <v>58</v>
      </c>
      <c r="C16" s="276">
        <f>SUM(C12:C15)</f>
        <v>57.14</v>
      </c>
      <c r="D16" s="277">
        <f>IF(C16&lt;=0,0,SUMPRODUCT(C12:C15,D12:D15)/C16)</f>
        <v>148.70469198459926</v>
      </c>
      <c r="E16" s="276">
        <f>SUM(E12:E15)</f>
        <v>95.27000000000001</v>
      </c>
      <c r="F16" s="277">
        <f>IF(E16&lt;=0,0,SUMPRODUCT(E12:E15,F12:F15)/E16)</f>
        <v>164.03028403484831</v>
      </c>
      <c r="G16" s="276">
        <f>SUM(G12:G15)</f>
        <v>0</v>
      </c>
      <c r="H16" s="277">
        <f>IF(G16&lt;=0,0,SUMPRODUCT(G12:G15,H12:H15)/G16)</f>
        <v>0</v>
      </c>
      <c r="I16" s="276">
        <v>0</v>
      </c>
      <c r="J16" s="277">
        <v>0</v>
      </c>
      <c r="K16" s="276">
        <f>SUM(K12:K15)</f>
        <v>0</v>
      </c>
      <c r="L16" s="277">
        <f>IF(K16&lt;=0,0,SUMPRODUCT(K12:K15,L12:L15)/K16)</f>
        <v>0</v>
      </c>
    </row>
    <row r="17" spans="2:12">
      <c r="B17" s="275" t="s">
        <v>10</v>
      </c>
      <c r="C17" s="274"/>
      <c r="D17" s="274"/>
      <c r="E17" s="274"/>
      <c r="F17" s="274"/>
      <c r="G17" s="274"/>
      <c r="H17" s="274"/>
      <c r="I17" s="274"/>
      <c r="J17" s="274"/>
      <c r="K17" s="274"/>
      <c r="L17" s="274"/>
    </row>
    <row r="18" spans="2:12">
      <c r="B18" s="250" t="s">
        <v>0</v>
      </c>
      <c r="C18" s="266">
        <f>'Import Summary'!$CF$8</f>
        <v>337.51</v>
      </c>
      <c r="D18" s="265">
        <f>'Import Summary'!$CR$8</f>
        <v>101.92684133803442</v>
      </c>
      <c r="E18" s="266">
        <f>'Import Summary'!$CF$24</f>
        <v>568.71999999999991</v>
      </c>
      <c r="F18" s="265">
        <f>'Import Summary'!$CR$24</f>
        <v>101.77659350822903</v>
      </c>
      <c r="G18" s="266">
        <f>'Import Summary'!$CF$40</f>
        <v>557.28000000000009</v>
      </c>
      <c r="H18" s="265">
        <f>'Import Summary'!$CR$40</f>
        <v>90.396175925925917</v>
      </c>
      <c r="I18" s="266">
        <v>223.67</v>
      </c>
      <c r="J18" s="265">
        <v>90.906421558546072</v>
      </c>
      <c r="K18" s="266">
        <f>'Import Summary'!$CF$56</f>
        <v>451.4</v>
      </c>
      <c r="L18" s="265">
        <f>'Import Summary'!$CR$56</f>
        <v>90.421352171023472</v>
      </c>
    </row>
    <row r="19" spans="2:12">
      <c r="B19" s="250" t="s">
        <v>1</v>
      </c>
      <c r="C19" s="266">
        <f>'Import Summary'!$CG$8</f>
        <v>340.26000000000005</v>
      </c>
      <c r="D19" s="265">
        <f>'Import Summary'!$CS$8</f>
        <v>102.99809951213776</v>
      </c>
      <c r="E19" s="266">
        <f>'Import Summary'!$CG$24</f>
        <v>702.16500000000008</v>
      </c>
      <c r="F19" s="265">
        <f>'Import Summary'!$CS$24</f>
        <v>102.79747620573512</v>
      </c>
      <c r="G19" s="266">
        <f>'Import Summary'!$CG$40</f>
        <v>185.74</v>
      </c>
      <c r="H19" s="265">
        <f>'Import Summary'!$CS$40</f>
        <v>89.63003666415419</v>
      </c>
      <c r="I19" s="266">
        <v>0</v>
      </c>
      <c r="J19" s="265">
        <v>0</v>
      </c>
      <c r="K19" s="266">
        <f>'Import Summary'!$CG$56</f>
        <v>3.57</v>
      </c>
      <c r="L19" s="265">
        <f>'Import Summary'!$CS$56</f>
        <v>132.61249579831932</v>
      </c>
    </row>
    <row r="20" spans="2:12">
      <c r="B20" s="250" t="s">
        <v>3</v>
      </c>
      <c r="C20" s="266">
        <f>'Import Summary'!$CH$8</f>
        <v>0</v>
      </c>
      <c r="D20" s="265">
        <f>'Import Summary'!$CT$8</f>
        <v>0</v>
      </c>
      <c r="E20" s="266">
        <f>'Import Summary'!$CH$24</f>
        <v>97.83</v>
      </c>
      <c r="F20" s="265">
        <f>'Import Summary'!$CT$24</f>
        <v>83.190164980067465</v>
      </c>
      <c r="G20" s="266">
        <f>'Import Summary'!$CH$40</f>
        <v>0</v>
      </c>
      <c r="H20" s="265">
        <f>'Import Summary'!$CT$40</f>
        <v>0</v>
      </c>
      <c r="I20" s="266">
        <v>0</v>
      </c>
      <c r="J20" s="265">
        <v>0</v>
      </c>
      <c r="K20" s="266">
        <f>'Import Summary'!$CH$56</f>
        <v>0</v>
      </c>
      <c r="L20" s="265">
        <f>'Import Summary'!$CT$56</f>
        <v>0</v>
      </c>
    </row>
    <row r="21" spans="2:12">
      <c r="B21" s="250" t="s">
        <v>7</v>
      </c>
      <c r="C21" s="266">
        <f>'Import Summary'!$CI$8</f>
        <v>0</v>
      </c>
      <c r="D21" s="265">
        <f>'Import Summary'!$CU$8</f>
        <v>0</v>
      </c>
      <c r="E21" s="266">
        <f>'Import Summary'!$CI$24</f>
        <v>0</v>
      </c>
      <c r="F21" s="265">
        <f>'Import Summary'!$CU$24</f>
        <v>0</v>
      </c>
      <c r="G21" s="266">
        <f>'Import Summary'!$CI$40</f>
        <v>0</v>
      </c>
      <c r="H21" s="265">
        <f>'Import Summary'!$CU$40</f>
        <v>0</v>
      </c>
      <c r="I21" s="266">
        <v>37.68</v>
      </c>
      <c r="J21" s="265">
        <v>101.73224999999999</v>
      </c>
      <c r="K21" s="266">
        <f>'Import Summary'!$CI$56</f>
        <v>324.3</v>
      </c>
      <c r="L21" s="265">
        <f>'Import Summary'!$CU$56</f>
        <v>104.79947767499229</v>
      </c>
    </row>
    <row r="22" spans="2:12">
      <c r="B22" s="278" t="s">
        <v>58</v>
      </c>
      <c r="C22" s="276">
        <f>SUM(C18:C21)</f>
        <v>677.77</v>
      </c>
      <c r="D22" s="277">
        <f>IF(C22&lt;=0,0,SUMPRODUCT(C18:C21,D18:D21)/C22)</f>
        <v>102.46464369918999</v>
      </c>
      <c r="E22" s="276">
        <f>SUM(E18:E21)</f>
        <v>1368.7149999999999</v>
      </c>
      <c r="F22" s="277">
        <f>IF(E22&lt;=0,0,SUMPRODUCT(E18:E21,F18:F21)/E22)</f>
        <v>100.97183707345944</v>
      </c>
      <c r="G22" s="276">
        <f>SUM(G18:G21)</f>
        <v>743.0200000000001</v>
      </c>
      <c r="H22" s="277">
        <f>IF(G22&lt;=0,0,SUMPRODUCT(G18:G21,H18:H21)/G22)</f>
        <v>90.204656577211921</v>
      </c>
      <c r="I22" s="276">
        <v>261.34999999999997</v>
      </c>
      <c r="J22" s="277">
        <v>92.467229730246814</v>
      </c>
      <c r="K22" s="276">
        <f>SUM(K18:K21)</f>
        <v>779.27</v>
      </c>
      <c r="L22" s="277">
        <f>IF(K22&lt;=0,0,SUMPRODUCT(K18:K21,L18:L21)/K22)</f>
        <v>96.598220886214023</v>
      </c>
    </row>
    <row r="23" spans="2:12">
      <c r="B23" s="275" t="s">
        <v>11</v>
      </c>
      <c r="C23" s="274"/>
      <c r="D23" s="274"/>
      <c r="E23" s="274"/>
      <c r="F23" s="274"/>
      <c r="G23" s="274"/>
      <c r="H23" s="274"/>
      <c r="I23" s="274"/>
      <c r="J23" s="274"/>
      <c r="K23" s="274"/>
      <c r="L23" s="274"/>
    </row>
    <row r="24" spans="2:12">
      <c r="B24" s="250" t="s">
        <v>0</v>
      </c>
      <c r="C24" s="266">
        <f>'Import Summary'!$CF$9</f>
        <v>13938.879999999996</v>
      </c>
      <c r="D24" s="265">
        <f>'Import Summary'!$CR$9</f>
        <v>88.737708136521761</v>
      </c>
      <c r="E24" s="266">
        <f>'Import Summary'!$CF$25</f>
        <v>25215.180000000004</v>
      </c>
      <c r="F24" s="265">
        <f>'Import Summary'!$CR$25</f>
        <v>98.512569859505248</v>
      </c>
      <c r="G24" s="266">
        <f>'Import Summary'!$CF$41</f>
        <v>10655.46</v>
      </c>
      <c r="H24" s="265">
        <f>'Import Summary'!$CR$41</f>
        <v>82.706019253978724</v>
      </c>
      <c r="I24" s="266">
        <v>2684.1</v>
      </c>
      <c r="J24" s="265">
        <v>108.46658667709848</v>
      </c>
      <c r="K24" s="266">
        <f>'Import Summary'!$CF$57</f>
        <v>6410.6799999999994</v>
      </c>
      <c r="L24" s="265">
        <f>'Import Summary'!$CR$57</f>
        <v>117.77896004324037</v>
      </c>
    </row>
    <row r="25" spans="2:12">
      <c r="B25" s="250" t="s">
        <v>1</v>
      </c>
      <c r="C25" s="266">
        <f>'Import Summary'!$CG$9</f>
        <v>21370.34</v>
      </c>
      <c r="D25" s="265">
        <f>'Import Summary'!$CS$9</f>
        <v>91.929330852948539</v>
      </c>
      <c r="E25" s="266">
        <f>'Import Summary'!$CG$25</f>
        <v>24477.780000000002</v>
      </c>
      <c r="F25" s="265">
        <f>'Import Summary'!$CS$25</f>
        <v>98.660253194529872</v>
      </c>
      <c r="G25" s="266">
        <f>'Import Summary'!$CG$41</f>
        <v>16163.770000000002</v>
      </c>
      <c r="H25" s="265">
        <f>'Import Summary'!$CS$41</f>
        <v>83.56852242267739</v>
      </c>
      <c r="I25" s="266">
        <v>4141.7699999999995</v>
      </c>
      <c r="J25" s="265">
        <v>91.691981249562375</v>
      </c>
      <c r="K25" s="266">
        <f>'Import Summary'!$CG$57</f>
        <v>6050.24</v>
      </c>
      <c r="L25" s="265">
        <f>'Import Summary'!$CS$57</f>
        <v>100.73339137620988</v>
      </c>
    </row>
    <row r="26" spans="2:12">
      <c r="B26" s="250" t="s">
        <v>3</v>
      </c>
      <c r="C26" s="266">
        <f>'Import Summary'!$CH$9</f>
        <v>7738.2000000000007</v>
      </c>
      <c r="D26" s="265">
        <f>'Import Summary'!$CT$9</f>
        <v>97.518046279496502</v>
      </c>
      <c r="E26" s="266">
        <f>'Import Summary'!$CH$25</f>
        <v>4541.7899999999991</v>
      </c>
      <c r="F26" s="265">
        <f>'Import Summary'!$CT$25</f>
        <v>105.36125103318294</v>
      </c>
      <c r="G26" s="266">
        <f>'Import Summary'!$CH$41</f>
        <v>1978.97</v>
      </c>
      <c r="H26" s="265">
        <f>'Import Summary'!$CT$41</f>
        <v>81.747098965623536</v>
      </c>
      <c r="I26" s="266">
        <v>760.76</v>
      </c>
      <c r="J26" s="265">
        <v>135.86793004364057</v>
      </c>
      <c r="K26" s="266">
        <f>'Import Summary'!$CH$57</f>
        <v>1441.55</v>
      </c>
      <c r="L26" s="265">
        <f>'Import Summary'!$CT$57</f>
        <v>129.33176186743435</v>
      </c>
    </row>
    <row r="27" spans="2:12">
      <c r="B27" s="250" t="s">
        <v>7</v>
      </c>
      <c r="C27" s="266">
        <f>'Import Summary'!$CI$9</f>
        <v>0</v>
      </c>
      <c r="D27" s="265">
        <f>'Import Summary'!$CU$9</f>
        <v>0</v>
      </c>
      <c r="E27" s="266">
        <f>'Import Summary'!$CI$25</f>
        <v>0.60599999999999998</v>
      </c>
      <c r="F27" s="265">
        <f>'Import Summary'!$CU$25</f>
        <v>63.835148514851483</v>
      </c>
      <c r="G27" s="266">
        <f>'Import Summary'!$CI$41</f>
        <v>2456.8739999999998</v>
      </c>
      <c r="H27" s="265">
        <f>'Import Summary'!$CU$41</f>
        <v>86.374957791893294</v>
      </c>
      <c r="I27" s="266">
        <v>0</v>
      </c>
      <c r="J27" s="265">
        <v>0</v>
      </c>
      <c r="K27" s="266">
        <f>'Import Summary'!$CI$57</f>
        <v>393.97399999999999</v>
      </c>
      <c r="L27" s="265">
        <f>'Import Summary'!$CU$57</f>
        <v>82.228348418931191</v>
      </c>
    </row>
    <row r="28" spans="2:12">
      <c r="B28" s="278" t="s">
        <v>58</v>
      </c>
      <c r="C28" s="276">
        <f>SUM(C24:C27)</f>
        <v>43047.42</v>
      </c>
      <c r="D28" s="277">
        <f>IF(C28&lt;=0,0,SUMPRODUCT(C24:C27,D24:D27)/C28)</f>
        <v>91.900501056973923</v>
      </c>
      <c r="E28" s="276">
        <f>SUM(E24:E27)</f>
        <v>54235.356000000007</v>
      </c>
      <c r="F28" s="277">
        <f>IF(E28&lt;=0,0,SUMPRODUCT(E24:E27,F24:F27)/E28)</f>
        <v>99.152359470821949</v>
      </c>
      <c r="G28" s="276">
        <f>SUM(G24:G27)</f>
        <v>31255.074000000004</v>
      </c>
      <c r="H28" s="277">
        <f>IF(G28&lt;=0,0,SUMPRODUCT(G24:G27,H24:H27)/G28)</f>
        <v>83.379757798365802</v>
      </c>
      <c r="I28" s="276">
        <v>7586.6299999999992</v>
      </c>
      <c r="J28" s="277">
        <v>102.05653220731735</v>
      </c>
      <c r="K28" s="276">
        <f>SUM(K24:K27)</f>
        <v>14296.443999999998</v>
      </c>
      <c r="L28" s="277">
        <f>IF(K28&lt;=0,0,SUMPRODUCT(K24:K27,L24:L27)/K28)</f>
        <v>110.75050901259085</v>
      </c>
    </row>
    <row r="29" spans="2:12">
      <c r="B29" s="275" t="s">
        <v>12</v>
      </c>
      <c r="C29" s="274"/>
      <c r="D29" s="274"/>
      <c r="E29" s="274"/>
      <c r="F29" s="274"/>
      <c r="G29" s="274"/>
      <c r="H29" s="274"/>
      <c r="I29" s="274"/>
      <c r="J29" s="274"/>
      <c r="K29" s="274"/>
      <c r="L29" s="274"/>
    </row>
    <row r="30" spans="2:12">
      <c r="B30" s="250" t="s">
        <v>0</v>
      </c>
      <c r="C30" s="266">
        <f>'Import Summary'!$CF$10</f>
        <v>0</v>
      </c>
      <c r="D30" s="265">
        <f>'Import Summary'!$CR$10</f>
        <v>0</v>
      </c>
      <c r="E30" s="266">
        <f>'Import Summary'!$CF$26</f>
        <v>0</v>
      </c>
      <c r="F30" s="265">
        <f>'Import Summary'!$CR$26</f>
        <v>0</v>
      </c>
      <c r="G30" s="266">
        <f>'Import Summary'!$CF$42</f>
        <v>0</v>
      </c>
      <c r="H30" s="265">
        <f>'Import Summary'!$CR$42</f>
        <v>0</v>
      </c>
      <c r="I30" s="266">
        <v>0</v>
      </c>
      <c r="J30" s="265">
        <v>0</v>
      </c>
      <c r="K30" s="266">
        <f>'Import Summary'!$CF$58</f>
        <v>0</v>
      </c>
      <c r="L30" s="265">
        <f>'Import Summary'!$CR$58</f>
        <v>0</v>
      </c>
    </row>
    <row r="31" spans="2:12">
      <c r="B31" s="250" t="s">
        <v>1</v>
      </c>
      <c r="C31" s="266">
        <f>'Import Summary'!$CG$10</f>
        <v>6213.94</v>
      </c>
      <c r="D31" s="265">
        <f>'Import Summary'!$CS$10</f>
        <v>87.313106291660361</v>
      </c>
      <c r="E31" s="266">
        <f>'Import Summary'!$CG$26</f>
        <v>5969.62</v>
      </c>
      <c r="F31" s="265">
        <f>'Import Summary'!$CS$26</f>
        <v>109.71702882930573</v>
      </c>
      <c r="G31" s="266">
        <f>'Import Summary'!$CG$42</f>
        <v>7362.6200000000008</v>
      </c>
      <c r="H31" s="265">
        <f>'Import Summary'!$CS$42</f>
        <v>92.258796238295616</v>
      </c>
      <c r="I31" s="266">
        <v>2173.6999999999998</v>
      </c>
      <c r="J31" s="265">
        <v>103.5358503519345</v>
      </c>
      <c r="K31" s="266">
        <f>'Import Summary'!$CG$58</f>
        <v>6792.11</v>
      </c>
      <c r="L31" s="265">
        <f>'Import Summary'!$CS$58</f>
        <v>127.79586305433804</v>
      </c>
    </row>
    <row r="32" spans="2:12">
      <c r="B32" s="250" t="s">
        <v>3</v>
      </c>
      <c r="C32" s="266">
        <f>'Import Summary'!$CH$10</f>
        <v>4540.380005</v>
      </c>
      <c r="D32" s="265">
        <f>'Import Summary'!$CT$10</f>
        <v>101.13835308152801</v>
      </c>
      <c r="E32" s="266">
        <f>'Import Summary'!$CH$26</f>
        <v>4705.22</v>
      </c>
      <c r="F32" s="265">
        <f>'Import Summary'!$CT$26</f>
        <v>95.476062269139376</v>
      </c>
      <c r="G32" s="266">
        <f>'Import Summary'!$CH$42</f>
        <v>4507.42</v>
      </c>
      <c r="H32" s="265">
        <f>'Import Summary'!$CT$42</f>
        <v>83.376932830754626</v>
      </c>
      <c r="I32" s="266">
        <v>1401.98</v>
      </c>
      <c r="J32" s="265">
        <v>117.7267800182599</v>
      </c>
      <c r="K32" s="266">
        <f>'Import Summary'!$CH$58</f>
        <v>3585.73</v>
      </c>
      <c r="L32" s="265">
        <f>'Import Summary'!$CT$58</f>
        <v>131.59064779556743</v>
      </c>
    </row>
    <row r="33" spans="2:12">
      <c r="B33" s="250" t="s">
        <v>7</v>
      </c>
      <c r="C33" s="266">
        <f>'Import Summary'!$CI$10</f>
        <v>0</v>
      </c>
      <c r="D33" s="265">
        <f>'Import Summary'!$CU$10</f>
        <v>0</v>
      </c>
      <c r="E33" s="266">
        <f>'Import Summary'!$CI$26</f>
        <v>0</v>
      </c>
      <c r="F33" s="265">
        <f>'Import Summary'!$CU$26</f>
        <v>0</v>
      </c>
      <c r="G33" s="266">
        <f>'Import Summary'!$CI$42</f>
        <v>0</v>
      </c>
      <c r="H33" s="265">
        <f>'Import Summary'!$CU$42</f>
        <v>0</v>
      </c>
      <c r="I33" s="266">
        <v>0</v>
      </c>
      <c r="J33" s="265">
        <v>0</v>
      </c>
      <c r="K33" s="266">
        <f>'Import Summary'!$CI$58</f>
        <v>0</v>
      </c>
      <c r="L33" s="265">
        <f>'Import Summary'!$CU$58</f>
        <v>0</v>
      </c>
    </row>
    <row r="34" spans="2:12">
      <c r="B34" s="278" t="s">
        <v>58</v>
      </c>
      <c r="C34" s="276">
        <f>SUM(C30:C33)</f>
        <v>10754.320005</v>
      </c>
      <c r="D34" s="277">
        <f>IF(C34&lt;=0,0,SUMPRODUCT(C30:C33,D30:D33)/C34)</f>
        <v>93.150004771501116</v>
      </c>
      <c r="E34" s="276">
        <f>SUM(E30:E33)</f>
        <v>10674.84</v>
      </c>
      <c r="F34" s="277">
        <f>IF(E34&lt;=0,0,SUMPRODUCT(E30:E33,F30:F33)/E34)</f>
        <v>103.43994358229256</v>
      </c>
      <c r="G34" s="276">
        <f>SUM(G30:G33)</f>
        <v>11870.04</v>
      </c>
      <c r="H34" s="277">
        <f>IF(G34&lt;=0,0,SUMPRODUCT(G30:G33,H30:H33)/G34)</f>
        <v>88.886078980357269</v>
      </c>
      <c r="I34" s="276">
        <v>3575.68</v>
      </c>
      <c r="J34" s="277">
        <v>109.09993874172187</v>
      </c>
      <c r="K34" s="276">
        <f>SUM(K30:K33)</f>
        <v>10377.84</v>
      </c>
      <c r="L34" s="277">
        <f>IF(K34&lt;=0,0,SUMPRODUCT(K30:K33,L30:L33)/K34)</f>
        <v>129.10702929800419</v>
      </c>
    </row>
    <row r="35" spans="2:12">
      <c r="B35" s="275" t="s">
        <v>13</v>
      </c>
      <c r="C35" s="274"/>
      <c r="D35" s="274"/>
      <c r="E35" s="274"/>
      <c r="F35" s="274"/>
      <c r="G35" s="274"/>
      <c r="H35" s="274"/>
      <c r="I35" s="274"/>
      <c r="J35" s="274"/>
      <c r="K35" s="274"/>
      <c r="L35" s="274"/>
    </row>
    <row r="36" spans="2:12">
      <c r="B36" s="250" t="s">
        <v>0</v>
      </c>
      <c r="C36" s="266">
        <f>'Import Summary'!$CF$11</f>
        <v>19.7</v>
      </c>
      <c r="D36" s="265">
        <f>'Import Summary'!$CR$11</f>
        <v>75.41165025380711</v>
      </c>
      <c r="E36" s="266">
        <f>'Import Summary'!$CF$27</f>
        <v>0</v>
      </c>
      <c r="F36" s="265">
        <f>'Import Summary'!$CR$27</f>
        <v>0</v>
      </c>
      <c r="G36" s="266">
        <f>'Import Summary'!$CF$43</f>
        <v>39.369999999999997</v>
      </c>
      <c r="H36" s="265">
        <f>'Import Summary'!$CR$43</f>
        <v>73.407459994920004</v>
      </c>
      <c r="I36" s="266">
        <v>0</v>
      </c>
      <c r="J36" s="265">
        <v>0</v>
      </c>
      <c r="K36" s="266">
        <f>'Import Summary'!$CF$59</f>
        <v>0</v>
      </c>
      <c r="L36" s="265">
        <f>'Import Summary'!$CR$59</f>
        <v>0</v>
      </c>
    </row>
    <row r="37" spans="2:12">
      <c r="B37" s="250" t="s">
        <v>1</v>
      </c>
      <c r="C37" s="266">
        <f>'Import Summary'!$CG$11</f>
        <v>859.19007000000011</v>
      </c>
      <c r="D37" s="265">
        <f>'Import Summary'!$CS$11</f>
        <v>90.516525266638595</v>
      </c>
      <c r="E37" s="266">
        <f>'Import Summary'!$CG$27</f>
        <v>861.84</v>
      </c>
      <c r="F37" s="265">
        <f>'Import Summary'!$CS$27</f>
        <v>108.24805824747051</v>
      </c>
      <c r="G37" s="266">
        <f>'Import Summary'!$CG$43</f>
        <v>1092.3499999999999</v>
      </c>
      <c r="H37" s="265">
        <f>'Import Summary'!$CS$43</f>
        <v>89.529912061152572</v>
      </c>
      <c r="I37" s="266">
        <v>234.60000000000002</v>
      </c>
      <c r="J37" s="265">
        <v>101.57206364023868</v>
      </c>
      <c r="K37" s="266">
        <f>'Import Summary'!$CG$59</f>
        <v>938.08</v>
      </c>
      <c r="L37" s="265">
        <f>'Import Summary'!$CS$59</f>
        <v>124.45362589544601</v>
      </c>
    </row>
    <row r="38" spans="2:12">
      <c r="B38" s="250" t="s">
        <v>3</v>
      </c>
      <c r="C38" s="266">
        <f>'Import Summary'!$CH$11</f>
        <v>1443.9199999999998</v>
      </c>
      <c r="D38" s="265">
        <f>'Import Summary'!$CT$11</f>
        <v>99.59451597041388</v>
      </c>
      <c r="E38" s="266">
        <f>'Import Summary'!$CH$27</f>
        <v>932.46</v>
      </c>
      <c r="F38" s="265">
        <f>'Import Summary'!$CT$27</f>
        <v>99.451227033867411</v>
      </c>
      <c r="G38" s="266">
        <f>'Import Summary'!$CH$43</f>
        <v>732.89</v>
      </c>
      <c r="H38" s="265">
        <f>'Import Summary'!$CT$43</f>
        <v>87.056514661136049</v>
      </c>
      <c r="I38" s="266">
        <v>59.23</v>
      </c>
      <c r="J38" s="265">
        <v>98.171999999999997</v>
      </c>
      <c r="K38" s="266">
        <f>'Import Summary'!$CH$59</f>
        <v>98.65</v>
      </c>
      <c r="L38" s="265">
        <f>'Import Summary'!$CT$59</f>
        <v>112.17931160669032</v>
      </c>
    </row>
    <row r="39" spans="2:12">
      <c r="B39" s="250" t="s">
        <v>7</v>
      </c>
      <c r="C39" s="266">
        <f>'Import Summary'!$CI$11</f>
        <v>0</v>
      </c>
      <c r="D39" s="265">
        <f>'Import Summary'!$CU$11</f>
        <v>0</v>
      </c>
      <c r="E39" s="266">
        <f>'Import Summary'!$CI$27</f>
        <v>0</v>
      </c>
      <c r="F39" s="265">
        <f>'Import Summary'!$CU$27</f>
        <v>0</v>
      </c>
      <c r="G39" s="266">
        <f>'Import Summary'!$CI$43</f>
        <v>0</v>
      </c>
      <c r="H39" s="265">
        <f>'Import Summary'!$CU$43</f>
        <v>0</v>
      </c>
      <c r="I39" s="266">
        <v>0</v>
      </c>
      <c r="J39" s="265">
        <v>0</v>
      </c>
      <c r="K39" s="266">
        <f>'Import Summary'!$CI$59</f>
        <v>0</v>
      </c>
      <c r="L39" s="265">
        <f>'Import Summary'!$CU$59</f>
        <v>0</v>
      </c>
    </row>
    <row r="40" spans="2:12">
      <c r="B40" s="278" t="s">
        <v>58</v>
      </c>
      <c r="C40" s="276">
        <f>SUM(C36:C39)</f>
        <v>2322.81007</v>
      </c>
      <c r="D40" s="277">
        <f>IF(C40&lt;=0,0,SUMPRODUCT(C36:C39,D36:D39)/C40)</f>
        <v>96.031537649567696</v>
      </c>
      <c r="E40" s="276">
        <f>SUM(E36:E39)</f>
        <v>1794.3000000000002</v>
      </c>
      <c r="F40" s="277">
        <f>IF(E40&lt;=0,0,SUMPRODUCT(E36:E39,F36:F39)/E40)</f>
        <v>103.67652994482526</v>
      </c>
      <c r="G40" s="276">
        <f>SUM(G36:G39)</f>
        <v>1864.6099999999997</v>
      </c>
      <c r="H40" s="277">
        <f>IF(G40&lt;=0,0,SUMPRODUCT(G36:G39,H36:H39)/G40)</f>
        <v>88.217321675846435</v>
      </c>
      <c r="I40" s="276">
        <v>293.83000000000004</v>
      </c>
      <c r="J40" s="277">
        <v>100.88668172072285</v>
      </c>
      <c r="K40" s="276">
        <f>SUM(K36:K39)</f>
        <v>1036.73</v>
      </c>
      <c r="L40" s="277">
        <f>IF(K40&lt;=0,0,SUMPRODUCT(K36:K39,L36:L39)/K40)</f>
        <v>123.28566403017179</v>
      </c>
    </row>
    <row r="41" spans="2:12">
      <c r="B41" s="275" t="s">
        <v>14</v>
      </c>
      <c r="C41" s="274"/>
      <c r="D41" s="274"/>
      <c r="E41" s="274"/>
      <c r="F41" s="274"/>
      <c r="G41" s="274"/>
      <c r="H41" s="274"/>
      <c r="I41" s="274"/>
      <c r="J41" s="274"/>
      <c r="K41" s="274"/>
      <c r="L41" s="274"/>
    </row>
    <row r="42" spans="2:12">
      <c r="B42" s="250" t="s">
        <v>0</v>
      </c>
      <c r="C42" s="266">
        <f>'Import Summary'!$CF$12</f>
        <v>0</v>
      </c>
      <c r="D42" s="265">
        <f>'Import Summary'!$CR$12</f>
        <v>0</v>
      </c>
      <c r="E42" s="266">
        <f>'Import Summary'!$CF$28</f>
        <v>6.12</v>
      </c>
      <c r="F42" s="265">
        <f>'Import Summary'!$CR$28</f>
        <v>119.59353921568626</v>
      </c>
      <c r="G42" s="266">
        <f>'Import Summary'!$CF$44</f>
        <v>0</v>
      </c>
      <c r="H42" s="265">
        <f>'Import Summary'!$CR$44</f>
        <v>0</v>
      </c>
      <c r="I42" s="266">
        <v>0</v>
      </c>
      <c r="J42" s="265">
        <v>0</v>
      </c>
      <c r="K42" s="266">
        <f>'Import Summary'!$CF$60</f>
        <v>6.12</v>
      </c>
      <c r="L42" s="265">
        <f>'Import Summary'!$CR$60</f>
        <v>132.25343954248365</v>
      </c>
    </row>
    <row r="43" spans="2:12">
      <c r="B43" s="250" t="s">
        <v>1</v>
      </c>
      <c r="C43" s="266">
        <f>'Import Summary'!$CG$12</f>
        <v>0</v>
      </c>
      <c r="D43" s="265">
        <f>'Import Summary'!$CS$12</f>
        <v>0</v>
      </c>
      <c r="E43" s="266">
        <f>'Import Summary'!$CG$28</f>
        <v>0</v>
      </c>
      <c r="F43" s="265">
        <f>'Import Summary'!$CS$28</f>
        <v>0</v>
      </c>
      <c r="G43" s="266">
        <f>'Import Summary'!$CG$44</f>
        <v>0</v>
      </c>
      <c r="H43" s="265">
        <f>'Import Summary'!$CS$44</f>
        <v>0</v>
      </c>
      <c r="I43" s="266">
        <v>0</v>
      </c>
      <c r="J43" s="265">
        <v>0</v>
      </c>
      <c r="K43" s="266">
        <f>'Import Summary'!$CG$60</f>
        <v>0</v>
      </c>
      <c r="L43" s="265">
        <f>'Import Summary'!$CS$60</f>
        <v>0</v>
      </c>
    </row>
    <row r="44" spans="2:12">
      <c r="B44" s="250" t="s">
        <v>3</v>
      </c>
      <c r="C44" s="266">
        <f>'Import Summary'!$CH$12</f>
        <v>0</v>
      </c>
      <c r="D44" s="265">
        <f>'Import Summary'!$CT$12</f>
        <v>0</v>
      </c>
      <c r="E44" s="266">
        <f>'Import Summary'!$CH$28</f>
        <v>0</v>
      </c>
      <c r="F44" s="265">
        <f>'Import Summary'!$CT$28</f>
        <v>0</v>
      </c>
      <c r="G44" s="266">
        <f>'Import Summary'!$CH$44</f>
        <v>0</v>
      </c>
      <c r="H44" s="265">
        <f>'Import Summary'!$CT$44</f>
        <v>0</v>
      </c>
      <c r="I44" s="266">
        <v>0</v>
      </c>
      <c r="J44" s="265">
        <v>0</v>
      </c>
      <c r="K44" s="266">
        <f>'Import Summary'!$CH$60</f>
        <v>0</v>
      </c>
      <c r="L44" s="265">
        <f>'Import Summary'!$CT$60</f>
        <v>0</v>
      </c>
    </row>
    <row r="45" spans="2:12">
      <c r="B45" s="250" t="s">
        <v>7</v>
      </c>
      <c r="C45" s="266">
        <f>'Import Summary'!$CI$12</f>
        <v>0</v>
      </c>
      <c r="D45" s="265">
        <f>'Import Summary'!$CU$12</f>
        <v>0</v>
      </c>
      <c r="E45" s="266">
        <f>'Import Summary'!$CI$28</f>
        <v>0</v>
      </c>
      <c r="F45" s="265">
        <f>'Import Summary'!$CU$28</f>
        <v>0</v>
      </c>
      <c r="G45" s="266">
        <f>'Import Summary'!$CI$44</f>
        <v>1.6</v>
      </c>
      <c r="H45" s="265">
        <f>'Import Summary'!$CU$44</f>
        <v>194.74630625</v>
      </c>
      <c r="I45" s="266">
        <v>0</v>
      </c>
      <c r="J45" s="265">
        <v>0</v>
      </c>
      <c r="K45" s="266">
        <f>'Import Summary'!$CI$60</f>
        <v>0</v>
      </c>
      <c r="L45" s="265">
        <f>'Import Summary'!$CU$60</f>
        <v>0</v>
      </c>
    </row>
    <row r="46" spans="2:12">
      <c r="B46" s="278" t="s">
        <v>58</v>
      </c>
      <c r="C46" s="276">
        <f>SUM(C42:C45)</f>
        <v>0</v>
      </c>
      <c r="D46" s="277">
        <f>IF(C46&lt;=0,0,SUMPRODUCT(C42:C45,D42:D45)/C46)</f>
        <v>0</v>
      </c>
      <c r="E46" s="276">
        <f>SUM(E42:E45)</f>
        <v>6.12</v>
      </c>
      <c r="F46" s="277">
        <f>IF(E46&lt;=0,0,SUMPRODUCT(E42:E45,F42:F45)/E46)</f>
        <v>119.59353921568625</v>
      </c>
      <c r="G46" s="276">
        <f>SUM(G42:G45)</f>
        <v>1.6</v>
      </c>
      <c r="H46" s="277">
        <f>IF(G46&lt;=0,0,SUMPRODUCT(G42:G45,H42:H45)/G46)</f>
        <v>194.74630625000003</v>
      </c>
      <c r="I46" s="276">
        <v>0</v>
      </c>
      <c r="J46" s="277">
        <v>0</v>
      </c>
      <c r="K46" s="276">
        <f>SUM(K42:K45)</f>
        <v>6.12</v>
      </c>
      <c r="L46" s="277">
        <f>IF(K46&lt;=0,0,SUMPRODUCT(K42:K45,L42:L45)/K46)</f>
        <v>132.25343954248365</v>
      </c>
    </row>
    <row r="47" spans="2:12">
      <c r="B47" s="275" t="s">
        <v>18</v>
      </c>
      <c r="C47" s="274"/>
      <c r="D47" s="274"/>
      <c r="E47" s="274"/>
      <c r="F47" s="274"/>
      <c r="G47" s="274"/>
      <c r="H47" s="274"/>
      <c r="I47" s="274"/>
      <c r="J47" s="274"/>
      <c r="K47" s="274"/>
      <c r="L47" s="274"/>
    </row>
    <row r="48" spans="2:12">
      <c r="B48" s="250" t="s">
        <v>0</v>
      </c>
      <c r="C48" s="266">
        <f>'Import Summary'!$CF$13</f>
        <v>157.19999999999999</v>
      </c>
      <c r="D48" s="265">
        <f>'Import Summary'!$CR$13</f>
        <v>95.040964567430038</v>
      </c>
      <c r="E48" s="266">
        <f>'Import Summary'!$CF$29</f>
        <v>240</v>
      </c>
      <c r="F48" s="265">
        <f>'Import Summary'!$CR$29</f>
        <v>115.48863941666666</v>
      </c>
      <c r="G48" s="266">
        <f>'Import Summary'!$CF$45</f>
        <v>30</v>
      </c>
      <c r="H48" s="265">
        <f>'Import Summary'!$CR$45</f>
        <v>109.71756266666667</v>
      </c>
      <c r="I48" s="266">
        <v>0</v>
      </c>
      <c r="J48" s="265">
        <v>0</v>
      </c>
      <c r="K48" s="266">
        <f>'Import Summary'!$CF$61</f>
        <v>120</v>
      </c>
      <c r="L48" s="265">
        <f>'Import Summary'!$CR$61</f>
        <v>86.463259500000007</v>
      </c>
    </row>
    <row r="49" spans="2:12">
      <c r="B49" s="250" t="s">
        <v>1</v>
      </c>
      <c r="C49" s="266">
        <f>'Import Summary'!$CG$13</f>
        <v>66.8</v>
      </c>
      <c r="D49" s="265">
        <f>'Import Summary'!$CS$13</f>
        <v>100.75207619760478</v>
      </c>
      <c r="E49" s="266">
        <f>'Import Summary'!$CG$29</f>
        <v>66.900000000000006</v>
      </c>
      <c r="F49" s="265">
        <f>'Import Summary'!$CS$29</f>
        <v>111.29106173393122</v>
      </c>
      <c r="G49" s="266">
        <f>'Import Summary'!$CG$45</f>
        <v>63.79999999999999</v>
      </c>
      <c r="H49" s="265">
        <f>'Import Summary'!$CS$45</f>
        <v>98.300153291536077</v>
      </c>
      <c r="I49" s="266">
        <v>23.4</v>
      </c>
      <c r="J49" s="265">
        <v>90.763740598290624</v>
      </c>
      <c r="K49" s="266">
        <f>'Import Summary'!$CG$61</f>
        <v>40.799999999999997</v>
      </c>
      <c r="L49" s="265">
        <f>'Import Summary'!$CS$61</f>
        <v>92.029659068627467</v>
      </c>
    </row>
    <row r="50" spans="2:12">
      <c r="B50" s="250" t="s">
        <v>3</v>
      </c>
      <c r="C50" s="266">
        <f>'Import Summary'!$CH$13</f>
        <v>11</v>
      </c>
      <c r="D50" s="265">
        <f>'Import Summary'!$CT$13</f>
        <v>100.78034545454545</v>
      </c>
      <c r="E50" s="266">
        <f>'Import Summary'!$CH$29</f>
        <v>0</v>
      </c>
      <c r="F50" s="265">
        <f>'Import Summary'!$CT$29</f>
        <v>0</v>
      </c>
      <c r="G50" s="266">
        <f>'Import Summary'!$CH$45</f>
        <v>0</v>
      </c>
      <c r="H50" s="265">
        <f>'Import Summary'!$CT$45</f>
        <v>0</v>
      </c>
      <c r="I50" s="266">
        <v>0</v>
      </c>
      <c r="J50" s="265">
        <v>0</v>
      </c>
      <c r="K50" s="266">
        <f>'Import Summary'!$CH$61</f>
        <v>0</v>
      </c>
      <c r="L50" s="265">
        <f>'Import Summary'!$CT$61</f>
        <v>0</v>
      </c>
    </row>
    <row r="51" spans="2:12">
      <c r="B51" s="250" t="s">
        <v>7</v>
      </c>
      <c r="C51" s="266">
        <f>'Import Summary'!$CI$13</f>
        <v>0</v>
      </c>
      <c r="D51" s="265">
        <f>'Import Summary'!$CU$13</f>
        <v>0</v>
      </c>
      <c r="E51" s="266">
        <f>'Import Summary'!$CI$29</f>
        <v>0</v>
      </c>
      <c r="F51" s="265">
        <f>'Import Summary'!$CU$29</f>
        <v>0</v>
      </c>
      <c r="G51" s="266">
        <f>'Import Summary'!$CI$45</f>
        <v>0.91649999999999998</v>
      </c>
      <c r="H51" s="265">
        <f>'Import Summary'!$CU$45</f>
        <v>538.38049099836337</v>
      </c>
      <c r="I51" s="266">
        <v>0</v>
      </c>
      <c r="J51" s="265">
        <v>0</v>
      </c>
      <c r="K51" s="266">
        <f>'Import Summary'!$CI$61</f>
        <v>0</v>
      </c>
      <c r="L51" s="265">
        <f>'Import Summary'!$CU$61</f>
        <v>0</v>
      </c>
    </row>
    <row r="52" spans="2:12">
      <c r="B52" s="278" t="s">
        <v>58</v>
      </c>
      <c r="C52" s="276">
        <f>SUM(C48:C51)</f>
        <v>235</v>
      </c>
      <c r="D52" s="277">
        <f>IF(C52&lt;=0,0,SUMPRODUCT(C48:C51,D48:D51)/C52)</f>
        <v>96.933030297872335</v>
      </c>
      <c r="E52" s="276">
        <f>SUM(E48:E51)</f>
        <v>306.89999999999998</v>
      </c>
      <c r="F52" s="277">
        <f>IF(E52&lt;=0,0,SUMPRODUCT(E48:E51,F48:F51)/E52)</f>
        <v>114.57362492668621</v>
      </c>
      <c r="G52" s="276">
        <f>SUM(G48:G51)</f>
        <v>94.716499999999982</v>
      </c>
      <c r="H52" s="277">
        <f>IF(G52&lt;=0,0,SUMPRODUCT(G48:G51,H48:H51)/G52)</f>
        <v>106.17476764872015</v>
      </c>
      <c r="I52" s="276">
        <v>23.4</v>
      </c>
      <c r="J52" s="277">
        <v>90.763740598290624</v>
      </c>
      <c r="K52" s="276">
        <f>SUM(K48:K51)</f>
        <v>160.80000000000001</v>
      </c>
      <c r="L52" s="277">
        <f>IF(K52&lt;=0,0,SUMPRODUCT(K48:K51,L48:L51)/K52)</f>
        <v>87.875629539800997</v>
      </c>
    </row>
    <row r="53" spans="2:12">
      <c r="B53" s="275" t="s">
        <v>15</v>
      </c>
      <c r="C53" s="274"/>
      <c r="D53" s="274"/>
      <c r="E53" s="274"/>
      <c r="F53" s="274"/>
      <c r="G53" s="274"/>
      <c r="H53" s="274"/>
      <c r="I53" s="274"/>
      <c r="J53" s="274"/>
      <c r="K53" s="274"/>
      <c r="L53" s="274"/>
    </row>
    <row r="54" spans="2:12">
      <c r="B54" s="250" t="s">
        <v>0</v>
      </c>
      <c r="C54" s="266">
        <f>'Import Summary'!$CF$14</f>
        <v>0</v>
      </c>
      <c r="D54" s="265">
        <f>'Import Summary'!$CR$14</f>
        <v>0</v>
      </c>
      <c r="E54" s="266">
        <f>'Import Summary'!$CF$30</f>
        <v>15</v>
      </c>
      <c r="F54" s="265">
        <f>'Import Summary'!$CR$30</f>
        <v>98.575999999999993</v>
      </c>
      <c r="G54" s="266">
        <f>'Import Summary'!$CF$46</f>
        <v>75</v>
      </c>
      <c r="H54" s="265">
        <f>'Import Summary'!$CR$46</f>
        <v>87.531347199999999</v>
      </c>
      <c r="I54" s="266">
        <v>7.2</v>
      </c>
      <c r="J54" s="265">
        <v>76.638294444444441</v>
      </c>
      <c r="K54" s="266">
        <f>'Import Summary'!$CF$62</f>
        <v>82.2</v>
      </c>
      <c r="L54" s="265">
        <f>'Import Summary'!$CR$62</f>
        <v>81.1078215328467</v>
      </c>
    </row>
    <row r="55" spans="2:12">
      <c r="B55" s="250" t="s">
        <v>1</v>
      </c>
      <c r="C55" s="266">
        <f>'Import Summary'!$CG$14</f>
        <v>74.2</v>
      </c>
      <c r="D55" s="265">
        <f>'Import Summary'!$CS$14</f>
        <v>93.528905256064689</v>
      </c>
      <c r="E55" s="266">
        <f>'Import Summary'!$CG$30</f>
        <v>166.5</v>
      </c>
      <c r="F55" s="265">
        <f>'Import Summary'!$CS$30</f>
        <v>101.31195285285284</v>
      </c>
      <c r="G55" s="266">
        <f>'Import Summary'!$CG$46</f>
        <v>94.2</v>
      </c>
      <c r="H55" s="265">
        <f>'Import Summary'!$CS$46</f>
        <v>85.730518046709108</v>
      </c>
      <c r="I55" s="266">
        <v>35.4</v>
      </c>
      <c r="J55" s="265">
        <v>83.160678248587573</v>
      </c>
      <c r="K55" s="266">
        <f>'Import Summary'!$CG$62</f>
        <v>98.67</v>
      </c>
      <c r="L55" s="265">
        <f>'Import Summary'!$CS$62</f>
        <v>85.001162866119387</v>
      </c>
    </row>
    <row r="56" spans="2:12">
      <c r="B56" s="250" t="s">
        <v>3</v>
      </c>
      <c r="C56" s="266">
        <f>'Import Summary'!$CH$14</f>
        <v>43</v>
      </c>
      <c r="D56" s="265">
        <f>'Import Summary'!$CT$14</f>
        <v>93.654030000000006</v>
      </c>
      <c r="E56" s="266">
        <f>'Import Summary'!$CH$30</f>
        <v>123</v>
      </c>
      <c r="F56" s="265">
        <f>'Import Summary'!$CT$30</f>
        <v>93.795288211382115</v>
      </c>
      <c r="G56" s="266">
        <f>'Import Summary'!$CH$46</f>
        <v>0</v>
      </c>
      <c r="H56" s="265">
        <f>'Import Summary'!$CT$46</f>
        <v>0</v>
      </c>
      <c r="I56" s="266">
        <v>0</v>
      </c>
      <c r="J56" s="265">
        <v>0</v>
      </c>
      <c r="K56" s="266">
        <f>'Import Summary'!$CH$62</f>
        <v>11.2</v>
      </c>
      <c r="L56" s="265">
        <f>'Import Summary'!$CT$62</f>
        <v>92.786175</v>
      </c>
    </row>
    <row r="57" spans="2:12">
      <c r="B57" s="250" t="s">
        <v>7</v>
      </c>
      <c r="C57" s="266">
        <f>'Import Summary'!$CI$14</f>
        <v>13.74</v>
      </c>
      <c r="D57" s="265">
        <f>'Import Summary'!$CU$14</f>
        <v>65.009723435225609</v>
      </c>
      <c r="E57" s="266">
        <f>'Import Summary'!$CI$30</f>
        <v>0</v>
      </c>
      <c r="F57" s="265">
        <f>'Import Summary'!$CU$30</f>
        <v>0</v>
      </c>
      <c r="G57" s="266">
        <f>'Import Summary'!$CI$46</f>
        <v>52.480000000000004</v>
      </c>
      <c r="H57" s="265">
        <f>'Import Summary'!$CU$46</f>
        <v>89.79986394817071</v>
      </c>
      <c r="I57" s="266">
        <v>27.14</v>
      </c>
      <c r="J57" s="265">
        <v>109.82369933677228</v>
      </c>
      <c r="K57" s="266">
        <f>'Import Summary'!$CI$62</f>
        <v>56.82</v>
      </c>
      <c r="L57" s="265">
        <f>'Import Summary'!$CU$62</f>
        <v>110.28778933474129</v>
      </c>
    </row>
    <row r="58" spans="2:12">
      <c r="B58" s="278" t="s">
        <v>58</v>
      </c>
      <c r="C58" s="276">
        <f>SUM(C54:C57)</f>
        <v>130.94</v>
      </c>
      <c r="D58" s="277">
        <f>IF(C58&lt;=0,0,SUMPRODUCT(C54:C57,D54:D57)/C58)</f>
        <v>90.577376355582714</v>
      </c>
      <c r="E58" s="276">
        <f>SUM(E54:E57)</f>
        <v>304.5</v>
      </c>
      <c r="F58" s="277">
        <f>IF(E58&lt;=0,0,SUMPRODUCT(E54:E57,F54:F57)/E58)</f>
        <v>98.140888669950726</v>
      </c>
      <c r="G58" s="276">
        <f>SUM(G54:G57)</f>
        <v>221.68</v>
      </c>
      <c r="H58" s="277">
        <f>IF(G58&lt;=0,0,SUMPRODUCT(G54:G57,H54:H57)/G58)</f>
        <v>87.303151840490784</v>
      </c>
      <c r="I58" s="276">
        <v>69.740000000000009</v>
      </c>
      <c r="J58" s="277">
        <v>92.86347763120159</v>
      </c>
      <c r="K58" s="276">
        <f>SUM(K54:K57)</f>
        <v>248.89</v>
      </c>
      <c r="L58" s="277">
        <f>IF(K58&lt;=0,0,SUMPRODUCT(K54:K57,L54:L57)/K58)</f>
        <v>89.838422676684473</v>
      </c>
    </row>
    <row r="59" spans="2:12">
      <c r="B59" s="275" t="s">
        <v>16</v>
      </c>
      <c r="C59" s="274"/>
      <c r="D59" s="274"/>
      <c r="E59" s="274"/>
      <c r="F59" s="274"/>
      <c r="G59" s="274"/>
      <c r="H59" s="274"/>
      <c r="I59" s="274"/>
      <c r="J59" s="274"/>
      <c r="K59" s="274"/>
      <c r="L59" s="274"/>
    </row>
    <row r="60" spans="2:12">
      <c r="B60" s="250" t="s">
        <v>0</v>
      </c>
      <c r="C60" s="266">
        <f>'Import Summary'!$CF$15</f>
        <v>129.6</v>
      </c>
      <c r="D60" s="265">
        <f>'Import Summary'!$CR$15</f>
        <v>81.895692206790116</v>
      </c>
      <c r="E60" s="266">
        <f>'Import Summary'!$CF$31</f>
        <v>105</v>
      </c>
      <c r="F60" s="265">
        <f>'Import Summary'!$CR$31</f>
        <v>102.22354295238094</v>
      </c>
      <c r="G60" s="266">
        <f>'Import Summary'!$CF$47</f>
        <v>0</v>
      </c>
      <c r="H60" s="265">
        <f>'Import Summary'!$CR$47</f>
        <v>0</v>
      </c>
      <c r="I60" s="266">
        <v>7.8</v>
      </c>
      <c r="J60" s="265">
        <v>82.742230769230787</v>
      </c>
      <c r="K60" s="266">
        <f>'Import Summary'!$CF$63</f>
        <v>7.8</v>
      </c>
      <c r="L60" s="265">
        <f>'Import Summary'!$CR$63</f>
        <v>82.742230769230787</v>
      </c>
    </row>
    <row r="61" spans="2:12">
      <c r="B61" s="250" t="s">
        <v>1</v>
      </c>
      <c r="C61" s="266">
        <f>'Import Summary'!$CG$15</f>
        <v>52</v>
      </c>
      <c r="D61" s="265">
        <f>'Import Summary'!$CS$15</f>
        <v>94.249521346153841</v>
      </c>
      <c r="E61" s="266">
        <f>'Import Summary'!$CG$31</f>
        <v>51.6</v>
      </c>
      <c r="F61" s="265">
        <f>'Import Summary'!$CS$31</f>
        <v>101.79707965116279</v>
      </c>
      <c r="G61" s="266">
        <f>'Import Summary'!$CG$47</f>
        <v>62</v>
      </c>
      <c r="H61" s="265">
        <f>'Import Summary'!$CS$47</f>
        <v>88.366172096774193</v>
      </c>
      <c r="I61" s="266">
        <v>75.599999999999994</v>
      </c>
      <c r="J61" s="265">
        <v>93.055909259259266</v>
      </c>
      <c r="K61" s="266">
        <f>'Import Summary'!$CG$63</f>
        <v>159.23999999999998</v>
      </c>
      <c r="L61" s="265">
        <f>'Import Summary'!$CS$63</f>
        <v>89.949660135644308</v>
      </c>
    </row>
    <row r="62" spans="2:12">
      <c r="B62" s="250" t="s">
        <v>3</v>
      </c>
      <c r="C62" s="266">
        <f>'Import Summary'!$CH$15</f>
        <v>0</v>
      </c>
      <c r="D62" s="265">
        <f>'Import Summary'!$CT$15</f>
        <v>0</v>
      </c>
      <c r="E62" s="266">
        <f>'Import Summary'!$CH$31</f>
        <v>0</v>
      </c>
      <c r="F62" s="265">
        <f>'Import Summary'!$CT$31</f>
        <v>0</v>
      </c>
      <c r="G62" s="266">
        <f>'Import Summary'!$CH$47</f>
        <v>16</v>
      </c>
      <c r="H62" s="265">
        <f>'Import Summary'!$CT$47</f>
        <v>98.194725000000005</v>
      </c>
      <c r="I62" s="266">
        <v>0</v>
      </c>
      <c r="J62" s="265">
        <v>0</v>
      </c>
      <c r="K62" s="266">
        <f>'Import Summary'!$CH$63</f>
        <v>0</v>
      </c>
      <c r="L62" s="265">
        <f>'Import Summary'!$CT$63</f>
        <v>0</v>
      </c>
    </row>
    <row r="63" spans="2:12">
      <c r="B63" s="250" t="s">
        <v>7</v>
      </c>
      <c r="C63" s="266">
        <f>'Import Summary'!$CI$15</f>
        <v>2.1639999999999997</v>
      </c>
      <c r="D63" s="265">
        <f>'Import Summary'!$CU$15</f>
        <v>67.509510166358609</v>
      </c>
      <c r="E63" s="266">
        <f>'Import Summary'!$CI$31</f>
        <v>19.129000000000001</v>
      </c>
      <c r="F63" s="265">
        <f>'Import Summary'!$CU$31</f>
        <v>70.952775890009931</v>
      </c>
      <c r="G63" s="266">
        <f>'Import Summary'!$CI$47</f>
        <v>237.92000000000002</v>
      </c>
      <c r="H63" s="265">
        <f>'Import Summary'!$CU$47</f>
        <v>74.543191703093484</v>
      </c>
      <c r="I63" s="266">
        <v>110.41</v>
      </c>
      <c r="J63" s="265">
        <v>70.303154243275074</v>
      </c>
      <c r="K63" s="266">
        <f>'Import Summary'!$CI$63</f>
        <v>200.4</v>
      </c>
      <c r="L63" s="265">
        <f>'Import Summary'!$CU$63</f>
        <v>72.798864970059881</v>
      </c>
    </row>
    <row r="64" spans="2:12">
      <c r="B64" s="278" t="s">
        <v>58</v>
      </c>
      <c r="C64" s="276">
        <f>SUM(C60:C63)</f>
        <v>183.76399999999998</v>
      </c>
      <c r="D64" s="277">
        <f>IF(C64&lt;=0,0,SUMPRODUCT(C60:C63,D60:D63)/C64)</f>
        <v>85.222064169260577</v>
      </c>
      <c r="E64" s="276">
        <f>SUM(E60:E63)</f>
        <v>175.72899999999998</v>
      </c>
      <c r="F64" s="277">
        <f>IF(E64&lt;=0,0,SUMPRODUCT(E60:E63,F60:F63)/E64)</f>
        <v>98.694335994628076</v>
      </c>
      <c r="G64" s="276">
        <f>SUM(G60:G63)</f>
        <v>315.92</v>
      </c>
      <c r="H64" s="277">
        <f>IF(G64&lt;=0,0,SUMPRODUCT(G60:G63,H60:H63)/G64)</f>
        <v>78.453831476323117</v>
      </c>
      <c r="I64" s="276">
        <v>193.81</v>
      </c>
      <c r="J64" s="277">
        <v>79.679002115473921</v>
      </c>
      <c r="K64" s="276">
        <f>SUM(K60:K63)</f>
        <v>367.44</v>
      </c>
      <c r="L64" s="277">
        <f>IF(K64&lt;=0,0,SUMPRODUCT(K60:K63,L60:L63)/K64)</f>
        <v>80.442700359242323</v>
      </c>
    </row>
    <row r="65" spans="2:12">
      <c r="B65" s="275" t="s">
        <v>19</v>
      </c>
      <c r="C65" s="274"/>
      <c r="D65" s="274"/>
      <c r="E65" s="274"/>
      <c r="F65" s="274"/>
      <c r="G65" s="274"/>
      <c r="H65" s="274"/>
      <c r="I65" s="274"/>
      <c r="J65" s="274"/>
      <c r="K65" s="274"/>
      <c r="L65" s="274"/>
    </row>
    <row r="66" spans="2:12">
      <c r="B66" s="250" t="s">
        <v>0</v>
      </c>
      <c r="C66" s="266">
        <f>'Import Summary'!$CF$5</f>
        <v>0</v>
      </c>
      <c r="D66" s="265">
        <f>'Import Summary'!$CR$5</f>
        <v>0</v>
      </c>
      <c r="E66" s="266">
        <f>'Import Summary'!$CF$21</f>
        <v>0</v>
      </c>
      <c r="F66" s="265">
        <f>'Import Summary'!$CR$21</f>
        <v>0</v>
      </c>
      <c r="G66" s="266">
        <f>'Import Summary'!$CF$37</f>
        <v>0</v>
      </c>
      <c r="H66" s="265">
        <f>'Import Summary'!$CR$37</f>
        <v>0</v>
      </c>
      <c r="I66" s="266">
        <v>0</v>
      </c>
      <c r="J66" s="265">
        <v>0</v>
      </c>
      <c r="K66" s="266">
        <f>'Import Summary'!$CF$53</f>
        <v>0</v>
      </c>
      <c r="L66" s="265">
        <f>'Import Summary'!$CR$53</f>
        <v>0</v>
      </c>
    </row>
    <row r="67" spans="2:12">
      <c r="B67" s="250" t="s">
        <v>1</v>
      </c>
      <c r="C67" s="266">
        <f>'Import Summary'!$CG$5</f>
        <v>0</v>
      </c>
      <c r="D67" s="265">
        <f>'Import Summary'!$CS$5</f>
        <v>0</v>
      </c>
      <c r="E67" s="266">
        <f>'Import Summary'!$CG$21</f>
        <v>0</v>
      </c>
      <c r="F67" s="265">
        <f>'Import Summary'!$CS$21</f>
        <v>0</v>
      </c>
      <c r="G67" s="266">
        <f>'Import Summary'!$CG$37</f>
        <v>2.04</v>
      </c>
      <c r="H67" s="265">
        <f>'Import Summary'!$CS$37</f>
        <v>228.04992156862747</v>
      </c>
      <c r="I67" s="266">
        <v>0</v>
      </c>
      <c r="J67" s="265">
        <v>0</v>
      </c>
      <c r="K67" s="266">
        <f>'Import Summary'!$CG$53</f>
        <v>0</v>
      </c>
      <c r="L67" s="265">
        <f>'Import Summary'!$CS$53</f>
        <v>0</v>
      </c>
    </row>
    <row r="68" spans="2:12">
      <c r="B68" s="250" t="s">
        <v>3</v>
      </c>
      <c r="C68" s="266">
        <f>'Import Summary'!$CH$5</f>
        <v>0</v>
      </c>
      <c r="D68" s="265">
        <f>'Import Summary'!$CT$5</f>
        <v>0</v>
      </c>
      <c r="E68" s="266">
        <f>'Import Summary'!$CH$21</f>
        <v>0</v>
      </c>
      <c r="F68" s="265">
        <f>'Import Summary'!$CT$21</f>
        <v>0</v>
      </c>
      <c r="G68" s="266">
        <f>'Import Summary'!$CH$37</f>
        <v>0</v>
      </c>
      <c r="H68" s="265">
        <f>'Import Summary'!$CT$37</f>
        <v>0</v>
      </c>
      <c r="I68" s="266">
        <v>0</v>
      </c>
      <c r="J68" s="265">
        <v>0</v>
      </c>
      <c r="K68" s="266">
        <f>'Import Summary'!$CH$53</f>
        <v>0</v>
      </c>
      <c r="L68" s="265">
        <f>'Import Summary'!$CT$53</f>
        <v>0</v>
      </c>
    </row>
    <row r="69" spans="2:12">
      <c r="B69" s="250" t="s">
        <v>7</v>
      </c>
      <c r="C69" s="266">
        <f>'Import Summary'!$CI$5</f>
        <v>0</v>
      </c>
      <c r="D69" s="265">
        <f>'Import Summary'!$CU$5</f>
        <v>0</v>
      </c>
      <c r="E69" s="266">
        <f>'Import Summary'!$CI$21</f>
        <v>0</v>
      </c>
      <c r="F69" s="265">
        <f>'Import Summary'!$CU$21</f>
        <v>0</v>
      </c>
      <c r="G69" s="266">
        <f>'Import Summary'!$CI$37</f>
        <v>0</v>
      </c>
      <c r="H69" s="265">
        <f>'Import Summary'!$CU$37</f>
        <v>0</v>
      </c>
      <c r="I69" s="266">
        <v>0</v>
      </c>
      <c r="J69" s="265">
        <v>0</v>
      </c>
      <c r="K69" s="266">
        <f>'Import Summary'!$CI$53</f>
        <v>0</v>
      </c>
      <c r="L69" s="265">
        <f>'Import Summary'!$CU$53</f>
        <v>0</v>
      </c>
    </row>
    <row r="70" spans="2:12">
      <c r="B70" s="278" t="s">
        <v>58</v>
      </c>
      <c r="C70" s="276">
        <f>SUM(C66:C69)</f>
        <v>0</v>
      </c>
      <c r="D70" s="277">
        <f>IF(C70&lt;=0,0,SUMPRODUCT(C66:C69,D66:D69)/C70)</f>
        <v>0</v>
      </c>
      <c r="E70" s="276">
        <f>SUM(E66:E69)</f>
        <v>0</v>
      </c>
      <c r="F70" s="277">
        <f>IF(E70&lt;=0,0,SUMPRODUCT(E66:E69,F66:F69)/E70)</f>
        <v>0</v>
      </c>
      <c r="G70" s="276">
        <f>SUM(G66:G69)</f>
        <v>2.04</v>
      </c>
      <c r="H70" s="277">
        <f>IF(G70&lt;=0,0,SUMPRODUCT(G66:G69,H66:H69)/G70)</f>
        <v>228.04992156862747</v>
      </c>
      <c r="I70" s="276">
        <v>0</v>
      </c>
      <c r="J70" s="277">
        <v>0</v>
      </c>
      <c r="K70" s="276">
        <f>SUM(K66:K69)</f>
        <v>0</v>
      </c>
      <c r="L70" s="277">
        <f>IF(K70&lt;=0,0,SUMPRODUCT(K66:K69,L66:L69)/K70)</f>
        <v>0</v>
      </c>
    </row>
    <row r="71" spans="2:12">
      <c r="B71" s="251"/>
      <c r="C71" s="272"/>
      <c r="D71" s="273"/>
      <c r="E71" s="272"/>
      <c r="F71" s="273"/>
      <c r="G71" s="272"/>
      <c r="H71" s="273"/>
      <c r="I71" s="272"/>
      <c r="J71" s="273"/>
      <c r="K71" s="272"/>
      <c r="L71" s="273"/>
    </row>
    <row r="72" spans="2:12" ht="12.75" thickBot="1">
      <c r="B72" s="282" t="s">
        <v>205</v>
      </c>
      <c r="C72" s="283">
        <f>C10+C16+C22+C28+C34+C40+C46+C52+C58+C64+C70</f>
        <v>57467.224075000006</v>
      </c>
      <c r="D72" s="284">
        <f>(C10*D10+C16*D16+C22*D22+C28*D28+C34*D34+C40*D40+C46*D46+C52*D52+C58*D58+C64*D64+C70*D70)/C72</f>
        <v>92.544056361225927</v>
      </c>
      <c r="E72" s="283">
        <f>E10+E16+E22+E28+E34+E40+E46+E52+E58+E64+E70</f>
        <v>69000.710000000006</v>
      </c>
      <c r="F72" s="284">
        <f>(E10*F10+E16*F16+E22*F22+E28*F28+E34*F34+E40*F40+E46*F46+E52*F52+E58*F58+E64*F64+E70*F70)/E72</f>
        <v>100.16231174838634</v>
      </c>
      <c r="G72" s="283">
        <f>G10+G16+G22+G28+G34+G40+G46+G52+G58+G64+G70</f>
        <v>46389.100500000008</v>
      </c>
      <c r="H72" s="284">
        <f>(G10*H10+G16*H16+G22*H22+G28*H28+G34*H34+G40*H40+G46*H46+G52*H52+G58*H58+G64*H64+G70*H70)/G72</f>
        <v>85.196849128169646</v>
      </c>
      <c r="I72" s="283">
        <v>12023.439999999999</v>
      </c>
      <c r="J72" s="284">
        <v>103.51454497464951</v>
      </c>
      <c r="K72" s="283">
        <f>K10+K16+K22+K28+K34+K40+K46+K52+K58+K64+K70</f>
        <v>27421.543999999994</v>
      </c>
      <c r="L72" s="284">
        <f>(K10*L10+K16*L16+K22*L22+K28*L28+K34*L34+K40*L40+K46*L46+K52*L52+K58*L58+K64*L64+K70*L70)/K72</f>
        <v>117.11727035574658</v>
      </c>
    </row>
    <row r="73" spans="2:12" ht="12.75" thickTop="1"/>
    <row r="74" spans="2:12">
      <c r="B74" s="248" t="s">
        <v>322</v>
      </c>
    </row>
    <row r="75" spans="2:12">
      <c r="B75" s="248" t="s">
        <v>323</v>
      </c>
    </row>
  </sheetData>
  <mergeCells count="11">
    <mergeCell ref="B3:B4"/>
    <mergeCell ref="D3:D4"/>
    <mergeCell ref="F3:F4"/>
    <mergeCell ref="H3:H4"/>
    <mergeCell ref="J3:J4"/>
    <mergeCell ref="K2:L2"/>
    <mergeCell ref="L3:L4"/>
    <mergeCell ref="C2:D2"/>
    <mergeCell ref="E2:F2"/>
    <mergeCell ref="G2:H2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167"/>
  <sheetViews>
    <sheetView showGridLines="0" workbookViewId="0">
      <selection activeCell="E23" sqref="E23"/>
    </sheetView>
  </sheetViews>
  <sheetFormatPr defaultRowHeight="12"/>
  <cols>
    <col min="1" max="1" width="9.140625" style="135"/>
    <col min="2" max="2" width="36.5703125" style="135" customWidth="1"/>
    <col min="3" max="3" width="15" style="135" bestFit="1" customWidth="1"/>
    <col min="4" max="6" width="14.28515625" style="135" bestFit="1" customWidth="1"/>
    <col min="7" max="7" width="12.85546875" style="135" bestFit="1" customWidth="1"/>
    <col min="8" max="9" width="12" style="135" bestFit="1" customWidth="1"/>
    <col min="10" max="11" width="9.140625" style="135"/>
    <col min="12" max="14" width="6.85546875" style="135" bestFit="1" customWidth="1"/>
    <col min="15" max="16384" width="9.140625" style="135"/>
  </cols>
  <sheetData>
    <row r="2" spans="2:14">
      <c r="B2" s="244"/>
      <c r="C2" s="285" t="s">
        <v>48</v>
      </c>
      <c r="D2" s="285" t="s">
        <v>33</v>
      </c>
      <c r="E2" s="285" t="s">
        <v>39</v>
      </c>
      <c r="F2" s="285" t="s">
        <v>345</v>
      </c>
      <c r="G2" s="285" t="s">
        <v>209</v>
      </c>
      <c r="H2" s="285" t="s">
        <v>210</v>
      </c>
      <c r="I2" s="285" t="s">
        <v>211</v>
      </c>
      <c r="L2" s="285" t="s">
        <v>206</v>
      </c>
      <c r="M2" s="285" t="s">
        <v>207</v>
      </c>
      <c r="N2" s="285" t="s">
        <v>208</v>
      </c>
    </row>
    <row r="3" spans="2:14">
      <c r="B3" s="279" t="s">
        <v>212</v>
      </c>
      <c r="C3" s="266">
        <f>'Table 1'!C72</f>
        <v>57467.224075000006</v>
      </c>
      <c r="D3" s="266">
        <f>'Table 1'!E72</f>
        <v>69000.710000000006</v>
      </c>
      <c r="E3" s="266">
        <f>'Table 1'!G72</f>
        <v>46389.100500000008</v>
      </c>
      <c r="F3" s="266">
        <f>'Table 1'!K72</f>
        <v>27421.543999999994</v>
      </c>
      <c r="G3" s="287">
        <f>F3/8*12</f>
        <v>41132.315999999992</v>
      </c>
      <c r="H3" s="287">
        <f>E3+F3</f>
        <v>73810.644499999995</v>
      </c>
      <c r="I3" s="287">
        <f>H3/20*12</f>
        <v>44286.386700000003</v>
      </c>
      <c r="K3" s="286"/>
      <c r="L3" s="266">
        <v>19843</v>
      </c>
      <c r="M3" s="266">
        <v>34142</v>
      </c>
      <c r="N3" s="266">
        <v>51055</v>
      </c>
    </row>
    <row r="4" spans="2:14">
      <c r="B4" s="279" t="s">
        <v>213</v>
      </c>
      <c r="C4" s="291">
        <f>ROUND(C3/$L$3*100,0)</f>
        <v>290</v>
      </c>
      <c r="D4" s="291">
        <f>ROUND(D3/$L$3*100,0)</f>
        <v>348</v>
      </c>
      <c r="E4" s="291">
        <f>ROUND(E3/$L$3*100,0)</f>
        <v>234</v>
      </c>
      <c r="F4" s="291"/>
      <c r="G4" s="291">
        <f>ROUND(G3/$L$3*100,0)</f>
        <v>207</v>
      </c>
      <c r="H4" s="290"/>
      <c r="I4" s="291">
        <f>ROUND(I3/$L$3*100,0)</f>
        <v>223</v>
      </c>
      <c r="L4" s="290">
        <v>100</v>
      </c>
      <c r="M4" s="291">
        <f>ROUND(M3/$L$3*100,0)</f>
        <v>172</v>
      </c>
      <c r="N4" s="291">
        <f>ROUND(N3/$L$3*100,0)</f>
        <v>257</v>
      </c>
    </row>
    <row r="6" spans="2:14">
      <c r="B6" s="244"/>
      <c r="C6" s="285" t="s">
        <v>48</v>
      </c>
      <c r="D6" s="285" t="s">
        <v>33</v>
      </c>
      <c r="E6" s="285" t="s">
        <v>39</v>
      </c>
      <c r="F6" s="285" t="s">
        <v>346</v>
      </c>
      <c r="G6" s="285" t="s">
        <v>209</v>
      </c>
      <c r="H6" s="285" t="s">
        <v>210</v>
      </c>
      <c r="I6" s="285" t="s">
        <v>211</v>
      </c>
      <c r="L6" s="285" t="s">
        <v>206</v>
      </c>
      <c r="M6" s="285" t="s">
        <v>207</v>
      </c>
      <c r="N6" s="285" t="s">
        <v>208</v>
      </c>
    </row>
    <row r="7" spans="2:14">
      <c r="B7" s="279" t="s">
        <v>215</v>
      </c>
      <c r="C7" s="266">
        <v>143232</v>
      </c>
      <c r="D7" s="266">
        <v>109861</v>
      </c>
      <c r="E7" s="266">
        <v>88448</v>
      </c>
      <c r="F7" s="138">
        <v>18743.25</v>
      </c>
      <c r="G7" s="287">
        <f>F7/9*12</f>
        <v>24991</v>
      </c>
      <c r="H7" s="287">
        <f>E7+F7</f>
        <v>107191.25</v>
      </c>
      <c r="I7" s="287">
        <f>H7/21*12</f>
        <v>61252.142857142862</v>
      </c>
    </row>
    <row r="8" spans="2:14">
      <c r="B8" s="279" t="s">
        <v>216</v>
      </c>
      <c r="C8" s="266">
        <f>Summary!C5</f>
        <v>93297.448000000019</v>
      </c>
      <c r="D8" s="266">
        <f>Summary!D5</f>
        <v>57331.141999999993</v>
      </c>
      <c r="E8" s="266">
        <f>Summary!E5</f>
        <v>56947.661999999997</v>
      </c>
      <c r="F8" s="266">
        <f>Summary!F5</f>
        <v>42713.993999999999</v>
      </c>
      <c r="G8" s="287">
        <f>F8/9*12</f>
        <v>56951.991999999998</v>
      </c>
      <c r="H8" s="287">
        <f>E8+F8</f>
        <v>99661.655999999988</v>
      </c>
      <c r="I8" s="287">
        <f>H8/21*12</f>
        <v>56949.517714285699</v>
      </c>
    </row>
    <row r="9" spans="2:14">
      <c r="B9" s="279" t="s">
        <v>212</v>
      </c>
      <c r="C9" s="266">
        <f>C3</f>
        <v>57467.224075000006</v>
      </c>
      <c r="D9" s="266">
        <f t="shared" ref="D9:F9" si="0">D3</f>
        <v>69000.710000000006</v>
      </c>
      <c r="E9" s="266">
        <f t="shared" si="0"/>
        <v>46389.100500000008</v>
      </c>
      <c r="F9" s="266">
        <f t="shared" si="0"/>
        <v>27421.543999999994</v>
      </c>
      <c r="G9" s="287">
        <f>F9/8*12</f>
        <v>41132.315999999992</v>
      </c>
      <c r="H9" s="287">
        <f>E9+F9</f>
        <v>73810.644499999995</v>
      </c>
      <c r="I9" s="287">
        <f>H9/20*12</f>
        <v>44286.386700000003</v>
      </c>
    </row>
    <row r="10" spans="2:14">
      <c r="B10" s="279" t="s">
        <v>213</v>
      </c>
      <c r="C10" s="293">
        <v>100</v>
      </c>
      <c r="D10" s="293">
        <f>ROUND(D9/$C$9*100,0)</f>
        <v>120</v>
      </c>
      <c r="E10" s="293">
        <f>ROUND(E9/$C$9*100,0)</f>
        <v>81</v>
      </c>
      <c r="F10" s="293"/>
      <c r="G10" s="293">
        <f>ROUND(G9/$C$9*100,0)</f>
        <v>72</v>
      </c>
      <c r="H10" s="293"/>
      <c r="I10" s="293">
        <f>ROUND(I9/$C$9*100,0)</f>
        <v>77</v>
      </c>
    </row>
    <row r="11" spans="2:14">
      <c r="B11" s="288" t="s">
        <v>217</v>
      </c>
      <c r="C11" s="296">
        <f>C9/C7</f>
        <v>0.40121777308841605</v>
      </c>
      <c r="D11" s="296">
        <f>D9/D7</f>
        <v>0.62807283749465237</v>
      </c>
      <c r="E11" s="296">
        <f>E9/E7</f>
        <v>0.52447879545043419</v>
      </c>
      <c r="F11" s="296"/>
      <c r="G11" s="296">
        <f>G9/G7</f>
        <v>1.6458851586571162</v>
      </c>
      <c r="H11" s="296">
        <f>H9/H7</f>
        <v>0.68858833626811888</v>
      </c>
      <c r="I11" s="296">
        <f>I9/I7</f>
        <v>0.72301775308152483</v>
      </c>
    </row>
    <row r="12" spans="2:14">
      <c r="B12" s="288"/>
      <c r="C12" s="289"/>
      <c r="D12" s="289"/>
      <c r="E12" s="289"/>
      <c r="F12" s="289"/>
      <c r="G12" s="289"/>
      <c r="H12" s="289"/>
      <c r="I12" s="289"/>
    </row>
    <row r="13" spans="2:14">
      <c r="B13" s="244"/>
      <c r="C13" s="285" t="s">
        <v>48</v>
      </c>
      <c r="D13" s="285" t="s">
        <v>33</v>
      </c>
      <c r="E13" s="285" t="s">
        <v>39</v>
      </c>
      <c r="F13" s="285" t="s">
        <v>346</v>
      </c>
      <c r="G13" s="285" t="s">
        <v>209</v>
      </c>
      <c r="H13" s="285" t="s">
        <v>210</v>
      </c>
      <c r="I13" s="285" t="s">
        <v>211</v>
      </c>
    </row>
    <row r="14" spans="2:14">
      <c r="B14" s="279" t="s">
        <v>218</v>
      </c>
      <c r="C14" s="266">
        <v>23303</v>
      </c>
      <c r="D14" s="266">
        <v>13065</v>
      </c>
      <c r="E14" s="266">
        <v>32608</v>
      </c>
      <c r="F14" s="347">
        <v>7653.5</v>
      </c>
      <c r="G14" s="287">
        <f>F14/9*12</f>
        <v>10204.666666666668</v>
      </c>
      <c r="H14" s="287">
        <f>E14+F14</f>
        <v>40261.5</v>
      </c>
      <c r="I14" s="287">
        <f>H14/21*12</f>
        <v>23006.571428571428</v>
      </c>
    </row>
    <row r="15" spans="2:14">
      <c r="B15" s="279" t="s">
        <v>212</v>
      </c>
      <c r="C15" s="266">
        <f>C3</f>
        <v>57467.224075000006</v>
      </c>
      <c r="D15" s="266">
        <f t="shared" ref="D15:F15" si="1">D3</f>
        <v>69000.710000000006</v>
      </c>
      <c r="E15" s="266">
        <f t="shared" si="1"/>
        <v>46389.100500000008</v>
      </c>
      <c r="F15" s="266">
        <f t="shared" si="1"/>
        <v>27421.543999999994</v>
      </c>
      <c r="G15" s="287">
        <f>F15/8*12</f>
        <v>41132.315999999992</v>
      </c>
      <c r="H15" s="287">
        <f>E15+F15</f>
        <v>73810.644499999995</v>
      </c>
      <c r="I15" s="287">
        <f>H15/20*12</f>
        <v>44286.386700000003</v>
      </c>
    </row>
    <row r="16" spans="2:14">
      <c r="B16" s="279" t="s">
        <v>213</v>
      </c>
      <c r="C16" s="293">
        <v>100</v>
      </c>
      <c r="D16" s="293">
        <f>ROUND(D15/$C$15*100,0)</f>
        <v>120</v>
      </c>
      <c r="E16" s="293">
        <f>ROUND(E15/$C$15*100,0)</f>
        <v>81</v>
      </c>
      <c r="F16" s="293"/>
      <c r="G16" s="293">
        <f>ROUND(G15/$C$15*100,0)</f>
        <v>72</v>
      </c>
      <c r="H16" s="293"/>
      <c r="I16" s="293">
        <f>ROUND(I15/$C$15*100,0)</f>
        <v>77</v>
      </c>
    </row>
    <row r="17" spans="2:9">
      <c r="B17" s="288" t="s">
        <v>217</v>
      </c>
      <c r="C17" s="294">
        <v>2.4700000000000002</v>
      </c>
      <c r="D17" s="294">
        <v>5.28</v>
      </c>
      <c r="E17" s="294">
        <v>1.42</v>
      </c>
      <c r="F17" s="295"/>
      <c r="G17" s="294">
        <v>1.57</v>
      </c>
      <c r="H17" s="294">
        <v>1.45</v>
      </c>
      <c r="I17" s="294">
        <v>1.45</v>
      </c>
    </row>
    <row r="19" spans="2:9">
      <c r="B19" s="244"/>
      <c r="C19" s="285" t="s">
        <v>48</v>
      </c>
      <c r="D19" s="285" t="s">
        <v>33</v>
      </c>
      <c r="E19" s="285" t="s">
        <v>39</v>
      </c>
      <c r="F19" s="285" t="s">
        <v>346</v>
      </c>
      <c r="G19" s="285" t="s">
        <v>209</v>
      </c>
      <c r="H19" s="285" t="s">
        <v>210</v>
      </c>
      <c r="I19" s="285" t="s">
        <v>211</v>
      </c>
    </row>
    <row r="20" spans="2:9">
      <c r="B20" s="279" t="s">
        <v>227</v>
      </c>
      <c r="C20" s="266">
        <f>Summary!C8</f>
        <v>14776.363999999998</v>
      </c>
      <c r="D20" s="266">
        <f>Summary!D8</f>
        <v>10295.548999999999</v>
      </c>
      <c r="E20" s="266">
        <f>Summary!E8</f>
        <v>31757.790000000005</v>
      </c>
      <c r="F20" s="266">
        <f>Summary!F8</f>
        <v>26183.776000000005</v>
      </c>
      <c r="G20" s="287">
        <f>F20/9*12</f>
        <v>34911.701333333338</v>
      </c>
      <c r="H20" s="287">
        <f>E20+F20</f>
        <v>57941.566000000006</v>
      </c>
      <c r="I20" s="287">
        <f>H20/21*12</f>
        <v>33109.466285714283</v>
      </c>
    </row>
    <row r="21" spans="2:9">
      <c r="B21" s="279" t="s">
        <v>228</v>
      </c>
      <c r="C21" s="266">
        <v>8728</v>
      </c>
      <c r="D21" s="266">
        <v>9940</v>
      </c>
      <c r="E21" s="266">
        <v>17500</v>
      </c>
      <c r="F21" s="347">
        <v>4125</v>
      </c>
      <c r="G21" s="287">
        <f>F21/9*12</f>
        <v>5500</v>
      </c>
      <c r="H21" s="287">
        <f>E21+F21</f>
        <v>21625</v>
      </c>
      <c r="I21" s="287">
        <f>H21/21*12</f>
        <v>12357.142857142859</v>
      </c>
    </row>
    <row r="22" spans="2:9">
      <c r="B22" s="279" t="s">
        <v>229</v>
      </c>
      <c r="C22" s="266">
        <f>C20+C21</f>
        <v>23504.363999999998</v>
      </c>
      <c r="D22" s="266">
        <f>D20+D21</f>
        <v>20235.548999999999</v>
      </c>
      <c r="E22" s="266">
        <f>E20+E21</f>
        <v>49257.790000000008</v>
      </c>
      <c r="F22" s="266">
        <f>F20+F21</f>
        <v>30308.776000000005</v>
      </c>
      <c r="G22" s="287">
        <f>F22/7*12</f>
        <v>51957.901714285726</v>
      </c>
      <c r="H22" s="287">
        <f>E22+F22</f>
        <v>79566.566000000021</v>
      </c>
      <c r="I22" s="287">
        <f>H22/19*12</f>
        <v>50252.568000000014</v>
      </c>
    </row>
    <row r="23" spans="2:9">
      <c r="B23" s="279" t="s">
        <v>213</v>
      </c>
      <c r="C23" s="293">
        <v>100</v>
      </c>
      <c r="D23" s="293">
        <f>ROUND(D22/$C$22*100,0)</f>
        <v>86</v>
      </c>
      <c r="E23" s="293">
        <f>ROUND(E22/$C$22*100,0)</f>
        <v>210</v>
      </c>
      <c r="F23" s="297"/>
      <c r="G23" s="293">
        <f>ROUND(G22/$C$22*100,0)</f>
        <v>221</v>
      </c>
      <c r="H23" s="293"/>
      <c r="I23" s="293">
        <f>ROUND(I22/$C$22*100,0)</f>
        <v>214</v>
      </c>
    </row>
    <row r="24" spans="2:9">
      <c r="B24" s="279" t="s">
        <v>212</v>
      </c>
      <c r="C24" s="266">
        <f>C15</f>
        <v>57467.224075000006</v>
      </c>
      <c r="D24" s="266">
        <f>D15</f>
        <v>69000.710000000006</v>
      </c>
      <c r="E24" s="266">
        <f>E15</f>
        <v>46389.100500000008</v>
      </c>
      <c r="F24" s="266">
        <f>F15</f>
        <v>27421.543999999994</v>
      </c>
      <c r="G24" s="287">
        <f>F24/8*12</f>
        <v>41132.315999999992</v>
      </c>
      <c r="H24" s="287">
        <f>E24+F24</f>
        <v>73810.644499999995</v>
      </c>
      <c r="I24" s="287">
        <f>H24/20*12</f>
        <v>44286.386700000003</v>
      </c>
    </row>
    <row r="25" spans="2:9">
      <c r="B25" s="279" t="s">
        <v>230</v>
      </c>
      <c r="C25" s="266">
        <f t="shared" ref="C25:F25" si="2">C22+C24</f>
        <v>80971.588075000007</v>
      </c>
      <c r="D25" s="266">
        <f t="shared" si="2"/>
        <v>89236.259000000005</v>
      </c>
      <c r="E25" s="266">
        <f t="shared" si="2"/>
        <v>95646.890500000009</v>
      </c>
      <c r="F25" s="266">
        <f t="shared" si="2"/>
        <v>57730.32</v>
      </c>
      <c r="G25" s="287">
        <f>F25/7*12</f>
        <v>98966.26285714285</v>
      </c>
      <c r="H25" s="287">
        <f>E25+F25</f>
        <v>153377.21050000002</v>
      </c>
      <c r="I25" s="287">
        <f>H25/19*12</f>
        <v>96869.817157894751</v>
      </c>
    </row>
    <row r="26" spans="2:9">
      <c r="B26" s="279" t="s">
        <v>213</v>
      </c>
      <c r="C26" s="293">
        <v>100</v>
      </c>
      <c r="D26" s="293">
        <f>ROUND(D25/$C$25*100,0)</f>
        <v>110</v>
      </c>
      <c r="E26" s="293">
        <v>118</v>
      </c>
      <c r="F26" s="297"/>
      <c r="G26" s="293">
        <v>119</v>
      </c>
      <c r="H26" s="293">
        <v>148</v>
      </c>
      <c r="I26" s="293">
        <v>118</v>
      </c>
    </row>
    <row r="27" spans="2:9">
      <c r="B27" s="279" t="s">
        <v>231</v>
      </c>
      <c r="C27" s="294">
        <f>C24/C25</f>
        <v>0.70972084704292737</v>
      </c>
      <c r="D27" s="294">
        <f>D24/D25</f>
        <v>0.77323624693859028</v>
      </c>
      <c r="E27" s="294">
        <f>E24/E25</f>
        <v>0.48500374928550349</v>
      </c>
      <c r="F27" s="295"/>
      <c r="G27" s="294">
        <f>G24/G25</f>
        <v>0.41561957390847648</v>
      </c>
      <c r="H27" s="294">
        <f>H24/H25</f>
        <v>0.48123606016423143</v>
      </c>
      <c r="I27" s="294">
        <f>I24/I25</f>
        <v>0.45717425715601989</v>
      </c>
    </row>
    <row r="28" spans="2:9">
      <c r="B28" s="279" t="s">
        <v>232</v>
      </c>
      <c r="C28" s="294">
        <f>C20/C25</f>
        <v>0.18248825731704035</v>
      </c>
      <c r="D28" s="294">
        <f>D20/D25</f>
        <v>0.11537405439643092</v>
      </c>
      <c r="E28" s="294">
        <f>E20/E25</f>
        <v>0.3320315990826696</v>
      </c>
      <c r="F28" s="295"/>
      <c r="G28" s="294">
        <f>G20/G25</f>
        <v>0.35276366233741846</v>
      </c>
      <c r="H28" s="294">
        <f>H20/H25</f>
        <v>0.37777167684243418</v>
      </c>
      <c r="I28" s="294">
        <f>I20/I25</f>
        <v>0.3417934219050594</v>
      </c>
    </row>
    <row r="29" spans="2:9">
      <c r="B29" s="279" t="s">
        <v>233</v>
      </c>
      <c r="C29" s="289">
        <f>C21/C25</f>
        <v>0.10779089564003218</v>
      </c>
      <c r="D29" s="289">
        <f>D21/D25</f>
        <v>0.11138969866497876</v>
      </c>
      <c r="E29" s="289">
        <f>E21/E25</f>
        <v>0.18296465163182696</v>
      </c>
      <c r="G29" s="289">
        <f>G21/G25</f>
        <v>5.5574494188380272E-2</v>
      </c>
      <c r="H29" s="289">
        <f>H21/H25</f>
        <v>0.14099226299333431</v>
      </c>
      <c r="I29" s="289">
        <f>I21/I25</f>
        <v>0.12756442842254059</v>
      </c>
    </row>
    <row r="31" spans="2:9">
      <c r="C31" s="285" t="s">
        <v>48</v>
      </c>
      <c r="D31" s="285" t="s">
        <v>33</v>
      </c>
      <c r="E31" s="285" t="s">
        <v>39</v>
      </c>
      <c r="F31" s="285" t="s">
        <v>346</v>
      </c>
      <c r="G31" s="285" t="s">
        <v>209</v>
      </c>
      <c r="H31" s="285" t="s">
        <v>210</v>
      </c>
      <c r="I31" s="285" t="s">
        <v>211</v>
      </c>
    </row>
    <row r="32" spans="2:9">
      <c r="B32" s="279" t="s">
        <v>227</v>
      </c>
      <c r="C32" s="138">
        <f>C20</f>
        <v>14776.363999999998</v>
      </c>
      <c r="D32" s="138">
        <f t="shared" ref="D32:F32" si="3">D20</f>
        <v>10295.548999999999</v>
      </c>
      <c r="E32" s="138">
        <f t="shared" si="3"/>
        <v>31757.790000000005</v>
      </c>
      <c r="F32" s="138">
        <f t="shared" si="3"/>
        <v>26183.776000000005</v>
      </c>
      <c r="G32" s="287">
        <f>F32/7*12</f>
        <v>44886.473142857154</v>
      </c>
      <c r="H32" s="287">
        <f>E32+F32</f>
        <v>57941.566000000006</v>
      </c>
      <c r="I32" s="287">
        <f>H32/19*12</f>
        <v>36594.6732631579</v>
      </c>
    </row>
    <row r="33" spans="2:9">
      <c r="B33" s="279" t="s">
        <v>213</v>
      </c>
      <c r="C33" s="138">
        <v>100</v>
      </c>
      <c r="D33" s="293">
        <f>ROUND(D32/$C$32*100,0)</f>
        <v>70</v>
      </c>
      <c r="E33" s="293">
        <f>ROUND(E32/$C$32*100,0)</f>
        <v>215</v>
      </c>
      <c r="F33" s="138"/>
      <c r="G33" s="293">
        <f>ROUND(G32/$C$32*100,0)</f>
        <v>304</v>
      </c>
      <c r="H33" s="293"/>
      <c r="I33" s="293">
        <f>ROUND(I32/$C$32*100,0)</f>
        <v>248</v>
      </c>
    </row>
    <row r="34" spans="2:9">
      <c r="B34" s="279" t="s">
        <v>234</v>
      </c>
      <c r="C34" s="138">
        <f>Summary!C13</f>
        <v>13208.363707099999</v>
      </c>
      <c r="D34" s="138">
        <f>Summary!D13</f>
        <v>10466.889420100002</v>
      </c>
      <c r="E34" s="138">
        <f>Summary!E13</f>
        <v>27208.0072874</v>
      </c>
      <c r="F34" s="138">
        <f>Summary!F13</f>
        <v>32515.641424000005</v>
      </c>
      <c r="G34" s="287">
        <f>F34/7*12</f>
        <v>55741.099584000011</v>
      </c>
      <c r="H34" s="287">
        <f>E34+F34</f>
        <v>59723.648711400005</v>
      </c>
      <c r="I34" s="287">
        <f>H34/19*12</f>
        <v>37720.199186147373</v>
      </c>
    </row>
    <row r="35" spans="2:9">
      <c r="B35" s="279" t="s">
        <v>213</v>
      </c>
      <c r="C35" s="138">
        <v>100</v>
      </c>
      <c r="D35" s="293">
        <f>ROUND(D34/$C$34*100,0)</f>
        <v>79</v>
      </c>
      <c r="E35" s="293">
        <f>ROUND(E34/$C$34*100,0)</f>
        <v>206</v>
      </c>
      <c r="F35" s="138"/>
      <c r="G35" s="293">
        <f>ROUND(G34/$C$34*100,0)</f>
        <v>422</v>
      </c>
      <c r="H35" s="138"/>
      <c r="I35" s="293">
        <f>ROUND(I34/$C$34*100,0)</f>
        <v>286</v>
      </c>
    </row>
    <row r="36" spans="2:9">
      <c r="B36" s="279" t="s">
        <v>212</v>
      </c>
      <c r="C36" s="138">
        <f>C3</f>
        <v>57467.224075000006</v>
      </c>
      <c r="D36" s="138">
        <f>D3</f>
        <v>69000.710000000006</v>
      </c>
      <c r="E36" s="138">
        <f>E3</f>
        <v>46389.100500000008</v>
      </c>
      <c r="F36" s="138">
        <f>F3</f>
        <v>27421.543999999994</v>
      </c>
      <c r="G36" s="287">
        <f>F36/8*12</f>
        <v>41132.315999999992</v>
      </c>
      <c r="H36" s="287">
        <f>E36+F36</f>
        <v>73810.644499999995</v>
      </c>
      <c r="I36" s="287">
        <f>H36/20*12</f>
        <v>44286.386700000003</v>
      </c>
    </row>
    <row r="37" spans="2:9">
      <c r="B37" s="279" t="s">
        <v>213</v>
      </c>
      <c r="C37" s="138">
        <v>100</v>
      </c>
      <c r="D37" s="293">
        <f>ROUND(D36/$C$36*100,0)</f>
        <v>120</v>
      </c>
      <c r="E37" s="293">
        <f>ROUND(E36/$C$36*100,0)</f>
        <v>81</v>
      </c>
      <c r="F37" s="138"/>
      <c r="G37" s="293">
        <f>ROUND(G36/$C$36*100,0)</f>
        <v>72</v>
      </c>
      <c r="H37" s="138"/>
      <c r="I37" s="293">
        <f>ROUND(I36/$C$36*100,0)</f>
        <v>77</v>
      </c>
    </row>
    <row r="38" spans="2:9">
      <c r="B38" s="279" t="s">
        <v>235</v>
      </c>
      <c r="C38" s="138">
        <f>'Import Summary'!R16/10^5</f>
        <v>53182.500237199994</v>
      </c>
      <c r="D38" s="138">
        <f>'Import Summary'!R32/10^5</f>
        <v>69112.706258799997</v>
      </c>
      <c r="E38" s="138">
        <f>'Import Summary'!R48/10^5</f>
        <v>39522.051964900005</v>
      </c>
      <c r="F38" s="138">
        <f>'Import Summary'!R64/10^5</f>
        <v>32115.363822199997</v>
      </c>
      <c r="G38" s="287">
        <f>F38/8*12</f>
        <v>48173.045733299994</v>
      </c>
      <c r="H38" s="287">
        <f>E38+F38</f>
        <v>71637.415787100006</v>
      </c>
      <c r="I38" s="287">
        <f>H38/20*12</f>
        <v>42982.449472260007</v>
      </c>
    </row>
    <row r="39" spans="2:9">
      <c r="B39" s="279" t="s">
        <v>213</v>
      </c>
      <c r="C39" s="138">
        <v>100</v>
      </c>
      <c r="D39" s="293">
        <f>ROUND(D38/$C$38*100,0)</f>
        <v>130</v>
      </c>
      <c r="E39" s="293">
        <f>ROUND(E38/$C$38*100,0)</f>
        <v>74</v>
      </c>
      <c r="F39" s="138"/>
      <c r="G39" s="293">
        <f>ROUND(G38/$C$38*100,0)</f>
        <v>91</v>
      </c>
      <c r="H39" s="138"/>
      <c r="I39" s="293">
        <f>ROUND(I38/$C$38*100,0)</f>
        <v>81</v>
      </c>
    </row>
    <row r="41" spans="2:9">
      <c r="B41" s="251" t="s">
        <v>236</v>
      </c>
      <c r="C41" s="285" t="s">
        <v>48</v>
      </c>
      <c r="D41" s="285" t="s">
        <v>33</v>
      </c>
      <c r="E41" s="285" t="s">
        <v>39</v>
      </c>
      <c r="F41" s="285" t="s">
        <v>346</v>
      </c>
    </row>
    <row r="42" spans="2:9">
      <c r="B42" s="279" t="s">
        <v>237</v>
      </c>
      <c r="C42" s="266">
        <f>'Imports 2013-14'!$O$6</f>
        <v>12359.29</v>
      </c>
      <c r="D42" s="266">
        <f>'Imports 2014-15'!$O$6</f>
        <v>19956.149000000001</v>
      </c>
      <c r="E42" s="266">
        <f>'Imports 2015-16'!$O$6</f>
        <v>16886.740000000002</v>
      </c>
      <c r="F42" s="266">
        <f>'Imports 2016-17'!$O$6</f>
        <v>12023.439999999999</v>
      </c>
    </row>
    <row r="43" spans="2:9">
      <c r="B43" s="279" t="s">
        <v>213</v>
      </c>
      <c r="C43" s="266">
        <v>100</v>
      </c>
      <c r="D43" s="293">
        <f>ROUND(D42/$C$42*100,0)</f>
        <v>161</v>
      </c>
      <c r="E43" s="293">
        <f>ROUND(E42/$C$42*100,0)</f>
        <v>137</v>
      </c>
      <c r="F43" s="293">
        <f>ROUND(F42/$C$42*100,0)</f>
        <v>97</v>
      </c>
    </row>
    <row r="44" spans="2:9">
      <c r="B44" s="279" t="s">
        <v>238</v>
      </c>
      <c r="C44" s="266">
        <f>'Imports 2013-14'!$O$9</f>
        <v>13848.240005</v>
      </c>
      <c r="D44" s="266">
        <f>'Imports 2014-15'!$O$9</f>
        <v>18183.605</v>
      </c>
      <c r="E44" s="266">
        <f>'Imports 2015-16'!$O$9</f>
        <v>11262.168000000001</v>
      </c>
      <c r="F44" s="266">
        <f>'Imports 2016-17'!$O$9</f>
        <v>10571.134</v>
      </c>
    </row>
    <row r="45" spans="2:9">
      <c r="B45" s="279" t="s">
        <v>213</v>
      </c>
      <c r="C45" s="266">
        <v>100</v>
      </c>
      <c r="D45" s="293">
        <f>ROUND(D44/$C$44*100,0)</f>
        <v>131</v>
      </c>
      <c r="E45" s="293">
        <f>ROUND(E44/$C$44*100,0)</f>
        <v>81</v>
      </c>
      <c r="F45" s="293">
        <f>ROUND(F44/$C$44*100,0)</f>
        <v>76</v>
      </c>
    </row>
    <row r="46" spans="2:9">
      <c r="B46" s="279" t="s">
        <v>239</v>
      </c>
      <c r="C46" s="266">
        <f>'Imports 2013-14'!$O$12</f>
        <v>13124.070069999998</v>
      </c>
      <c r="D46" s="266">
        <f>'Imports 2014-15'!$O$12</f>
        <v>16633.495999999999</v>
      </c>
      <c r="E46" s="266">
        <f>'Imports 2015-16'!$O$12</f>
        <v>9207.2260000000006</v>
      </c>
      <c r="F46" s="266">
        <f>'Imports 2016-17'!$O$12</f>
        <v>4826.9699999999993</v>
      </c>
      <c r="G46" s="135" t="s">
        <v>342</v>
      </c>
    </row>
    <row r="47" spans="2:9">
      <c r="B47" s="279" t="s">
        <v>213</v>
      </c>
      <c r="C47" s="266">
        <v>100</v>
      </c>
      <c r="D47" s="293">
        <f>ROUND(D46/$C$46*100,0)</f>
        <v>127</v>
      </c>
      <c r="E47" s="293">
        <f>ROUND(E46/$C$46*100,0)</f>
        <v>70</v>
      </c>
      <c r="F47" s="293">
        <f>ROUND(F46/$C$46*100,0)</f>
        <v>37</v>
      </c>
    </row>
    <row r="48" spans="2:9">
      <c r="B48" s="279" t="s">
        <v>240</v>
      </c>
      <c r="C48" s="266">
        <f>'Imports 2013-14'!$O$15</f>
        <v>18135.624</v>
      </c>
      <c r="D48" s="266">
        <f>'Imports 2014-15'!$O$15</f>
        <v>14227.460000000001</v>
      </c>
      <c r="E48" s="266">
        <f>'Imports 2015-16'!$O$15</f>
        <v>9032.9665000000005</v>
      </c>
      <c r="F48" s="266">
        <f>'Imports 2016-17'!$O$15</f>
        <v>0</v>
      </c>
    </row>
    <row r="49" spans="2:9">
      <c r="B49" s="279" t="s">
        <v>213</v>
      </c>
      <c r="C49" s="266">
        <v>100</v>
      </c>
      <c r="D49" s="293">
        <f>ROUND(D48/$C$48*100,0)</f>
        <v>78</v>
      </c>
      <c r="E49" s="293">
        <f>ROUND(E48/$C$48*100,0)</f>
        <v>50</v>
      </c>
      <c r="F49" s="293">
        <f>ROUND(F48/$C$48*100,0)</f>
        <v>0</v>
      </c>
    </row>
    <row r="51" spans="2:9">
      <c r="B51" s="244"/>
      <c r="C51" s="285" t="s">
        <v>48</v>
      </c>
      <c r="D51" s="285" t="s">
        <v>33</v>
      </c>
      <c r="E51" s="285" t="s">
        <v>39</v>
      </c>
      <c r="F51" s="285" t="s">
        <v>346</v>
      </c>
      <c r="G51" s="285" t="s">
        <v>209</v>
      </c>
      <c r="H51" s="285" t="s">
        <v>210</v>
      </c>
      <c r="I51" s="285" t="s">
        <v>211</v>
      </c>
    </row>
    <row r="52" spans="2:9">
      <c r="B52" s="279" t="s">
        <v>241</v>
      </c>
      <c r="C52" s="293">
        <v>120000</v>
      </c>
      <c r="D52" s="293">
        <v>120000</v>
      </c>
      <c r="E52" s="293">
        <v>120000</v>
      </c>
      <c r="F52" s="297"/>
      <c r="G52" s="293">
        <v>120000</v>
      </c>
      <c r="H52" s="293">
        <v>150000</v>
      </c>
      <c r="I52" s="293">
        <v>120000</v>
      </c>
    </row>
    <row r="53" spans="2:9">
      <c r="B53" s="279" t="s">
        <v>187</v>
      </c>
      <c r="C53" s="293">
        <f>C8</f>
        <v>93297.448000000019</v>
      </c>
      <c r="D53" s="293">
        <f t="shared" ref="D53:F53" si="4">D8</f>
        <v>57331.141999999993</v>
      </c>
      <c r="E53" s="293">
        <f t="shared" si="4"/>
        <v>56947.661999999997</v>
      </c>
      <c r="F53" s="293">
        <f t="shared" si="4"/>
        <v>42713.993999999999</v>
      </c>
      <c r="G53" s="287">
        <f>F53/7*12</f>
        <v>73223.989714285708</v>
      </c>
      <c r="H53" s="287">
        <f>E53+F53</f>
        <v>99661.655999999988</v>
      </c>
      <c r="I53" s="287">
        <f>H53/19*12</f>
        <v>62944.203789473671</v>
      </c>
    </row>
    <row r="54" spans="2:9">
      <c r="B54" s="279" t="s">
        <v>242</v>
      </c>
      <c r="C54" s="294">
        <f>C53/C52</f>
        <v>0.7774787333333335</v>
      </c>
      <c r="D54" s="294">
        <f>D53/D52</f>
        <v>0.47775951666666661</v>
      </c>
      <c r="E54" s="294">
        <f>E53/E52</f>
        <v>0.47456384999999995</v>
      </c>
      <c r="F54" s="295"/>
      <c r="G54" s="294">
        <f>G53/G52</f>
        <v>0.61019991428571418</v>
      </c>
      <c r="H54" s="294">
        <f>H53/H52</f>
        <v>0.66441103999999995</v>
      </c>
      <c r="I54" s="294">
        <f>I53/I52</f>
        <v>0.52453503157894721</v>
      </c>
    </row>
    <row r="55" spans="2:9">
      <c r="B55" s="279" t="s">
        <v>213</v>
      </c>
      <c r="C55" s="293">
        <v>100</v>
      </c>
      <c r="D55" s="293">
        <f>ROUND(D53/$C$53*100,0)</f>
        <v>61</v>
      </c>
      <c r="E55" s="293">
        <f>ROUND(E53/$C$53*100,0)</f>
        <v>61</v>
      </c>
      <c r="F55" s="297"/>
      <c r="G55" s="293">
        <f>ROUND(G53/$C$53*100,0)</f>
        <v>78</v>
      </c>
      <c r="H55" s="293"/>
      <c r="I55" s="293">
        <f>ROUND(I53/$C$53*100,0)</f>
        <v>67</v>
      </c>
    </row>
    <row r="56" spans="2:9">
      <c r="B56" s="279"/>
      <c r="C56" s="293"/>
      <c r="D56" s="293"/>
      <c r="E56" s="293"/>
      <c r="F56" s="297"/>
      <c r="G56" s="293"/>
      <c r="H56" s="293"/>
      <c r="I56" s="293"/>
    </row>
    <row r="57" spans="2:9">
      <c r="B57" s="292"/>
      <c r="C57" s="285" t="s">
        <v>48</v>
      </c>
      <c r="D57" s="285" t="s">
        <v>33</v>
      </c>
      <c r="E57" s="285" t="s">
        <v>39</v>
      </c>
      <c r="F57" s="285" t="s">
        <v>346</v>
      </c>
      <c r="G57" s="285" t="s">
        <v>209</v>
      </c>
      <c r="H57" s="285" t="s">
        <v>210</v>
      </c>
      <c r="I57" s="285" t="s">
        <v>211</v>
      </c>
    </row>
    <row r="58" spans="2:9">
      <c r="B58" s="279" t="s">
        <v>219</v>
      </c>
      <c r="C58" s="293">
        <f>C20</f>
        <v>14776.363999999998</v>
      </c>
      <c r="D58" s="293">
        <f t="shared" ref="D58:I58" si="5">D20</f>
        <v>10295.548999999999</v>
      </c>
      <c r="E58" s="293">
        <f t="shared" si="5"/>
        <v>31757.790000000005</v>
      </c>
      <c r="F58" s="293">
        <f t="shared" si="5"/>
        <v>26183.776000000005</v>
      </c>
      <c r="G58" s="293">
        <f t="shared" si="5"/>
        <v>34911.701333333338</v>
      </c>
      <c r="H58" s="293">
        <f t="shared" si="5"/>
        <v>57941.566000000006</v>
      </c>
      <c r="I58" s="293">
        <f t="shared" si="5"/>
        <v>33109.466285714283</v>
      </c>
    </row>
    <row r="59" spans="2:9">
      <c r="B59" s="279" t="s">
        <v>213</v>
      </c>
      <c r="C59" s="293">
        <v>100</v>
      </c>
      <c r="D59" s="293">
        <f>ROUND(D58/$C$58*100,0)</f>
        <v>70</v>
      </c>
      <c r="E59" s="293">
        <f>ROUND(E58/$C$58*100,0)</f>
        <v>215</v>
      </c>
      <c r="F59" s="297"/>
      <c r="G59" s="293">
        <f>ROUND(G58/$C$58*100,0)</f>
        <v>236</v>
      </c>
      <c r="H59" s="293"/>
      <c r="I59" s="293">
        <f>ROUND(I58/$C$58*100,0)</f>
        <v>224</v>
      </c>
    </row>
    <row r="60" spans="2:9">
      <c r="B60" s="279" t="s">
        <v>220</v>
      </c>
      <c r="C60" s="293">
        <f>C21</f>
        <v>8728</v>
      </c>
      <c r="D60" s="293">
        <f t="shared" ref="D60:I60" si="6">D21</f>
        <v>9940</v>
      </c>
      <c r="E60" s="293">
        <f t="shared" si="6"/>
        <v>17500</v>
      </c>
      <c r="F60" s="293">
        <f t="shared" si="6"/>
        <v>4125</v>
      </c>
      <c r="G60" s="293">
        <f t="shared" si="6"/>
        <v>5500</v>
      </c>
      <c r="H60" s="293">
        <f t="shared" si="6"/>
        <v>21625</v>
      </c>
      <c r="I60" s="293">
        <f t="shared" si="6"/>
        <v>12357.142857142859</v>
      </c>
    </row>
    <row r="61" spans="2:9">
      <c r="B61" s="279" t="s">
        <v>221</v>
      </c>
      <c r="C61" s="293">
        <f>C22</f>
        <v>23504.363999999998</v>
      </c>
      <c r="D61" s="293">
        <f t="shared" ref="D61:I61" si="7">D22</f>
        <v>20235.548999999999</v>
      </c>
      <c r="E61" s="293">
        <f t="shared" si="7"/>
        <v>49257.790000000008</v>
      </c>
      <c r="F61" s="293">
        <f t="shared" si="7"/>
        <v>30308.776000000005</v>
      </c>
      <c r="G61" s="293">
        <f t="shared" si="7"/>
        <v>51957.901714285726</v>
      </c>
      <c r="H61" s="293">
        <f t="shared" si="7"/>
        <v>79566.566000000021</v>
      </c>
      <c r="I61" s="293">
        <f t="shared" si="7"/>
        <v>50252.568000000014</v>
      </c>
    </row>
    <row r="62" spans="2:9">
      <c r="B62" s="279" t="s">
        <v>213</v>
      </c>
      <c r="C62" s="293">
        <v>100</v>
      </c>
      <c r="D62" s="293">
        <f>ROUND(D61/$C$61*100,0)</f>
        <v>86</v>
      </c>
      <c r="E62" s="293">
        <f>ROUND(E61/$C$61*100,0)</f>
        <v>210</v>
      </c>
      <c r="F62" s="297"/>
      <c r="G62" s="293">
        <f>ROUND(G61/$C$61*100,0)</f>
        <v>221</v>
      </c>
      <c r="H62" s="293">
        <f>ROUND(H61/$C$61*100,0)</f>
        <v>339</v>
      </c>
      <c r="I62" s="293">
        <f>ROUND(I61/$C$61*100,0)</f>
        <v>214</v>
      </c>
    </row>
    <row r="63" spans="2:9">
      <c r="B63" s="279" t="s">
        <v>223</v>
      </c>
      <c r="C63" s="266">
        <f>C24</f>
        <v>57467.224075000006</v>
      </c>
      <c r="D63" s="266">
        <f t="shared" ref="D63:I63" si="8">D24</f>
        <v>69000.710000000006</v>
      </c>
      <c r="E63" s="266">
        <f t="shared" si="8"/>
        <v>46389.100500000008</v>
      </c>
      <c r="F63" s="266">
        <f t="shared" si="8"/>
        <v>27421.543999999994</v>
      </c>
      <c r="G63" s="266">
        <f t="shared" si="8"/>
        <v>41132.315999999992</v>
      </c>
      <c r="H63" s="266">
        <f t="shared" si="8"/>
        <v>73810.644499999995</v>
      </c>
      <c r="I63" s="266">
        <f t="shared" si="8"/>
        <v>44286.386700000003</v>
      </c>
    </row>
    <row r="64" spans="2:9">
      <c r="B64" s="279" t="s">
        <v>213</v>
      </c>
      <c r="C64" s="266">
        <v>100</v>
      </c>
      <c r="D64" s="293">
        <f>ROUND(D63/$C$63*100,0)</f>
        <v>120</v>
      </c>
      <c r="E64" s="293">
        <f>ROUND(E63/$C$63*100,0)</f>
        <v>81</v>
      </c>
      <c r="F64" s="138"/>
      <c r="G64" s="293">
        <f>ROUND(G63/$C$63*100,0)</f>
        <v>72</v>
      </c>
      <c r="H64" s="293">
        <f>ROUND(H63/$C$63*100,0)</f>
        <v>128</v>
      </c>
      <c r="I64" s="293">
        <f>ROUND(I63/$C$63*100,0)</f>
        <v>77</v>
      </c>
    </row>
    <row r="65" spans="2:9">
      <c r="B65" s="279" t="s">
        <v>222</v>
      </c>
      <c r="C65" s="266">
        <f>C25</f>
        <v>80971.588075000007</v>
      </c>
      <c r="D65" s="266">
        <f t="shared" ref="D65:I65" si="9">D25</f>
        <v>89236.259000000005</v>
      </c>
      <c r="E65" s="266">
        <f t="shared" si="9"/>
        <v>95646.890500000009</v>
      </c>
      <c r="F65" s="266">
        <f t="shared" si="9"/>
        <v>57730.32</v>
      </c>
      <c r="G65" s="266">
        <f t="shared" si="9"/>
        <v>98966.26285714285</v>
      </c>
      <c r="H65" s="266">
        <f t="shared" si="9"/>
        <v>153377.21050000002</v>
      </c>
      <c r="I65" s="266">
        <f t="shared" si="9"/>
        <v>96869.817157894751</v>
      </c>
    </row>
    <row r="66" spans="2:9">
      <c r="B66" s="279" t="s">
        <v>213</v>
      </c>
      <c r="C66" s="266">
        <v>100</v>
      </c>
      <c r="D66" s="293">
        <f>ROUND(D65/$C$65*100,0)</f>
        <v>110</v>
      </c>
      <c r="E66" s="293">
        <f>ROUND(E65/$C$65*100,0)</f>
        <v>118</v>
      </c>
      <c r="F66" s="138"/>
      <c r="G66" s="293">
        <f>ROUND(G65/$C$65*100,0)</f>
        <v>122</v>
      </c>
      <c r="H66" s="293">
        <f>ROUND(H65/$C$65*100,0)</f>
        <v>189</v>
      </c>
      <c r="I66" s="293">
        <f>ROUND(I65/$C$65*100,0)</f>
        <v>120</v>
      </c>
    </row>
    <row r="67" spans="2:9">
      <c r="B67" s="279" t="s">
        <v>224</v>
      </c>
      <c r="C67" s="294">
        <v>0.71</v>
      </c>
      <c r="D67" s="294">
        <v>0.77</v>
      </c>
      <c r="E67" s="294">
        <v>0.49</v>
      </c>
      <c r="F67" s="295"/>
      <c r="G67" s="294">
        <v>0.5</v>
      </c>
      <c r="H67" s="294">
        <v>0.49</v>
      </c>
      <c r="I67" s="294">
        <v>0.49</v>
      </c>
    </row>
    <row r="68" spans="2:9">
      <c r="B68" s="279" t="s">
        <v>243</v>
      </c>
      <c r="C68" s="294">
        <v>0.18</v>
      </c>
      <c r="D68" s="294">
        <v>0.12</v>
      </c>
      <c r="E68" s="294">
        <v>0.33</v>
      </c>
      <c r="F68" s="295"/>
      <c r="G68" s="294">
        <v>0.33</v>
      </c>
      <c r="H68" s="294">
        <v>0.33</v>
      </c>
      <c r="I68" s="294">
        <v>0.33</v>
      </c>
    </row>
    <row r="69" spans="2:9">
      <c r="B69" s="279" t="s">
        <v>225</v>
      </c>
      <c r="C69" s="294">
        <v>0.11</v>
      </c>
      <c r="D69" s="294">
        <v>0.11</v>
      </c>
      <c r="E69" s="294">
        <v>0.18</v>
      </c>
      <c r="F69" s="295"/>
      <c r="G69" s="294">
        <v>0.17</v>
      </c>
      <c r="H69" s="294">
        <v>0.18</v>
      </c>
      <c r="I69" s="294">
        <v>0.18</v>
      </c>
    </row>
    <row r="70" spans="2:9">
      <c r="B70" s="279" t="s">
        <v>244</v>
      </c>
      <c r="C70" s="266">
        <f t="shared" ref="C70:I70" si="10">C34</f>
        <v>13208.363707099999</v>
      </c>
      <c r="D70" s="266">
        <f t="shared" si="10"/>
        <v>10466.889420100002</v>
      </c>
      <c r="E70" s="266">
        <f t="shared" si="10"/>
        <v>27208.0072874</v>
      </c>
      <c r="F70" s="266">
        <f t="shared" si="10"/>
        <v>32515.641424000005</v>
      </c>
      <c r="G70" s="266">
        <f t="shared" si="10"/>
        <v>55741.099584000011</v>
      </c>
      <c r="H70" s="266">
        <f t="shared" si="10"/>
        <v>59723.648711400005</v>
      </c>
      <c r="I70" s="266">
        <f t="shared" si="10"/>
        <v>37720.199186147373</v>
      </c>
    </row>
    <row r="71" spans="2:9">
      <c r="B71" s="279" t="s">
        <v>213</v>
      </c>
      <c r="C71" s="266">
        <v>100</v>
      </c>
      <c r="D71" s="293">
        <f>ROUND(D70/$C$70*100,0)</f>
        <v>79</v>
      </c>
      <c r="E71" s="293">
        <f>ROUND(E70/$C$70*100,0)</f>
        <v>206</v>
      </c>
      <c r="F71" s="138"/>
      <c r="G71" s="293">
        <f>ROUND(G70/$C$70*100,0)</f>
        <v>422</v>
      </c>
      <c r="H71" s="293">
        <f>ROUND(H70/$C$70*100,0)</f>
        <v>452</v>
      </c>
      <c r="I71" s="293">
        <f>ROUND(I70/$C$70*100,0)</f>
        <v>286</v>
      </c>
    </row>
    <row r="72" spans="2:9">
      <c r="B72" s="279" t="s">
        <v>226</v>
      </c>
      <c r="C72" s="266">
        <f t="shared" ref="C72:I72" si="11">C38</f>
        <v>53182.500237199994</v>
      </c>
      <c r="D72" s="266">
        <f t="shared" si="11"/>
        <v>69112.706258799997</v>
      </c>
      <c r="E72" s="266">
        <f t="shared" si="11"/>
        <v>39522.051964900005</v>
      </c>
      <c r="F72" s="266">
        <f t="shared" si="11"/>
        <v>32115.363822199997</v>
      </c>
      <c r="G72" s="266">
        <f t="shared" si="11"/>
        <v>48173.045733299994</v>
      </c>
      <c r="H72" s="266">
        <f t="shared" si="11"/>
        <v>71637.415787100006</v>
      </c>
      <c r="I72" s="266">
        <f t="shared" si="11"/>
        <v>42982.449472260007</v>
      </c>
    </row>
    <row r="73" spans="2:9">
      <c r="B73" s="279" t="s">
        <v>213</v>
      </c>
      <c r="C73" s="266">
        <v>100</v>
      </c>
      <c r="D73" s="293">
        <f>ROUND(D72/$C$72*100,0)</f>
        <v>130</v>
      </c>
      <c r="E73" s="293">
        <f>ROUND(E72/$C$72*100,0)</f>
        <v>74</v>
      </c>
      <c r="F73" s="138"/>
      <c r="G73" s="293">
        <f>ROUND(G72/$C$72*100,0)</f>
        <v>91</v>
      </c>
      <c r="H73" s="293">
        <f>ROUND(H72/$C$72*100,0)</f>
        <v>135</v>
      </c>
      <c r="I73" s="293">
        <f>ROUND(I72/$C$72*100,0)</f>
        <v>81</v>
      </c>
    </row>
    <row r="74" spans="2:9">
      <c r="B74" s="279"/>
      <c r="C74" s="290"/>
      <c r="D74" s="290"/>
      <c r="E74" s="290"/>
      <c r="F74" s="295"/>
      <c r="G74" s="290"/>
      <c r="H74" s="290"/>
      <c r="I74" s="290"/>
    </row>
    <row r="75" spans="2:9">
      <c r="B75" s="300" t="s">
        <v>326</v>
      </c>
    </row>
    <row r="76" spans="2:9">
      <c r="B76" s="292"/>
      <c r="C76" s="285" t="s">
        <v>48</v>
      </c>
      <c r="D76" s="285" t="s">
        <v>33</v>
      </c>
      <c r="E76" s="285" t="s">
        <v>39</v>
      </c>
      <c r="F76" s="285" t="s">
        <v>345</v>
      </c>
      <c r="G76" s="285" t="s">
        <v>209</v>
      </c>
      <c r="H76" s="285" t="s">
        <v>210</v>
      </c>
      <c r="I76" s="285" t="s">
        <v>211</v>
      </c>
    </row>
    <row r="77" spans="2:9">
      <c r="B77" s="295" t="s">
        <v>327</v>
      </c>
      <c r="C77" s="138">
        <f>'Import Summary'!C75</f>
        <v>57395.470074999997</v>
      </c>
      <c r="D77" s="138">
        <f>'Import Summary'!C76</f>
        <v>68904.365000000005</v>
      </c>
      <c r="E77" s="138">
        <f>'Import Summary'!C77</f>
        <v>43863.630000000005</v>
      </c>
      <c r="F77" s="138">
        <f>'Import Summary'!C78</f>
        <v>26553.669999999995</v>
      </c>
      <c r="G77" s="287">
        <f>F77/7*12</f>
        <v>45520.577142857132</v>
      </c>
      <c r="H77" s="287">
        <f>E77+F77</f>
        <v>70417.3</v>
      </c>
      <c r="I77" s="287">
        <f>H77/19*12</f>
        <v>44474.084210526315</v>
      </c>
    </row>
    <row r="78" spans="2:9">
      <c r="B78" s="295" t="s">
        <v>331</v>
      </c>
      <c r="C78" s="138">
        <f>'Import Summary'!D75</f>
        <v>5308354271.4100008</v>
      </c>
      <c r="D78" s="138">
        <f>'Import Summary'!D76</f>
        <v>6897412250.04</v>
      </c>
      <c r="E78" s="138">
        <f>'Import Summary'!D77</f>
        <v>3731536085.7000012</v>
      </c>
      <c r="F78" s="138">
        <f>'Import Summary'!D78</f>
        <v>3127731251.4699998</v>
      </c>
      <c r="G78" s="287">
        <f>F78*4</f>
        <v>12510925005.879999</v>
      </c>
      <c r="H78" s="287">
        <f>E78+F78</f>
        <v>6859267337.170001</v>
      </c>
      <c r="I78" s="287">
        <f>H78/15*12</f>
        <v>5487413869.736001</v>
      </c>
    </row>
    <row r="79" spans="2:9">
      <c r="B79" s="295"/>
    </row>
    <row r="80" spans="2:9">
      <c r="B80" s="295" t="s">
        <v>328</v>
      </c>
      <c r="C80" s="138">
        <f>'Import Summary'!F75</f>
        <v>71.753999999999991</v>
      </c>
      <c r="D80" s="138">
        <f>'Import Summary'!F76</f>
        <v>96.344999999999999</v>
      </c>
      <c r="E80" s="138">
        <f>'Import Summary'!F77</f>
        <v>2525.4704999999999</v>
      </c>
      <c r="F80" s="138">
        <f>'Import Summary'!F78</f>
        <v>867.87400000000002</v>
      </c>
      <c r="G80" s="287">
        <f>F80/7*12</f>
        <v>1487.7840000000001</v>
      </c>
      <c r="H80" s="287">
        <f>E80+F80</f>
        <v>3393.3445000000002</v>
      </c>
      <c r="I80" s="287">
        <f>H80/19*12</f>
        <v>2143.1649473684211</v>
      </c>
    </row>
    <row r="81" spans="1:10">
      <c r="B81" s="295" t="s">
        <v>332</v>
      </c>
      <c r="C81" s="138">
        <f>'Import Summary'!G75</f>
        <v>9895752.3099999987</v>
      </c>
      <c r="D81" s="138">
        <f>'Import Summary'!G76</f>
        <v>13858375.84</v>
      </c>
      <c r="E81" s="138">
        <f>'Import Summary'!G77</f>
        <v>220669110.78999999</v>
      </c>
      <c r="F81" s="138">
        <f>'Import Summary'!G78</f>
        <v>83805130.75</v>
      </c>
      <c r="G81" s="287">
        <f>F81*4</f>
        <v>335220523</v>
      </c>
      <c r="H81" s="287">
        <f>E81+F81</f>
        <v>304474241.53999996</v>
      </c>
      <c r="I81" s="287">
        <f>H81/15*12</f>
        <v>243579393.23199993</v>
      </c>
    </row>
    <row r="83" spans="1:10">
      <c r="B83" s="295" t="s">
        <v>329</v>
      </c>
      <c r="C83" s="339">
        <f t="shared" ref="C83:F84" si="12">C77+C80</f>
        <v>57467.224074999998</v>
      </c>
      <c r="D83" s="339">
        <f t="shared" si="12"/>
        <v>69000.710000000006</v>
      </c>
      <c r="E83" s="339">
        <f t="shared" si="12"/>
        <v>46389.100500000008</v>
      </c>
      <c r="F83" s="339">
        <f t="shared" si="12"/>
        <v>27421.543999999994</v>
      </c>
      <c r="G83" s="287">
        <f>F83/7*12</f>
        <v>47008.361142857131</v>
      </c>
      <c r="H83" s="287">
        <f>E83+F83</f>
        <v>73810.644499999995</v>
      </c>
      <c r="I83" s="287">
        <f>H83/19*12</f>
        <v>46617.249157894737</v>
      </c>
      <c r="J83" s="340" t="s">
        <v>330</v>
      </c>
    </row>
    <row r="84" spans="1:10">
      <c r="B84" s="295" t="s">
        <v>333</v>
      </c>
      <c r="C84" s="339">
        <f t="shared" si="12"/>
        <v>5318250023.7200012</v>
      </c>
      <c r="D84" s="339">
        <f t="shared" si="12"/>
        <v>6911270625.8800001</v>
      </c>
      <c r="E84" s="339">
        <f t="shared" si="12"/>
        <v>3952205196.4900012</v>
      </c>
      <c r="F84" s="339">
        <f t="shared" si="12"/>
        <v>3211536382.2199998</v>
      </c>
      <c r="G84" s="287">
        <f>F84*4</f>
        <v>12846145528.879999</v>
      </c>
      <c r="H84" s="287">
        <f>E84+F84</f>
        <v>7163741578.710001</v>
      </c>
      <c r="I84" s="287">
        <f>H84/15*12</f>
        <v>5730993262.9680014</v>
      </c>
    </row>
    <row r="88" spans="1:10">
      <c r="B88" s="281" t="s">
        <v>245</v>
      </c>
      <c r="C88" s="285" t="s">
        <v>48</v>
      </c>
      <c r="D88" s="285" t="s">
        <v>33</v>
      </c>
      <c r="E88" s="285" t="s">
        <v>39</v>
      </c>
      <c r="F88" s="285" t="s">
        <v>345</v>
      </c>
      <c r="G88" s="285" t="s">
        <v>209</v>
      </c>
      <c r="H88" s="285" t="s">
        <v>210</v>
      </c>
    </row>
    <row r="89" spans="1:10">
      <c r="B89" s="279" t="s">
        <v>253</v>
      </c>
      <c r="C89" s="138">
        <f t="shared" ref="C89:H89" si="13">C78/C77</f>
        <v>92487.33853862423</v>
      </c>
      <c r="D89" s="138">
        <f t="shared" si="13"/>
        <v>100101.23814420174</v>
      </c>
      <c r="E89" s="138">
        <f t="shared" si="13"/>
        <v>85071.301342364983</v>
      </c>
      <c r="F89" s="138">
        <f t="shared" si="13"/>
        <v>117789.03825610549</v>
      </c>
      <c r="G89" s="138">
        <f t="shared" si="13"/>
        <v>274841.08926424611</v>
      </c>
      <c r="H89" s="138">
        <f t="shared" si="13"/>
        <v>97408.837560798274</v>
      </c>
    </row>
    <row r="90" spans="1:10" hidden="1">
      <c r="A90" s="135" t="s">
        <v>293</v>
      </c>
      <c r="B90" s="313" t="s">
        <v>258</v>
      </c>
      <c r="C90" s="314">
        <v>5.1499999999999997E-2</v>
      </c>
      <c r="D90" s="314">
        <v>0</v>
      </c>
      <c r="E90" s="314">
        <v>0</v>
      </c>
      <c r="F90" s="314"/>
      <c r="G90" s="314">
        <v>0</v>
      </c>
      <c r="H90" s="314">
        <v>0</v>
      </c>
      <c r="I90" s="314"/>
    </row>
    <row r="91" spans="1:10">
      <c r="B91" s="279" t="s">
        <v>254</v>
      </c>
      <c r="C91" s="293">
        <f t="shared" ref="C91:H91" si="14">C89*(1+C90)</f>
        <v>97250.436473363385</v>
      </c>
      <c r="D91" s="293">
        <f t="shared" si="14"/>
        <v>100101.23814420174</v>
      </c>
      <c r="E91" s="293">
        <f t="shared" si="14"/>
        <v>85071.301342364983</v>
      </c>
      <c r="F91" s="293">
        <f t="shared" si="14"/>
        <v>117789.03825610549</v>
      </c>
      <c r="G91" s="293">
        <f t="shared" si="14"/>
        <v>274841.08926424611</v>
      </c>
      <c r="H91" s="293">
        <f t="shared" si="14"/>
        <v>97408.837560798274</v>
      </c>
      <c r="I91" s="298"/>
    </row>
    <row r="92" spans="1:10">
      <c r="B92" s="279" t="s">
        <v>247</v>
      </c>
      <c r="C92" s="290">
        <v>100</v>
      </c>
      <c r="D92" s="293">
        <f>ROUND(D91/$C$91*100,0)</f>
        <v>103</v>
      </c>
      <c r="E92" s="293">
        <f>ROUND(E91/$C$91*100,0)</f>
        <v>87</v>
      </c>
      <c r="F92" s="293"/>
      <c r="G92" s="293">
        <f>ROUND(G91/$C$91*100,0)</f>
        <v>283</v>
      </c>
      <c r="H92" s="293">
        <f>ROUND(H91/$C$91*100,0)</f>
        <v>100</v>
      </c>
    </row>
    <row r="93" spans="1:10">
      <c r="B93" s="279" t="s">
        <v>294</v>
      </c>
      <c r="C93" s="293">
        <f>COP!D58</f>
        <v>102359.02583794906</v>
      </c>
      <c r="D93" s="293">
        <f>COP!E58</f>
        <v>121463.16697215312</v>
      </c>
      <c r="E93" s="293">
        <f>COP!F58</f>
        <v>101069.38210593291</v>
      </c>
      <c r="F93" s="293">
        <f>COP!G58</f>
        <v>100425.71711596919</v>
      </c>
      <c r="G93" s="138">
        <f>F93</f>
        <v>100425.71711596919</v>
      </c>
      <c r="H93" s="293">
        <f>COP!H39+2</f>
        <v>100951.27322111872</v>
      </c>
    </row>
    <row r="94" spans="1:10">
      <c r="B94" s="279" t="s">
        <v>247</v>
      </c>
      <c r="C94" s="290">
        <v>100</v>
      </c>
      <c r="D94" s="293">
        <f>ROUND(D93/$C$93*100,0)</f>
        <v>119</v>
      </c>
      <c r="E94" s="293">
        <f>ROUND(E93/$C$93*100,0)</f>
        <v>99</v>
      </c>
      <c r="F94" s="293"/>
      <c r="G94" s="293">
        <f>ROUND(G93/$C$93*100,0)</f>
        <v>98</v>
      </c>
      <c r="H94" s="319">
        <f>ROUND(H93/$C$93*100,0)</f>
        <v>99</v>
      </c>
    </row>
    <row r="95" spans="1:10" hidden="1">
      <c r="A95" s="135" t="s">
        <v>293</v>
      </c>
      <c r="B95" s="315" t="s">
        <v>287</v>
      </c>
      <c r="C95" s="316">
        <f>C34*10^5/C32</f>
        <v>89388.456504590722</v>
      </c>
      <c r="D95" s="316">
        <f t="shared" ref="D95:F95" si="15">D34*10^5/D32</f>
        <v>101664.21839282202</v>
      </c>
      <c r="E95" s="316">
        <f t="shared" si="15"/>
        <v>85673.490779427637</v>
      </c>
      <c r="F95" s="316">
        <f t="shared" si="15"/>
        <v>124182.39991054001</v>
      </c>
      <c r="G95" s="316">
        <f>F95</f>
        <v>124182.39991054001</v>
      </c>
      <c r="H95" s="316">
        <f>H34*10^5/H32</f>
        <v>103075.6550684184</v>
      </c>
      <c r="I95" s="315"/>
    </row>
    <row r="96" spans="1:10" hidden="1">
      <c r="A96" s="135" t="s">
        <v>293</v>
      </c>
      <c r="B96" s="315" t="s">
        <v>258</v>
      </c>
      <c r="C96" s="317">
        <f>7.5*1.03/100</f>
        <v>7.7249999999999999E-2</v>
      </c>
      <c r="D96" s="317">
        <f>3.75*1.03/100</f>
        <v>3.8625E-2</v>
      </c>
      <c r="E96" s="317">
        <f>3.75*1.03/100</f>
        <v>3.8625E-2</v>
      </c>
      <c r="F96" s="317">
        <v>0</v>
      </c>
      <c r="G96" s="317">
        <v>0</v>
      </c>
      <c r="H96" s="317"/>
      <c r="I96" s="315"/>
    </row>
    <row r="97" spans="1:10" hidden="1">
      <c r="A97" s="135" t="s">
        <v>293</v>
      </c>
      <c r="B97" s="315" t="s">
        <v>288</v>
      </c>
      <c r="C97" s="316">
        <f>C95*C96</f>
        <v>6905.2582649796332</v>
      </c>
      <c r="D97" s="316">
        <f>D95*D96</f>
        <v>3926.7804354227505</v>
      </c>
      <c r="E97" s="316">
        <f>E95*E96</f>
        <v>3309.1385813553925</v>
      </c>
      <c r="F97" s="316">
        <f>F95*F96</f>
        <v>0</v>
      </c>
      <c r="G97" s="316">
        <f>G95*G96</f>
        <v>0</v>
      </c>
      <c r="H97" s="316"/>
      <c r="I97" s="315"/>
    </row>
    <row r="98" spans="1:10" hidden="1">
      <c r="A98" s="135" t="s">
        <v>293</v>
      </c>
      <c r="B98" s="315" t="s">
        <v>289</v>
      </c>
      <c r="C98" s="316">
        <f t="shared" ref="C98:G98" si="16">C95+C97</f>
        <v>96293.714769570361</v>
      </c>
      <c r="D98" s="316">
        <f t="shared" si="16"/>
        <v>105590.99882824477</v>
      </c>
      <c r="E98" s="316">
        <f t="shared" si="16"/>
        <v>88982.62936078303</v>
      </c>
      <c r="F98" s="316">
        <f t="shared" si="16"/>
        <v>124182.39991054001</v>
      </c>
      <c r="G98" s="316">
        <f t="shared" si="16"/>
        <v>124182.39991054001</v>
      </c>
      <c r="H98" s="316">
        <f>(E98*E20+F98*F20)/H20</f>
        <v>104889.39493433059</v>
      </c>
      <c r="I98" s="315"/>
    </row>
    <row r="99" spans="1:10">
      <c r="B99" s="279" t="s">
        <v>255</v>
      </c>
      <c r="C99" s="293">
        <f>C98</f>
        <v>96293.714769570361</v>
      </c>
      <c r="D99" s="293">
        <f t="shared" ref="D99:H99" si="17">D98</f>
        <v>105590.99882824477</v>
      </c>
      <c r="E99" s="293">
        <f t="shared" si="17"/>
        <v>88982.62936078303</v>
      </c>
      <c r="F99" s="293">
        <f t="shared" si="17"/>
        <v>124182.39991054001</v>
      </c>
      <c r="G99" s="293">
        <f t="shared" si="17"/>
        <v>124182.39991054001</v>
      </c>
      <c r="H99" s="319">
        <f t="shared" si="17"/>
        <v>104889.39493433059</v>
      </c>
    </row>
    <row r="100" spans="1:10">
      <c r="B100" s="279" t="s">
        <v>247</v>
      </c>
      <c r="C100" s="290">
        <v>100</v>
      </c>
      <c r="D100" s="293">
        <f>ROUND(D99/$C$99*100,0)</f>
        <v>110</v>
      </c>
      <c r="E100" s="293">
        <f>ROUND(E99/$C$99*100,0)</f>
        <v>92</v>
      </c>
      <c r="F100" s="293"/>
      <c r="G100" s="293">
        <f>ROUND(G99/$C$99*100,0)</f>
        <v>129</v>
      </c>
      <c r="H100" s="320"/>
    </row>
    <row r="101" spans="1:10">
      <c r="B101" s="279" t="s">
        <v>256</v>
      </c>
      <c r="C101" s="298">
        <f t="shared" ref="C101:H101" si="18">C99-C91</f>
        <v>-956.72170379302406</v>
      </c>
      <c r="D101" s="298">
        <f t="shared" si="18"/>
        <v>5489.7606840430381</v>
      </c>
      <c r="E101" s="298">
        <f t="shared" si="18"/>
        <v>3911.3280184180476</v>
      </c>
      <c r="F101" s="298">
        <f t="shared" si="18"/>
        <v>6393.3616544345277</v>
      </c>
      <c r="G101" s="298">
        <f t="shared" si="18"/>
        <v>-150658.68935370608</v>
      </c>
      <c r="H101" s="321">
        <f t="shared" si="18"/>
        <v>7480.5573735323123</v>
      </c>
    </row>
    <row r="102" spans="1:10">
      <c r="B102" s="279" t="s">
        <v>247</v>
      </c>
      <c r="C102" s="290">
        <v>100</v>
      </c>
      <c r="D102" s="293">
        <f>ROUND(D101/$C$101*100,0)</f>
        <v>-574</v>
      </c>
      <c r="E102" s="293">
        <f>ROUND(E101/$C$101*100,0)</f>
        <v>-409</v>
      </c>
      <c r="F102" s="293"/>
      <c r="G102" s="293">
        <f>ROUND(G101/$C$101*100,0)</f>
        <v>15747</v>
      </c>
      <c r="H102" s="319"/>
    </row>
    <row r="103" spans="1:10">
      <c r="B103" s="279" t="s">
        <v>257</v>
      </c>
      <c r="C103" s="298">
        <f>C93-C91</f>
        <v>5108.5893645856704</v>
      </c>
      <c r="D103" s="298">
        <f>D93-D91</f>
        <v>21361.928827951386</v>
      </c>
      <c r="E103" s="298">
        <f>E93-E91</f>
        <v>15998.080763567923</v>
      </c>
      <c r="F103" s="298">
        <f>F93-F91</f>
        <v>-17363.321140136293</v>
      </c>
      <c r="H103" s="298">
        <f>H93-H91</f>
        <v>3542.4356603204506</v>
      </c>
    </row>
    <row r="104" spans="1:10">
      <c r="B104" s="279" t="s">
        <v>252</v>
      </c>
      <c r="C104" s="289">
        <f>C103/C93</f>
        <v>4.9908538331279124E-2</v>
      </c>
      <c r="D104" s="289">
        <f>D103/D93</f>
        <v>0.17587166019513439</v>
      </c>
      <c r="E104" s="289">
        <f>E103/E93</f>
        <v>0.15828810298652074</v>
      </c>
      <c r="F104" s="289">
        <f>F103/F93</f>
        <v>-0.17289715860416061</v>
      </c>
      <c r="H104" s="289">
        <f>H103/H93</f>
        <v>3.5090549601700147E-2</v>
      </c>
    </row>
    <row r="106" spans="1:10">
      <c r="C106" s="318"/>
    </row>
    <row r="107" spans="1:10">
      <c r="B107" s="281" t="s">
        <v>321</v>
      </c>
      <c r="C107" s="285" t="s">
        <v>48</v>
      </c>
      <c r="D107" s="285" t="s">
        <v>33</v>
      </c>
      <c r="E107" s="285" t="s">
        <v>39</v>
      </c>
      <c r="F107" s="285" t="s">
        <v>345</v>
      </c>
      <c r="G107" s="285" t="s">
        <v>209</v>
      </c>
      <c r="H107" s="285" t="s">
        <v>210</v>
      </c>
    </row>
    <row r="108" spans="1:10">
      <c r="B108" s="322" t="s">
        <v>246</v>
      </c>
      <c r="C108" s="319">
        <f>C81/C80</f>
        <v>137912.20433704046</v>
      </c>
      <c r="D108" s="319">
        <f t="shared" ref="D108:H108" si="19">D81/D80</f>
        <v>143841.15252478074</v>
      </c>
      <c r="E108" s="319">
        <f t="shared" si="19"/>
        <v>87377.425628214623</v>
      </c>
      <c r="F108" s="319">
        <f t="shared" si="19"/>
        <v>96563.707116470818</v>
      </c>
      <c r="G108" s="319">
        <f t="shared" si="19"/>
        <v>225315.31660509857</v>
      </c>
      <c r="H108" s="319">
        <f t="shared" si="19"/>
        <v>89726.887894818792</v>
      </c>
    </row>
    <row r="109" spans="1:10" hidden="1">
      <c r="B109" s="313" t="s">
        <v>258</v>
      </c>
      <c r="C109" s="325">
        <f>7.5*1.03/100*2</f>
        <v>0.1545</v>
      </c>
      <c r="D109" s="325">
        <f>3.75*1.03/100*2</f>
        <v>7.7249999999999999E-2</v>
      </c>
      <c r="E109" s="325">
        <f>3.75*1.03/100*2</f>
        <v>7.7249999999999999E-2</v>
      </c>
      <c r="F109" s="325">
        <f>3.75*1.03/100*2</f>
        <v>7.7249999999999999E-2</v>
      </c>
      <c r="G109" s="325">
        <f>3.75*1.03/100*2</f>
        <v>7.7249999999999999E-2</v>
      </c>
      <c r="H109" s="325">
        <f>3.75*1.03/100*2</f>
        <v>7.7249999999999999E-2</v>
      </c>
    </row>
    <row r="110" spans="1:10">
      <c r="B110" s="322" t="s">
        <v>295</v>
      </c>
      <c r="C110" s="293">
        <f t="shared" ref="C110:H110" si="20">C108*(1+C109)</f>
        <v>159219.63990711322</v>
      </c>
      <c r="D110" s="293">
        <f t="shared" si="20"/>
        <v>154952.88155732007</v>
      </c>
      <c r="E110" s="293">
        <f t="shared" si="20"/>
        <v>94127.331757994209</v>
      </c>
      <c r="F110" s="293">
        <f t="shared" si="20"/>
        <v>104023.25349121819</v>
      </c>
      <c r="G110" s="293">
        <f t="shared" si="20"/>
        <v>242720.92481284245</v>
      </c>
      <c r="H110" s="293">
        <f t="shared" si="20"/>
        <v>96658.289984693547</v>
      </c>
      <c r="I110" s="286"/>
      <c r="J110" s="286"/>
    </row>
    <row r="111" spans="1:10">
      <c r="B111" s="322" t="s">
        <v>247</v>
      </c>
      <c r="C111" s="320">
        <v>100</v>
      </c>
      <c r="D111" s="293">
        <f>ROUND(D110/$C$110*100,0)</f>
        <v>97</v>
      </c>
      <c r="E111" s="293">
        <f>ROUND(E110/$C$110*100,0)</f>
        <v>59</v>
      </c>
      <c r="F111" s="293">
        <f>ROUND(F110/$C$110*100,0)</f>
        <v>65</v>
      </c>
      <c r="H111" s="293">
        <f>ROUND(H110/$C$110*100,0)</f>
        <v>61</v>
      </c>
    </row>
    <row r="112" spans="1:10">
      <c r="B112" s="322" t="s">
        <v>248</v>
      </c>
      <c r="C112" s="319">
        <f>C93</f>
        <v>102359.02583794906</v>
      </c>
      <c r="D112" s="319">
        <f t="shared" ref="D112:H112" si="21">D93</f>
        <v>121463.16697215312</v>
      </c>
      <c r="E112" s="319">
        <f t="shared" si="21"/>
        <v>101069.38210593291</v>
      </c>
      <c r="F112" s="319">
        <f t="shared" si="21"/>
        <v>100425.71711596919</v>
      </c>
      <c r="G112" s="319">
        <f t="shared" si="21"/>
        <v>100425.71711596919</v>
      </c>
      <c r="H112" s="319">
        <f t="shared" si="21"/>
        <v>100951.27322111872</v>
      </c>
    </row>
    <row r="113" spans="2:9">
      <c r="B113" s="322" t="s">
        <v>247</v>
      </c>
      <c r="C113" s="320">
        <v>100</v>
      </c>
      <c r="D113" s="293">
        <f>ROUND(D112/$C$112*100,0)</f>
        <v>119</v>
      </c>
      <c r="E113" s="293">
        <f>ROUND(E112/$C$112*100,0)</f>
        <v>99</v>
      </c>
      <c r="F113" s="293">
        <f>ROUND(F112/$C$112*100,0)</f>
        <v>98</v>
      </c>
      <c r="H113" s="293">
        <f>ROUND(H112/$C$112*100,0)</f>
        <v>99</v>
      </c>
    </row>
    <row r="114" spans="2:9">
      <c r="B114" s="322" t="s">
        <v>249</v>
      </c>
      <c r="C114" s="319">
        <f t="shared" ref="C114:H114" si="22">C99</f>
        <v>96293.714769570361</v>
      </c>
      <c r="D114" s="319">
        <f t="shared" si="22"/>
        <v>105590.99882824477</v>
      </c>
      <c r="E114" s="319">
        <f t="shared" si="22"/>
        <v>88982.62936078303</v>
      </c>
      <c r="F114" s="319">
        <f t="shared" si="22"/>
        <v>124182.39991054001</v>
      </c>
      <c r="G114" s="319">
        <f t="shared" si="22"/>
        <v>124182.39991054001</v>
      </c>
      <c r="H114" s="319">
        <f t="shared" si="22"/>
        <v>104889.39493433059</v>
      </c>
    </row>
    <row r="115" spans="2:9">
      <c r="B115" s="322" t="s">
        <v>247</v>
      </c>
      <c r="C115" s="320">
        <v>100</v>
      </c>
      <c r="D115" s="293">
        <f>ROUND(D114/$C$114*100,0)</f>
        <v>110</v>
      </c>
      <c r="E115" s="293">
        <f>ROUND(E114/$C$114*100,0)</f>
        <v>92</v>
      </c>
      <c r="F115" s="293">
        <f>ROUND(F114/$C$114*100,0)</f>
        <v>129</v>
      </c>
      <c r="H115" s="293">
        <f>ROUND(H114/$C$114*100,0)</f>
        <v>109</v>
      </c>
    </row>
    <row r="116" spans="2:9">
      <c r="B116" s="322" t="s">
        <v>250</v>
      </c>
      <c r="C116" s="327">
        <f t="shared" ref="C116:H116" si="23">C114-C110</f>
        <v>-62925.925137542858</v>
      </c>
      <c r="D116" s="327">
        <f t="shared" si="23"/>
        <v>-49361.882729075296</v>
      </c>
      <c r="E116" s="327">
        <f t="shared" si="23"/>
        <v>-5144.7023972111783</v>
      </c>
      <c r="F116" s="327">
        <f t="shared" si="23"/>
        <v>20159.146419321827</v>
      </c>
      <c r="G116" s="327">
        <f t="shared" si="23"/>
        <v>-118538.52490230244</v>
      </c>
      <c r="H116" s="327">
        <f t="shared" si="23"/>
        <v>8231.1049496370397</v>
      </c>
    </row>
    <row r="117" spans="2:9">
      <c r="B117" s="322" t="s">
        <v>247</v>
      </c>
      <c r="C117" s="320">
        <v>100</v>
      </c>
      <c r="D117" s="293">
        <f>ROUND(D116/$C$116*100,0)</f>
        <v>78</v>
      </c>
      <c r="E117" s="293">
        <f>ROUND(E116/$C$116*100,0)</f>
        <v>8</v>
      </c>
      <c r="F117" s="293">
        <f>ROUND(F116/$C$116*100,0)</f>
        <v>-32</v>
      </c>
      <c r="H117" s="293">
        <f>ROUND(H116/$C$116*100,0)</f>
        <v>-13</v>
      </c>
    </row>
    <row r="118" spans="2:9">
      <c r="B118" s="322" t="s">
        <v>251</v>
      </c>
      <c r="C118" s="326">
        <f t="shared" ref="C118:H118" si="24">C112-C110</f>
        <v>-56860.614069164163</v>
      </c>
      <c r="D118" s="326">
        <f t="shared" si="24"/>
        <v>-33489.714585166948</v>
      </c>
      <c r="E118" s="326">
        <f t="shared" si="24"/>
        <v>6942.0503479386971</v>
      </c>
      <c r="F118" s="326">
        <f t="shared" si="24"/>
        <v>-3597.5363752489939</v>
      </c>
      <c r="G118" s="326">
        <f t="shared" si="24"/>
        <v>-142295.20769687326</v>
      </c>
      <c r="H118" s="326">
        <f t="shared" si="24"/>
        <v>4292.9832364251779</v>
      </c>
    </row>
    <row r="119" spans="2:9">
      <c r="B119" s="322" t="s">
        <v>252</v>
      </c>
      <c r="C119" s="324">
        <f t="shared" ref="C119:H119" si="25">C118/C112</f>
        <v>-0.55550171178049057</v>
      </c>
      <c r="D119" s="324">
        <f t="shared" si="25"/>
        <v>-0.27571909592020488</v>
      </c>
      <c r="E119" s="324">
        <f t="shared" si="25"/>
        <v>6.8685987816395191E-2</v>
      </c>
      <c r="F119" s="324">
        <f t="shared" si="25"/>
        <v>-3.5822859707286388E-2</v>
      </c>
      <c r="G119" s="324">
        <f t="shared" si="25"/>
        <v>-1.4169200059836684</v>
      </c>
      <c r="H119" s="324">
        <f t="shared" si="25"/>
        <v>4.2525300567750522E-2</v>
      </c>
    </row>
    <row r="122" spans="2:9">
      <c r="B122" s="300" t="s">
        <v>298</v>
      </c>
    </row>
    <row r="123" spans="2:9">
      <c r="B123" s="280" t="s">
        <v>296</v>
      </c>
      <c r="C123" s="285" t="s">
        <v>48</v>
      </c>
      <c r="D123" s="285" t="s">
        <v>33</v>
      </c>
      <c r="E123" s="285" t="s">
        <v>39</v>
      </c>
      <c r="F123" s="285" t="s">
        <v>346</v>
      </c>
    </row>
    <row r="124" spans="2:9">
      <c r="B124" s="279" t="s">
        <v>297</v>
      </c>
      <c r="C124" s="246">
        <v>456</v>
      </c>
      <c r="D124" s="246">
        <v>452</v>
      </c>
      <c r="E124" s="246">
        <v>434</v>
      </c>
      <c r="F124" s="246">
        <v>427</v>
      </c>
    </row>
    <row r="126" spans="2:9">
      <c r="B126" s="329" t="s">
        <v>299</v>
      </c>
      <c r="C126" s="285" t="s">
        <v>48</v>
      </c>
      <c r="D126" s="285" t="s">
        <v>33</v>
      </c>
      <c r="E126" s="285" t="s">
        <v>39</v>
      </c>
      <c r="F126" s="285" t="s">
        <v>346</v>
      </c>
      <c r="G126" s="285" t="s">
        <v>209</v>
      </c>
      <c r="H126" s="285" t="s">
        <v>210</v>
      </c>
      <c r="I126" s="285" t="s">
        <v>211</v>
      </c>
    </row>
    <row r="127" spans="2:9">
      <c r="B127" s="322" t="s">
        <v>219</v>
      </c>
      <c r="C127" s="319">
        <f>C58</f>
        <v>14776.363999999998</v>
      </c>
      <c r="D127" s="319">
        <f t="shared" ref="D127:I127" si="26">D58</f>
        <v>10295.548999999999</v>
      </c>
      <c r="E127" s="319">
        <f t="shared" si="26"/>
        <v>31757.790000000005</v>
      </c>
      <c r="F127" s="319">
        <f t="shared" si="26"/>
        <v>26183.776000000005</v>
      </c>
      <c r="G127" s="319">
        <f t="shared" si="26"/>
        <v>34911.701333333338</v>
      </c>
      <c r="H127" s="319">
        <f t="shared" si="26"/>
        <v>57941.566000000006</v>
      </c>
      <c r="I127" s="319">
        <f t="shared" si="26"/>
        <v>33109.466285714283</v>
      </c>
    </row>
    <row r="128" spans="2:9">
      <c r="B128" s="322" t="s">
        <v>213</v>
      </c>
      <c r="C128" s="319">
        <v>100</v>
      </c>
      <c r="D128" s="293">
        <f>ROUND(D127/$C$127*100,0)</f>
        <v>70</v>
      </c>
      <c r="E128" s="293">
        <f>ROUND(E127/$C$127*100,0)</f>
        <v>215</v>
      </c>
      <c r="F128" s="293"/>
      <c r="G128" s="293">
        <f>ROUND(G127/$C$127*100,0)</f>
        <v>236</v>
      </c>
      <c r="H128" s="293"/>
      <c r="I128" s="293">
        <f>ROUND(I127/$C$127*100,0)</f>
        <v>224</v>
      </c>
    </row>
    <row r="130" spans="1:9">
      <c r="A130" s="136"/>
      <c r="B130" s="333" t="s">
        <v>300</v>
      </c>
      <c r="C130" s="285" t="s">
        <v>48</v>
      </c>
      <c r="D130" s="285" t="s">
        <v>33</v>
      </c>
      <c r="E130" s="285" t="s">
        <v>39</v>
      </c>
      <c r="F130" s="285" t="s">
        <v>346</v>
      </c>
      <c r="G130" s="285" t="s">
        <v>209</v>
      </c>
      <c r="H130" s="285" t="s">
        <v>210</v>
      </c>
      <c r="I130" s="285" t="s">
        <v>211</v>
      </c>
    </row>
    <row r="131" spans="1:9">
      <c r="A131" s="136"/>
      <c r="B131" s="330" t="s">
        <v>290</v>
      </c>
      <c r="C131" s="331" t="s">
        <v>201</v>
      </c>
      <c r="D131" s="332" t="s">
        <v>201</v>
      </c>
      <c r="E131" s="332">
        <v>489</v>
      </c>
      <c r="F131" s="332">
        <v>205</v>
      </c>
      <c r="G131" s="136"/>
    </row>
    <row r="132" spans="1:9">
      <c r="A132" s="136"/>
      <c r="B132" s="136"/>
      <c r="C132" s="136"/>
      <c r="D132" s="136"/>
      <c r="E132" s="136"/>
      <c r="F132" s="136"/>
      <c r="G132" s="136"/>
    </row>
    <row r="133" spans="1:9">
      <c r="B133" s="329" t="s">
        <v>301</v>
      </c>
      <c r="C133" s="285" t="s">
        <v>48</v>
      </c>
      <c r="D133" s="285" t="s">
        <v>33</v>
      </c>
      <c r="E133" s="285" t="s">
        <v>39</v>
      </c>
      <c r="F133" s="285" t="s">
        <v>346</v>
      </c>
      <c r="G133" s="285" t="s">
        <v>209</v>
      </c>
      <c r="H133" s="285" t="s">
        <v>210</v>
      </c>
      <c r="I133" s="285" t="s">
        <v>211</v>
      </c>
    </row>
    <row r="134" spans="1:9">
      <c r="B134" s="323" t="s">
        <v>290</v>
      </c>
      <c r="C134" s="321">
        <f>C53</f>
        <v>93297.448000000019</v>
      </c>
      <c r="D134" s="321">
        <f t="shared" ref="D134:I134" si="27">D53</f>
        <v>57331.141999999993</v>
      </c>
      <c r="E134" s="321">
        <f t="shared" si="27"/>
        <v>56947.661999999997</v>
      </c>
      <c r="F134" s="321">
        <f t="shared" si="27"/>
        <v>42713.993999999999</v>
      </c>
      <c r="G134" s="321">
        <f t="shared" si="27"/>
        <v>73223.989714285708</v>
      </c>
      <c r="H134" s="321">
        <f t="shared" si="27"/>
        <v>99661.655999999988</v>
      </c>
      <c r="I134" s="321">
        <f t="shared" si="27"/>
        <v>62944.203789473671</v>
      </c>
    </row>
    <row r="135" spans="1:9">
      <c r="B135" s="323" t="s">
        <v>213</v>
      </c>
      <c r="C135" s="320">
        <v>100</v>
      </c>
      <c r="D135" s="293">
        <f>ROUND(D134/$C$134*100,0)</f>
        <v>61</v>
      </c>
      <c r="E135" s="293">
        <f>ROUND(E134/$C$134*100,0)</f>
        <v>61</v>
      </c>
      <c r="F135" s="293"/>
      <c r="G135" s="293">
        <f>ROUND(G134/$C$134*100,0)</f>
        <v>78</v>
      </c>
      <c r="H135" s="320"/>
      <c r="I135" s="293">
        <f>ROUND(I134/$C$134*100,0)</f>
        <v>67</v>
      </c>
    </row>
    <row r="137" spans="1:9">
      <c r="B137" s="329" t="s">
        <v>38</v>
      </c>
      <c r="C137" s="334" t="s">
        <v>308</v>
      </c>
      <c r="D137" s="334" t="s">
        <v>309</v>
      </c>
      <c r="E137" s="334" t="s">
        <v>310</v>
      </c>
      <c r="F137" s="334" t="s">
        <v>311</v>
      </c>
      <c r="G137" s="334" t="s">
        <v>214</v>
      </c>
    </row>
    <row r="138" spans="1:9">
      <c r="B138" s="322" t="s">
        <v>302</v>
      </c>
      <c r="C138" s="328">
        <v>8578</v>
      </c>
      <c r="D138" s="328">
        <v>12989</v>
      </c>
      <c r="E138" s="328">
        <v>15891</v>
      </c>
      <c r="F138" s="328">
        <v>19490</v>
      </c>
      <c r="G138" s="328">
        <v>12368</v>
      </c>
    </row>
    <row r="139" spans="1:9">
      <c r="B139" s="322" t="s">
        <v>303</v>
      </c>
      <c r="C139" s="328">
        <f>'VVF - Prodtn &amp; Sales'!B51</f>
        <v>4832.34</v>
      </c>
      <c r="D139" s="328">
        <f>'VVF - Prodtn &amp; Sales'!C51</f>
        <v>6033.6660000000002</v>
      </c>
      <c r="E139" s="328">
        <f>'VVF - Prodtn &amp; Sales'!D51</f>
        <v>6916.1630000000005</v>
      </c>
      <c r="F139" s="328">
        <f>'VVF - Prodtn &amp; Sales'!E51</f>
        <v>6557.5409999999993</v>
      </c>
      <c r="G139" s="328">
        <f>'VVF - Prodtn &amp; Sales'!B52</f>
        <v>4714.6350000000002</v>
      </c>
    </row>
    <row r="140" spans="1:9">
      <c r="B140" s="322" t="s">
        <v>304</v>
      </c>
      <c r="C140" s="328">
        <f>C138-C139</f>
        <v>3745.66</v>
      </c>
      <c r="D140" s="328">
        <f>D138-D139</f>
        <v>6955.3339999999998</v>
      </c>
      <c r="E140" s="328">
        <f>E138-E139</f>
        <v>8974.8369999999995</v>
      </c>
      <c r="F140" s="328">
        <f>F138-F139</f>
        <v>12932.459000000001</v>
      </c>
      <c r="G140" s="328">
        <f>G138-G139</f>
        <v>7653.3649999999998</v>
      </c>
    </row>
    <row r="141" spans="1:9">
      <c r="B141" s="322" t="s">
        <v>213</v>
      </c>
      <c r="C141" s="328">
        <v>100</v>
      </c>
      <c r="D141" s="293">
        <f>ROUND(D140/$C$140*100,0)</f>
        <v>186</v>
      </c>
      <c r="E141" s="293">
        <f>ROUND(E140/$C$140*100,0)</f>
        <v>240</v>
      </c>
      <c r="F141" s="293">
        <f>ROUND(F140/$C$140*100,0)</f>
        <v>345</v>
      </c>
      <c r="G141" s="293">
        <f>ROUND(G140/$C$140*100,0)</f>
        <v>204</v>
      </c>
    </row>
    <row r="143" spans="1:9">
      <c r="B143" s="329" t="s">
        <v>320</v>
      </c>
      <c r="C143" s="285" t="s">
        <v>48</v>
      </c>
      <c r="D143" s="285" t="s">
        <v>33</v>
      </c>
      <c r="E143" s="285" t="s">
        <v>39</v>
      </c>
      <c r="F143" s="285" t="s">
        <v>346</v>
      </c>
    </row>
    <row r="144" spans="1:9">
      <c r="B144" s="322" t="s">
        <v>315</v>
      </c>
      <c r="C144" s="328">
        <f>C114</f>
        <v>96293.714769570361</v>
      </c>
      <c r="D144" s="328">
        <f t="shared" ref="D144:F144" si="28">D114</f>
        <v>105590.99882824477</v>
      </c>
      <c r="E144" s="328">
        <f t="shared" si="28"/>
        <v>88982.62936078303</v>
      </c>
      <c r="F144" s="328">
        <f t="shared" si="28"/>
        <v>124182.39991054001</v>
      </c>
    </row>
    <row r="145" spans="2:6">
      <c r="B145" s="322" t="s">
        <v>316</v>
      </c>
      <c r="C145" s="328">
        <f>C112</f>
        <v>102359.02583794906</v>
      </c>
      <c r="D145" s="328">
        <f t="shared" ref="D145:F145" si="29">D112</f>
        <v>121463.16697215312</v>
      </c>
      <c r="E145" s="328">
        <f t="shared" si="29"/>
        <v>101069.38210593291</v>
      </c>
      <c r="F145" s="328">
        <f t="shared" si="29"/>
        <v>100425.71711596919</v>
      </c>
    </row>
    <row r="146" spans="2:6">
      <c r="B146" s="322" t="s">
        <v>317</v>
      </c>
      <c r="C146" s="328">
        <f>C144-C145</f>
        <v>-6065.3110683786945</v>
      </c>
      <c r="D146" s="328">
        <f>D144-D145</f>
        <v>-15872.168143908348</v>
      </c>
      <c r="E146" s="328">
        <f>E144-E145</f>
        <v>-12086.752745149875</v>
      </c>
      <c r="F146" s="328">
        <f>F144-F145</f>
        <v>23756.682794570821</v>
      </c>
    </row>
    <row r="147" spans="2:6">
      <c r="B147" s="322" t="s">
        <v>318</v>
      </c>
      <c r="C147" s="328">
        <f>C146*C127/10^5</f>
        <v>-896.23244119592471</v>
      </c>
      <c r="D147" s="328">
        <f>D146*D127/10^5</f>
        <v>-1634.1268486184742</v>
      </c>
      <c r="E147" s="328">
        <f>E146*E127/10^5</f>
        <v>-3838.4855546239332</v>
      </c>
      <c r="F147" s="328">
        <f>F146*F127/10^5</f>
        <v>6220.3966079609654</v>
      </c>
    </row>
    <row r="148" spans="2:6">
      <c r="B148" s="322" t="s">
        <v>319</v>
      </c>
      <c r="C148" s="324">
        <f>C146/C144</f>
        <v>-6.2987611215258518E-2</v>
      </c>
      <c r="D148" s="324">
        <f>D146/D144</f>
        <v>-0.15031743538789849</v>
      </c>
      <c r="E148" s="324">
        <f>E146/E144</f>
        <v>-0.13583272186916093</v>
      </c>
      <c r="F148" s="324">
        <f>F146/F144</f>
        <v>0.19130474859307714</v>
      </c>
    </row>
    <row r="151" spans="2:6">
      <c r="B151" s="300" t="s">
        <v>339</v>
      </c>
      <c r="C151" s="285" t="s">
        <v>48</v>
      </c>
      <c r="D151" s="285" t="s">
        <v>33</v>
      </c>
      <c r="E151" s="285" t="s">
        <v>39</v>
      </c>
      <c r="F151" s="285" t="s">
        <v>346</v>
      </c>
    </row>
    <row r="152" spans="2:6">
      <c r="B152" s="135" t="s">
        <v>335</v>
      </c>
      <c r="C152" s="138">
        <v>76461.665000000095</v>
      </c>
      <c r="D152" s="138">
        <v>39989.449999999946</v>
      </c>
      <c r="E152" s="138">
        <v>37272.050000000047</v>
      </c>
      <c r="F152" s="223">
        <v>23900.660000000011</v>
      </c>
    </row>
    <row r="153" spans="2:6">
      <c r="B153" s="135" t="s">
        <v>337</v>
      </c>
      <c r="C153" s="138">
        <f>6728993660.67/10^5</f>
        <v>67289.936606699994</v>
      </c>
      <c r="D153" s="138">
        <f>3652688330.98/10^5</f>
        <v>36526.883309800003</v>
      </c>
      <c r="E153" s="138">
        <f>3075969391.29/10^5</f>
        <v>30759.693912899998</v>
      </c>
      <c r="F153" s="223">
        <v>28511.454936299953</v>
      </c>
    </row>
    <row r="154" spans="2:6">
      <c r="C154" s="138"/>
      <c r="D154" s="138"/>
      <c r="E154" s="138"/>
      <c r="F154" s="223"/>
    </row>
    <row r="155" spans="2:6">
      <c r="B155" s="135" t="s">
        <v>336</v>
      </c>
      <c r="C155" s="138">
        <v>17480.142999999956</v>
      </c>
      <c r="D155" s="138">
        <v>17240.341999999975</v>
      </c>
      <c r="E155" s="138">
        <v>19112.120000000006</v>
      </c>
      <c r="F155" s="223">
        <v>10210.964000000005</v>
      </c>
    </row>
    <row r="156" spans="2:6">
      <c r="B156" s="135" t="s">
        <v>338</v>
      </c>
      <c r="C156" s="138">
        <f>1598637158.76/10^5</f>
        <v>15986.371587600001</v>
      </c>
      <c r="D156" s="138">
        <f>1678040650.2/10^5</f>
        <v>16780.406502000002</v>
      </c>
      <c r="E156" s="138">
        <f>1731124086.94/10^5</f>
        <v>17311.240869400001</v>
      </c>
      <c r="F156" s="223">
        <v>9427.024395800001</v>
      </c>
    </row>
    <row r="157" spans="2:6">
      <c r="C157" s="138"/>
      <c r="D157" s="138"/>
      <c r="E157" s="138"/>
      <c r="F157" s="138"/>
    </row>
    <row r="158" spans="2:6">
      <c r="B158" s="135" t="s">
        <v>329</v>
      </c>
      <c r="C158" s="46">
        <f t="shared" ref="C158:F159" si="30">C152+C155</f>
        <v>93941.808000000048</v>
      </c>
      <c r="D158" s="46">
        <f t="shared" si="30"/>
        <v>57229.791999999921</v>
      </c>
      <c r="E158" s="46">
        <f t="shared" si="30"/>
        <v>56384.170000000056</v>
      </c>
      <c r="F158" s="46">
        <f t="shared" si="30"/>
        <v>34111.624000000018</v>
      </c>
    </row>
    <row r="159" spans="2:6">
      <c r="B159" s="135" t="s">
        <v>333</v>
      </c>
      <c r="C159" s="46">
        <f t="shared" si="30"/>
        <v>83276.3081943</v>
      </c>
      <c r="D159" s="46">
        <f t="shared" si="30"/>
        <v>53307.289811800001</v>
      </c>
      <c r="E159" s="46">
        <f t="shared" si="30"/>
        <v>48070.934782299999</v>
      </c>
      <c r="F159" s="46">
        <f t="shared" si="30"/>
        <v>37938.479332099952</v>
      </c>
    </row>
    <row r="161" spans="2:6">
      <c r="B161" s="341" t="s">
        <v>339</v>
      </c>
      <c r="C161" s="285" t="s">
        <v>48</v>
      </c>
      <c r="D161" s="285" t="s">
        <v>33</v>
      </c>
      <c r="E161" s="285" t="s">
        <v>39</v>
      </c>
      <c r="F161" s="285" t="s">
        <v>346</v>
      </c>
    </row>
    <row r="162" spans="2:6">
      <c r="B162" s="341" t="s">
        <v>334</v>
      </c>
    </row>
    <row r="163" spans="2:6">
      <c r="B163" s="295" t="s">
        <v>21</v>
      </c>
      <c r="C163" s="339">
        <f>C152</f>
        <v>76461.665000000095</v>
      </c>
      <c r="D163" s="339">
        <f t="shared" ref="D163:F163" si="31">D152</f>
        <v>39989.449999999946</v>
      </c>
      <c r="E163" s="339">
        <f t="shared" si="31"/>
        <v>37272.050000000047</v>
      </c>
      <c r="F163" s="339">
        <f t="shared" si="31"/>
        <v>23900.660000000011</v>
      </c>
    </row>
    <row r="164" spans="2:6">
      <c r="B164" s="295" t="s">
        <v>136</v>
      </c>
      <c r="C164" s="138">
        <f>C153*10^5/C152</f>
        <v>88004.801630594768</v>
      </c>
      <c r="D164" s="138">
        <f>D153*10^5/D152</f>
        <v>91341.299542254405</v>
      </c>
      <c r="E164" s="138">
        <f>E153*10^5/E152</f>
        <v>82527.507644199766</v>
      </c>
      <c r="F164" s="138">
        <f>F153*10^5/F152</f>
        <v>119291.49628629477</v>
      </c>
    </row>
    <row r="165" spans="2:6">
      <c r="B165" s="342" t="s">
        <v>340</v>
      </c>
    </row>
    <row r="166" spans="2:6">
      <c r="B166" s="295" t="s">
        <v>21</v>
      </c>
      <c r="C166" s="339">
        <f>C155</f>
        <v>17480.142999999956</v>
      </c>
      <c r="D166" s="339">
        <f t="shared" ref="D166:F166" si="32">D155</f>
        <v>17240.341999999975</v>
      </c>
      <c r="E166" s="339">
        <f t="shared" si="32"/>
        <v>19112.120000000006</v>
      </c>
      <c r="F166" s="339">
        <f t="shared" si="32"/>
        <v>10210.964000000005</v>
      </c>
    </row>
    <row r="167" spans="2:6">
      <c r="B167" s="295" t="s">
        <v>136</v>
      </c>
      <c r="C167" s="138">
        <f>C156*10^5/C155</f>
        <v>91454.46686334339</v>
      </c>
      <c r="D167" s="138">
        <f>D156*10^5/D155</f>
        <v>97332.21360689959</v>
      </c>
      <c r="E167" s="138">
        <f>E156*10^5/E155</f>
        <v>90577.292678153943</v>
      </c>
      <c r="F167" s="138">
        <f>F156*10^5/F155</f>
        <v>92322.57009034598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showGridLines="0" workbookViewId="0">
      <selection activeCell="F5" sqref="F5"/>
    </sheetView>
  </sheetViews>
  <sheetFormatPr defaultRowHeight="12"/>
  <cols>
    <col min="1" max="1" width="9.140625" style="235"/>
    <col min="2" max="2" width="18.28515625" style="235" bestFit="1" customWidth="1"/>
    <col min="3" max="3" width="10.5703125" style="235" bestFit="1" customWidth="1"/>
    <col min="4" max="4" width="10.85546875" style="235" bestFit="1" customWidth="1"/>
    <col min="5" max="5" width="10.5703125" style="235" bestFit="1" customWidth="1"/>
    <col min="6" max="6" width="13.85546875" style="235" bestFit="1" customWidth="1"/>
    <col min="7" max="7" width="10.28515625" style="235" bestFit="1" customWidth="1"/>
    <col min="8" max="16384" width="9.140625" style="235"/>
  </cols>
  <sheetData>
    <row r="2" spans="2:7">
      <c r="B2" s="239"/>
      <c r="C2" s="410" t="s">
        <v>186</v>
      </c>
      <c r="D2" s="410"/>
      <c r="E2" s="410"/>
      <c r="F2" s="410"/>
    </row>
    <row r="3" spans="2:7">
      <c r="B3" s="240" t="s">
        <v>32</v>
      </c>
      <c r="C3" s="241" t="s">
        <v>48</v>
      </c>
      <c r="D3" s="241" t="s">
        <v>33</v>
      </c>
      <c r="E3" s="241" t="s">
        <v>39</v>
      </c>
      <c r="F3" s="241" t="s">
        <v>343</v>
      </c>
    </row>
    <row r="5" spans="2:7">
      <c r="B5" s="236" t="s">
        <v>187</v>
      </c>
      <c r="C5" s="138">
        <v>93297.448000000019</v>
      </c>
      <c r="D5" s="138">
        <v>57331.141999999993</v>
      </c>
      <c r="E5" s="138">
        <v>56947.661999999997</v>
      </c>
      <c r="F5" s="138">
        <f>2657.212+4902.217+4808.711+6204.581+5518.304+5049.783+4689.525+4306.381+4577.28</f>
        <v>42713.993999999999</v>
      </c>
    </row>
    <row r="6" spans="2:7">
      <c r="C6" s="237"/>
      <c r="D6" s="237"/>
      <c r="E6" s="237"/>
      <c r="F6" s="237"/>
    </row>
    <row r="7" spans="2:7">
      <c r="B7" s="236" t="s">
        <v>196</v>
      </c>
      <c r="C7" s="138">
        <f>+SUM(C8:C10)</f>
        <v>93941.80799999999</v>
      </c>
      <c r="D7" s="138">
        <f t="shared" ref="D7:F7" si="0">+SUM(D8:D10)</f>
        <v>57229.791999999987</v>
      </c>
      <c r="E7" s="138">
        <f t="shared" si="0"/>
        <v>56384.17</v>
      </c>
      <c r="F7" s="138">
        <f t="shared" si="0"/>
        <v>42930.261000000006</v>
      </c>
      <c r="G7" s="348"/>
    </row>
    <row r="8" spans="2:7">
      <c r="B8" s="238" t="s">
        <v>188</v>
      </c>
      <c r="C8" s="138">
        <f>' VVF Sales - PUC &amp; Non PUC'!$FN$14</f>
        <v>14776.363999999998</v>
      </c>
      <c r="D8" s="138">
        <f>' VVF Sales - PUC &amp; Non PUC'!$FN$29</f>
        <v>10295.548999999999</v>
      </c>
      <c r="E8" s="138">
        <f>' VVF Sales - PUC &amp; Non PUC'!$FN$44</f>
        <v>31757.790000000005</v>
      </c>
      <c r="F8" s="138">
        <f>' VVF Sales - PUC &amp; Non PUC'!$FN$59</f>
        <v>26183.776000000005</v>
      </c>
    </row>
    <row r="9" spans="2:7">
      <c r="B9" s="238" t="s">
        <v>26</v>
      </c>
      <c r="C9" s="138">
        <f>' VVF Sales - PUC &amp; Non PUC'!$FP$14</f>
        <v>9171.4560000000001</v>
      </c>
      <c r="D9" s="138">
        <f>' VVF Sales - PUC &amp; Non PUC'!$FP$29</f>
        <v>2668.2509999999993</v>
      </c>
      <c r="E9" s="138">
        <f>' VVF Sales - PUC &amp; Non PUC'!$FP$44</f>
        <v>286.66999999999996</v>
      </c>
      <c r="F9" s="138">
        <f>' VVF Sales - PUC &amp; Non PUC'!$FP$59</f>
        <v>46.7</v>
      </c>
    </row>
    <row r="10" spans="2:7">
      <c r="B10" s="238" t="s">
        <v>189</v>
      </c>
      <c r="C10" s="138">
        <f>' VVF Sales - PUC &amp; Non PUC'!$FR$14</f>
        <v>69993.987999999998</v>
      </c>
      <c r="D10" s="138">
        <f>' VVF Sales - PUC &amp; Non PUC'!$FR$29</f>
        <v>44265.991999999991</v>
      </c>
      <c r="E10" s="138">
        <f>' VVF Sales - PUC &amp; Non PUC'!$FR$44</f>
        <v>24339.71</v>
      </c>
      <c r="F10" s="138">
        <f>' VVF Sales - PUC &amp; Non PUC'!$FR$59</f>
        <v>16699.785</v>
      </c>
    </row>
    <row r="11" spans="2:7">
      <c r="C11" s="138"/>
      <c r="D11" s="138"/>
      <c r="E11" s="138"/>
      <c r="F11" s="138"/>
    </row>
    <row r="12" spans="2:7">
      <c r="B12" s="236" t="s">
        <v>195</v>
      </c>
      <c r="C12" s="138">
        <f>+SUM(C13:C15)</f>
        <v>83276.3081943</v>
      </c>
      <c r="D12" s="138">
        <f t="shared" ref="D12:F12" si="1">+SUM(D13:D15)</f>
        <v>53307.289811800001</v>
      </c>
      <c r="E12" s="138">
        <f t="shared" si="1"/>
        <v>48070.934782299999</v>
      </c>
      <c r="F12" s="138">
        <f t="shared" si="1"/>
        <v>48914.432691400012</v>
      </c>
    </row>
    <row r="13" spans="2:7">
      <c r="B13" s="238" t="s">
        <v>188</v>
      </c>
      <c r="C13" s="138">
        <f>' VVF Sales - PUC &amp; Non PUC'!$FO$14</f>
        <v>13208.363707099999</v>
      </c>
      <c r="D13" s="138">
        <f>' VVF Sales - PUC &amp; Non PUC'!$FO$29</f>
        <v>10466.889420100002</v>
      </c>
      <c r="E13" s="138">
        <f>' VVF Sales - PUC &amp; Non PUC'!$FO$44</f>
        <v>27208.0072874</v>
      </c>
      <c r="F13" s="138">
        <f>' VVF Sales - PUC &amp; Non PUC'!$FO$59</f>
        <v>32515.641424000005</v>
      </c>
    </row>
    <row r="14" spans="2:7">
      <c r="B14" s="238" t="s">
        <v>26</v>
      </c>
      <c r="C14" s="138">
        <f>' VVF Sales - PUC &amp; Non PUC'!$FQ$14</f>
        <v>8250.1110849999986</v>
      </c>
      <c r="D14" s="138">
        <f>' VVF Sales - PUC &amp; Non PUC'!$FQ$29</f>
        <v>2764.8971950000005</v>
      </c>
      <c r="E14" s="138">
        <f>' VVF Sales - PUC &amp; Non PUC'!$FQ$44</f>
        <v>260.33865040000001</v>
      </c>
      <c r="F14" s="138">
        <f>' VVF Sales - PUC &amp; Non PUC'!$FQ$59</f>
        <v>45.532499999999999</v>
      </c>
    </row>
    <row r="15" spans="2:7">
      <c r="B15" s="238" t="s">
        <v>189</v>
      </c>
      <c r="C15" s="138">
        <f>' VVF Sales - PUC &amp; Non PUC'!$FS$14</f>
        <v>61817.833402200005</v>
      </c>
      <c r="D15" s="138">
        <f>' VVF Sales - PUC &amp; Non PUC'!$FS$29</f>
        <v>40075.503196700003</v>
      </c>
      <c r="E15" s="138">
        <f>' VVF Sales - PUC &amp; Non PUC'!$FS$44</f>
        <v>20602.588844500002</v>
      </c>
      <c r="F15" s="138">
        <f>' VVF Sales - PUC &amp; Non PUC'!$FS$59</f>
        <v>16353.258767400002</v>
      </c>
    </row>
    <row r="18" spans="2:8">
      <c r="B18" s="236" t="s">
        <v>194</v>
      </c>
      <c r="C18" s="243">
        <f t="shared" ref="C18:F18" si="2">IF(C7&lt;=0,0,C12*10^5/C7)</f>
        <v>88646.695190601415</v>
      </c>
      <c r="D18" s="243">
        <f t="shared" si="2"/>
        <v>93146.048498306642</v>
      </c>
      <c r="E18" s="243">
        <f t="shared" si="2"/>
        <v>85256.083014612072</v>
      </c>
      <c r="F18" s="46">
        <f t="shared" si="2"/>
        <v>113939.28560415695</v>
      </c>
    </row>
    <row r="19" spans="2:8">
      <c r="B19" s="238" t="s">
        <v>188</v>
      </c>
      <c r="C19" s="237">
        <f>IF(C8&lt;=0,0,C13*10^5/C8)</f>
        <v>89388.456504590722</v>
      </c>
      <c r="D19" s="237">
        <f t="shared" ref="D19:F19" si="3">IF(D8&lt;=0,0,D13*10^5/D8)</f>
        <v>101664.21839282202</v>
      </c>
      <c r="E19" s="237">
        <f t="shared" si="3"/>
        <v>85673.490779427637</v>
      </c>
      <c r="F19" s="237">
        <f t="shared" si="3"/>
        <v>124182.39991054001</v>
      </c>
    </row>
    <row r="20" spans="2:8">
      <c r="B20" s="238" t="s">
        <v>26</v>
      </c>
      <c r="C20" s="237">
        <f t="shared" ref="C20:F20" si="4">IF(C9&lt;=0,0,C14*10^5/C9)</f>
        <v>89954.213213256415</v>
      </c>
      <c r="D20" s="237">
        <f t="shared" si="4"/>
        <v>103622.08034401566</v>
      </c>
      <c r="E20" s="237">
        <f t="shared" si="4"/>
        <v>90814.752293577985</v>
      </c>
      <c r="F20" s="237">
        <f t="shared" si="4"/>
        <v>97500</v>
      </c>
    </row>
    <row r="21" spans="2:8">
      <c r="B21" s="238" t="s">
        <v>189</v>
      </c>
      <c r="C21" s="237">
        <f t="shared" ref="C21:F21" si="5">IF(C10&lt;=0,0,C15*10^5/C10)</f>
        <v>88318.775895724073</v>
      </c>
      <c r="D21" s="237">
        <f t="shared" si="5"/>
        <v>90533.390049634516</v>
      </c>
      <c r="E21" s="237">
        <f t="shared" si="5"/>
        <v>84645.991445666383</v>
      </c>
      <c r="F21" s="237">
        <f t="shared" si="5"/>
        <v>97924.96590465089</v>
      </c>
    </row>
    <row r="23" spans="2:8">
      <c r="B23" s="236" t="s">
        <v>190</v>
      </c>
      <c r="C23" s="237"/>
      <c r="D23" s="237"/>
      <c r="E23" s="237"/>
      <c r="F23" s="138"/>
    </row>
    <row r="24" spans="2:8">
      <c r="B24" s="242" t="s">
        <v>191</v>
      </c>
      <c r="C24" s="138">
        <v>644.36000000000035</v>
      </c>
      <c r="D24" s="138">
        <v>-5.1159076974727213E-13</v>
      </c>
      <c r="E24" s="138">
        <v>-1.9895196601282805E-13</v>
      </c>
      <c r="F24" s="223">
        <v>488.51699999999738</v>
      </c>
      <c r="G24" s="348"/>
      <c r="H24" s="348"/>
    </row>
    <row r="25" spans="2:8">
      <c r="B25" s="242" t="s">
        <v>192</v>
      </c>
      <c r="C25" s="138">
        <v>-5.1159076974727213E-13</v>
      </c>
      <c r="D25" s="138">
        <v>-1.9895196601282805E-13</v>
      </c>
      <c r="E25" s="138">
        <v>488.51699999999738</v>
      </c>
      <c r="F25" s="223">
        <f>F24+F5-F7</f>
        <v>272.24999999999272</v>
      </c>
    </row>
    <row r="26" spans="2:8">
      <c r="B26" s="238"/>
      <c r="C26" s="138"/>
      <c r="D26" s="138"/>
      <c r="E26" s="138"/>
      <c r="F26" s="138"/>
    </row>
    <row r="27" spans="2:8">
      <c r="B27" s="236" t="s">
        <v>193</v>
      </c>
      <c r="C27" s="138">
        <v>456</v>
      </c>
      <c r="D27" s="138">
        <v>452</v>
      </c>
      <c r="E27" s="138">
        <v>434</v>
      </c>
      <c r="F27" s="347"/>
    </row>
    <row r="28" spans="2:8">
      <c r="C28" s="237"/>
      <c r="D28" s="237"/>
      <c r="E28" s="237"/>
      <c r="F28" s="138"/>
    </row>
    <row r="31" spans="2:8">
      <c r="C31" s="348"/>
      <c r="D31" s="348"/>
      <c r="E31" s="348"/>
      <c r="F31" s="348"/>
    </row>
  </sheetData>
  <mergeCells count="1">
    <mergeCell ref="C2:F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2"/>
  <sheetViews>
    <sheetView showGridLines="0" topLeftCell="A13" workbookViewId="0">
      <selection activeCell="I51" sqref="I51"/>
    </sheetView>
  </sheetViews>
  <sheetFormatPr defaultRowHeight="12"/>
  <cols>
    <col min="1" max="1" width="30.42578125" style="35" bestFit="1" customWidth="1"/>
    <col min="2" max="9" width="8.140625" style="35" bestFit="1" customWidth="1"/>
    <col min="10" max="10" width="7" style="35" bestFit="1" customWidth="1"/>
    <col min="11" max="13" width="6.140625" style="35" bestFit="1" customWidth="1"/>
    <col min="14" max="14" width="10.140625" style="35" bestFit="1" customWidth="1"/>
    <col min="15" max="15" width="11.5703125" style="35" bestFit="1" customWidth="1"/>
    <col min="16" max="16" width="9.28515625" style="35" bestFit="1" customWidth="1"/>
    <col min="17" max="17" width="87.7109375" style="152" customWidth="1"/>
    <col min="18" max="16384" width="9.140625" style="35"/>
  </cols>
  <sheetData>
    <row r="3" spans="1:17">
      <c r="A3" s="47" t="s">
        <v>184</v>
      </c>
      <c r="C3" s="36"/>
      <c r="D3" s="145"/>
    </row>
    <row r="4" spans="1:17">
      <c r="A4" s="166" t="s">
        <v>107</v>
      </c>
      <c r="B4" s="167" t="s">
        <v>122</v>
      </c>
      <c r="C4" s="167" t="s">
        <v>53</v>
      </c>
      <c r="D4" s="167" t="s">
        <v>123</v>
      </c>
      <c r="E4" s="167" t="s">
        <v>124</v>
      </c>
      <c r="F4" s="167" t="s">
        <v>125</v>
      </c>
      <c r="G4" s="167" t="s">
        <v>126</v>
      </c>
      <c r="H4" s="167" t="s">
        <v>127</v>
      </c>
      <c r="I4" s="167" t="s">
        <v>128</v>
      </c>
      <c r="J4" s="167" t="s">
        <v>129</v>
      </c>
      <c r="K4" s="167" t="s">
        <v>130</v>
      </c>
      <c r="L4" s="167" t="s">
        <v>131</v>
      </c>
      <c r="M4" s="167" t="s">
        <v>132</v>
      </c>
      <c r="N4" s="167" t="s">
        <v>177</v>
      </c>
      <c r="O4" s="168" t="s">
        <v>178</v>
      </c>
      <c r="P4" s="168" t="s">
        <v>50</v>
      </c>
      <c r="Q4" s="169" t="s">
        <v>179</v>
      </c>
    </row>
    <row r="5" spans="1:17">
      <c r="A5" s="170" t="s">
        <v>48</v>
      </c>
      <c r="B5" s="147">
        <v>8500.9490000000005</v>
      </c>
      <c r="C5" s="148">
        <v>9007.8000000000011</v>
      </c>
      <c r="D5" s="148">
        <v>8958.4889999999996</v>
      </c>
      <c r="E5" s="147">
        <v>8502.0949999999993</v>
      </c>
      <c r="F5" s="147">
        <v>7884.4510000000009</v>
      </c>
      <c r="G5" s="147">
        <v>7976.2500000000027</v>
      </c>
      <c r="H5" s="147">
        <v>7409.3220000000038</v>
      </c>
      <c r="I5" s="147">
        <v>7887.0340000000006</v>
      </c>
      <c r="J5" s="147">
        <v>10927.718000000001</v>
      </c>
      <c r="K5" s="147">
        <v>7861.9379999999992</v>
      </c>
      <c r="L5" s="147">
        <v>5437.4579999999996</v>
      </c>
      <c r="M5" s="147">
        <v>7553.7420000000066</v>
      </c>
      <c r="N5" s="147">
        <f>SUM(B5:M5)</f>
        <v>97907.246000000014</v>
      </c>
      <c r="O5" s="147">
        <v>98551.606</v>
      </c>
      <c r="P5" s="147">
        <f>N5-O5</f>
        <v>-644.35999999998603</v>
      </c>
      <c r="Q5" s="172" t="s">
        <v>180</v>
      </c>
    </row>
    <row r="6" spans="1:17">
      <c r="A6" s="170" t="s">
        <v>33</v>
      </c>
      <c r="B6" s="147">
        <v>4498.3050000000012</v>
      </c>
      <c r="C6" s="148">
        <v>6867.2620000000006</v>
      </c>
      <c r="D6" s="148">
        <v>5739.5950000000003</v>
      </c>
      <c r="E6" s="147">
        <v>5329.9450000000006</v>
      </c>
      <c r="F6" s="147">
        <v>3459.3849999999998</v>
      </c>
      <c r="G6" s="147">
        <v>5553.8050000000003</v>
      </c>
      <c r="H6" s="147">
        <v>5226.3600000000006</v>
      </c>
      <c r="I6" s="147">
        <v>6232.7799999999979</v>
      </c>
      <c r="J6" s="147">
        <v>4980.7400000000007</v>
      </c>
      <c r="K6" s="147">
        <v>5753.21</v>
      </c>
      <c r="L6" s="147">
        <v>4851.43</v>
      </c>
      <c r="M6" s="147">
        <v>4946.26</v>
      </c>
      <c r="N6" s="147">
        <f t="shared" ref="N6:N8" si="0">SUM(B6:M6)</f>
        <v>63439.077000000005</v>
      </c>
      <c r="O6" s="147">
        <v>63361.377000000008</v>
      </c>
      <c r="P6" s="147">
        <f t="shared" ref="P6:P8" si="1">N6-O6</f>
        <v>77.69999999999709</v>
      </c>
      <c r="Q6" s="172" t="s">
        <v>181</v>
      </c>
    </row>
    <row r="7" spans="1:17">
      <c r="A7" s="170" t="s">
        <v>39</v>
      </c>
      <c r="B7" s="147">
        <v>3648.2549999999992</v>
      </c>
      <c r="C7" s="148">
        <v>2933.8740000000012</v>
      </c>
      <c r="D7" s="148">
        <v>2898.2399999999993</v>
      </c>
      <c r="E7" s="147">
        <v>4062.3</v>
      </c>
      <c r="F7" s="147">
        <v>4223.7510000000002</v>
      </c>
      <c r="G7" s="147">
        <v>5796.9150000000009</v>
      </c>
      <c r="H7" s="147">
        <v>6719.1879999999983</v>
      </c>
      <c r="I7" s="147">
        <v>3608.5760000000009</v>
      </c>
      <c r="J7" s="147">
        <v>6566.8619999999983</v>
      </c>
      <c r="K7" s="147">
        <v>7287.4609999999993</v>
      </c>
      <c r="L7" s="147">
        <v>6141.4080000000004</v>
      </c>
      <c r="M7" s="147">
        <v>7346.63</v>
      </c>
      <c r="N7" s="147">
        <f t="shared" si="0"/>
        <v>61233.460000000006</v>
      </c>
      <c r="O7" s="147">
        <v>60695.967000000011</v>
      </c>
      <c r="P7" s="147">
        <f t="shared" si="1"/>
        <v>537.49299999999494</v>
      </c>
      <c r="Q7" s="172" t="s">
        <v>182</v>
      </c>
    </row>
    <row r="8" spans="1:17">
      <c r="A8" s="155" t="s">
        <v>49</v>
      </c>
      <c r="B8" s="147">
        <v>3009.5619999999999</v>
      </c>
      <c r="C8" s="148">
        <v>5445.3519999999999</v>
      </c>
      <c r="D8" s="148">
        <v>5323.2859999999991</v>
      </c>
      <c r="E8" s="147">
        <v>6646.7210000000005</v>
      </c>
      <c r="F8" s="147">
        <v>5896.183</v>
      </c>
      <c r="G8" s="147">
        <v>5347.8029999999999</v>
      </c>
      <c r="H8" s="147">
        <v>5130.4739999999993</v>
      </c>
      <c r="I8" s="147"/>
      <c r="J8" s="147"/>
      <c r="K8" s="147"/>
      <c r="L8" s="147"/>
      <c r="M8" s="147"/>
      <c r="N8" s="147">
        <f t="shared" si="0"/>
        <v>36799.381000000001</v>
      </c>
      <c r="O8" s="147">
        <f>N8-207.225999999996</f>
        <v>36592.155000000006</v>
      </c>
      <c r="P8" s="147">
        <f t="shared" si="1"/>
        <v>207.22599999999511</v>
      </c>
      <c r="Q8" s="172" t="s">
        <v>183</v>
      </c>
    </row>
    <row r="9" spans="1:17">
      <c r="B9" s="44"/>
      <c r="C9" s="346"/>
      <c r="D9" s="346"/>
      <c r="E9" s="44"/>
      <c r="F9" s="44"/>
      <c r="G9" s="44"/>
      <c r="H9" s="44"/>
      <c r="I9" s="44"/>
      <c r="J9" s="44"/>
      <c r="K9" s="44"/>
      <c r="L9" s="44"/>
      <c r="M9" s="44"/>
    </row>
    <row r="10" spans="1:17">
      <c r="B10" s="45"/>
      <c r="C10" s="45"/>
      <c r="D10" s="45"/>
      <c r="E10" s="45"/>
      <c r="F10" s="45"/>
      <c r="G10" s="45"/>
      <c r="H10" s="45"/>
      <c r="I10" s="45"/>
    </row>
    <row r="11" spans="1:17">
      <c r="A11" s="47" t="s">
        <v>305</v>
      </c>
      <c r="C11" s="36"/>
      <c r="D11" s="145"/>
    </row>
    <row r="12" spans="1:17">
      <c r="A12" s="166" t="s">
        <v>107</v>
      </c>
      <c r="B12" s="167" t="s">
        <v>122</v>
      </c>
      <c r="C12" s="167" t="s">
        <v>53</v>
      </c>
      <c r="D12" s="167" t="s">
        <v>123</v>
      </c>
      <c r="E12" s="167" t="s">
        <v>124</v>
      </c>
      <c r="F12" s="167" t="s">
        <v>125</v>
      </c>
      <c r="G12" s="167" t="s">
        <v>126</v>
      </c>
      <c r="H12" s="167" t="s">
        <v>127</v>
      </c>
      <c r="I12" s="167" t="s">
        <v>128</v>
      </c>
      <c r="J12" s="167" t="s">
        <v>129</v>
      </c>
      <c r="K12" s="167" t="s">
        <v>130</v>
      </c>
      <c r="L12" s="167" t="s">
        <v>131</v>
      </c>
      <c r="M12" s="167" t="s">
        <v>132</v>
      </c>
      <c r="N12" s="167" t="s">
        <v>20</v>
      </c>
      <c r="O12" s="168" t="s">
        <v>178</v>
      </c>
      <c r="P12" s="168" t="s">
        <v>50</v>
      </c>
    </row>
    <row r="13" spans="1:17">
      <c r="A13" s="170" t="s">
        <v>48</v>
      </c>
      <c r="B13" s="147">
        <f>' VVF Sales - PUC &amp; Non PUC'!$N$13</f>
        <v>9061.9590000000007</v>
      </c>
      <c r="C13" s="147">
        <f>' VVF Sales - PUC &amp; Non PUC'!$AB$13</f>
        <v>8309.2300000000014</v>
      </c>
      <c r="D13" s="147">
        <f>' VVF Sales - PUC &amp; Non PUC'!$AP$13</f>
        <v>9254.2189999999991</v>
      </c>
      <c r="E13" s="147">
        <f>' VVF Sales - PUC &amp; Non PUC'!$BD$13</f>
        <v>8988.2849999999999</v>
      </c>
      <c r="F13" s="147">
        <f>' VVF Sales - PUC &amp; Non PUC'!$BR$13</f>
        <v>7884.4509999999991</v>
      </c>
      <c r="G13" s="147">
        <f>' VVF Sales - PUC &amp; Non PUC'!$CF$13</f>
        <v>7976.2499999999982</v>
      </c>
      <c r="H13" s="147">
        <f>' VVF Sales - PUC &amp; Non PUC'!$CT$13</f>
        <v>7409.3220000000001</v>
      </c>
      <c r="I13" s="147">
        <f>' VVF Sales - PUC &amp; Non PUC'!$DH$13</f>
        <v>7887.0339999999978</v>
      </c>
      <c r="J13" s="147">
        <f>' VVF Sales - PUC &amp; Non PUC'!$DV$13</f>
        <v>10927.718000000001</v>
      </c>
      <c r="K13" s="147">
        <f>' VVF Sales - PUC &amp; Non PUC'!$EJ$13</f>
        <v>7861.9379999999992</v>
      </c>
      <c r="L13" s="147">
        <f>' VVF Sales - PUC &amp; Non PUC'!$EX$13</f>
        <v>5437.4579999999996</v>
      </c>
      <c r="M13" s="147">
        <f>' VVF Sales - PUC &amp; Non PUC'!$FL$13</f>
        <v>7553.7419999999993</v>
      </c>
      <c r="N13" s="147">
        <f>SUM(B13:M13)</f>
        <v>98551.605999999985</v>
      </c>
      <c r="O13" s="147">
        <v>98551.606</v>
      </c>
      <c r="P13" s="147">
        <f>N13-O13</f>
        <v>0</v>
      </c>
    </row>
    <row r="14" spans="1:17">
      <c r="A14" s="170" t="s">
        <v>33</v>
      </c>
      <c r="B14" s="147">
        <f>' VVF Sales - PUC &amp; Non PUC'!$N$28</f>
        <v>4498.3050000000003</v>
      </c>
      <c r="C14" s="147">
        <f>' VVF Sales - PUC &amp; Non PUC'!$AB$28</f>
        <v>4858.8520000000017</v>
      </c>
      <c r="D14" s="147">
        <f>' VVF Sales - PUC &amp; Non PUC'!$AP$28</f>
        <v>7748.005000000001</v>
      </c>
      <c r="E14" s="147">
        <f>' VVF Sales - PUC &amp; Non PUC'!$BD$28</f>
        <v>3821.8950000000004</v>
      </c>
      <c r="F14" s="147">
        <f>' VVF Sales - PUC &amp; Non PUC'!$BR$28</f>
        <v>4967.4350000000004</v>
      </c>
      <c r="G14" s="147">
        <f>' VVF Sales - PUC &amp; Non PUC'!$CF$28</f>
        <v>4646.3049999999994</v>
      </c>
      <c r="H14" s="147">
        <f>' VVF Sales - PUC &amp; Non PUC'!$CT$28</f>
        <v>5226.3599999999988</v>
      </c>
      <c r="I14" s="147">
        <f>' VVF Sales - PUC &amp; Non PUC'!$DH$28</f>
        <v>5340.9199999999992</v>
      </c>
      <c r="J14" s="147">
        <f>' VVF Sales - PUC &amp; Non PUC'!$DV$28</f>
        <v>6702.3999999999987</v>
      </c>
      <c r="K14" s="147">
        <f>' VVF Sales - PUC &amp; Non PUC'!$EJ$28</f>
        <v>5753.2100000000009</v>
      </c>
      <c r="L14" s="147">
        <f>' VVF Sales - PUC &amp; Non PUC'!$EX$28</f>
        <v>4851.4299999999994</v>
      </c>
      <c r="M14" s="147">
        <f>' VVF Sales - PUC &amp; Non PUC'!$FL$28</f>
        <v>4946.26</v>
      </c>
      <c r="N14" s="147">
        <f t="shared" ref="N14" si="2">SUM(B14:M14)</f>
        <v>63361.377000000008</v>
      </c>
      <c r="O14" s="147">
        <v>63361.377000000008</v>
      </c>
      <c r="P14" s="147">
        <f t="shared" ref="P14:P16" si="3">N14-O14</f>
        <v>0</v>
      </c>
    </row>
    <row r="15" spans="1:17">
      <c r="A15" s="170" t="s">
        <v>39</v>
      </c>
      <c r="B15" s="147">
        <f>' VVF Sales - PUC &amp; Non PUC'!$N$43</f>
        <v>3648.2549999999997</v>
      </c>
      <c r="C15" s="147">
        <f>' VVF Sales - PUC &amp; Non PUC'!$AB$43</f>
        <v>2933.8739999999998</v>
      </c>
      <c r="D15" s="147">
        <f>' VVF Sales - PUC &amp; Non PUC'!$AP$43</f>
        <v>2898.24</v>
      </c>
      <c r="E15" s="147">
        <f>' VVF Sales - PUC &amp; Non PUC'!$BD$43</f>
        <v>4062.2999999999997</v>
      </c>
      <c r="F15" s="147">
        <f>' VVF Sales - PUC &amp; Non PUC'!$BR$43</f>
        <v>4223.7509999999993</v>
      </c>
      <c r="G15" s="147">
        <f>' VVF Sales - PUC &amp; Non PUC'!$CF$43</f>
        <v>5796.915</v>
      </c>
      <c r="H15" s="147">
        <f>' VVF Sales - PUC &amp; Non PUC'!$CT$43</f>
        <v>6719.1880000000028</v>
      </c>
      <c r="I15" s="147">
        <f>' VVF Sales - PUC &amp; Non PUC'!$DH$43</f>
        <v>3608.576</v>
      </c>
      <c r="J15" s="147">
        <f>' VVF Sales - PUC &amp; Non PUC'!$DV$43</f>
        <v>6566.8619999999992</v>
      </c>
      <c r="K15" s="147">
        <f>' VVF Sales - PUC &amp; Non PUC'!$EJ$43</f>
        <v>7287.4610000000002</v>
      </c>
      <c r="L15" s="147">
        <f>' VVF Sales - PUC &amp; Non PUC'!$EX$43</f>
        <v>6141.4080000000022</v>
      </c>
      <c r="M15" s="147">
        <f>' VVF Sales - PUC &amp; Non PUC'!$FL$43</f>
        <v>6809.1369999999997</v>
      </c>
      <c r="N15" s="147">
        <f>SUM(B15:M15)</f>
        <v>60695.967000000011</v>
      </c>
      <c r="O15" s="147">
        <v>60695.967000000011</v>
      </c>
      <c r="P15" s="147">
        <f t="shared" si="3"/>
        <v>0</v>
      </c>
    </row>
    <row r="16" spans="1:17">
      <c r="A16" s="155" t="s">
        <v>49</v>
      </c>
      <c r="B16" s="147">
        <f>' VVF Sales - PUC &amp; Non PUC'!$N$58</f>
        <v>2970.873</v>
      </c>
      <c r="C16" s="147">
        <f>' VVF Sales - PUC &amp; Non PUC'!$AB$58</f>
        <v>5398.3089999999993</v>
      </c>
      <c r="D16" s="147">
        <f>' VVF Sales - PUC &amp; Non PUC'!$AP$58</f>
        <v>5698.8580000000002</v>
      </c>
      <c r="E16" s="147">
        <f>' VVF Sales - PUC &amp; Non PUC'!$BD$58</f>
        <v>6518.0490000000009</v>
      </c>
      <c r="F16" s="147">
        <f>' VVF Sales - PUC &amp; Non PUC'!$BR$58</f>
        <v>5721.9660000000003</v>
      </c>
      <c r="G16" s="147">
        <f>' VVF Sales - PUC &amp; Non PUC'!$CF$58</f>
        <v>5549.5529999999999</v>
      </c>
      <c r="H16" s="147">
        <f>' VVF Sales - PUC &amp; Non PUC'!$CT$58</f>
        <v>4803.7500000000009</v>
      </c>
      <c r="I16" s="147">
        <f>' VVF Sales - PUC &amp; Non PUC'!$DH$58</f>
        <v>4054.1960000000004</v>
      </c>
      <c r="J16" s="147">
        <f>' VVF Sales - PUC &amp; Non PUC'!$DV$58</f>
        <v>4764.4410000000007</v>
      </c>
      <c r="K16" s="147">
        <f>' VVF Sales - PUC &amp; Non PUC'!$EJ$58</f>
        <v>0</v>
      </c>
      <c r="L16" s="147">
        <f>' VVF Sales - PUC &amp; Non PUC'!$EX$58</f>
        <v>0</v>
      </c>
      <c r="M16" s="147">
        <f>' VVF Sales - PUC &amp; Non PUC'!$FL$58</f>
        <v>0</v>
      </c>
      <c r="N16" s="147">
        <f>SUM(B16:M16)</f>
        <v>45479.995000000003</v>
      </c>
      <c r="O16" s="147">
        <v>36661.358</v>
      </c>
      <c r="P16" s="147">
        <f t="shared" si="3"/>
        <v>8818.6370000000024</v>
      </c>
    </row>
    <row r="19" spans="1:15">
      <c r="A19" s="47" t="s">
        <v>306</v>
      </c>
    </row>
    <row r="20" spans="1:15">
      <c r="A20" s="173" t="s">
        <v>107</v>
      </c>
      <c r="B20" s="167" t="s">
        <v>122</v>
      </c>
      <c r="C20" s="167" t="s">
        <v>53</v>
      </c>
      <c r="D20" s="167" t="s">
        <v>123</v>
      </c>
      <c r="E20" s="167" t="s">
        <v>124</v>
      </c>
      <c r="F20" s="167" t="s">
        <v>125</v>
      </c>
      <c r="G20" s="167" t="s">
        <v>126</v>
      </c>
      <c r="H20" s="167" t="s">
        <v>127</v>
      </c>
      <c r="I20" s="167" t="s">
        <v>128</v>
      </c>
      <c r="J20" s="167" t="s">
        <v>129</v>
      </c>
      <c r="K20" s="167" t="s">
        <v>130</v>
      </c>
      <c r="L20" s="167" t="s">
        <v>131</v>
      </c>
      <c r="M20" s="167" t="s">
        <v>132</v>
      </c>
      <c r="N20" s="167" t="s">
        <v>20</v>
      </c>
    </row>
    <row r="21" spans="1:15">
      <c r="A21" s="170" t="s">
        <v>48</v>
      </c>
      <c r="B21" s="147">
        <f>' VVF Sales - PUC &amp; Non PUC'!$O$13</f>
        <v>6965.9965894000006</v>
      </c>
      <c r="C21" s="147">
        <f>' VVF Sales - PUC &amp; Non PUC'!$AC$13</f>
        <v>6739.769106400001</v>
      </c>
      <c r="D21" s="147">
        <f>' VVF Sales - PUC &amp; Non PUC'!$AQ$13</f>
        <v>7452.8583038000006</v>
      </c>
      <c r="E21" s="147">
        <f>' VVF Sales - PUC &amp; Non PUC'!$BE$13</f>
        <v>7620.0680738999981</v>
      </c>
      <c r="F21" s="147">
        <f>' VVF Sales - PUC &amp; Non PUC'!$BS$13</f>
        <v>7525.0492462000002</v>
      </c>
      <c r="G21" s="147">
        <f>' VVF Sales - PUC &amp; Non PUC'!$CG$13</f>
        <v>7672.7326166999992</v>
      </c>
      <c r="H21" s="147">
        <f>' VVF Sales - PUC &amp; Non PUC'!$CU$13</f>
        <v>6711.4829233999981</v>
      </c>
      <c r="I21" s="147">
        <f>' VVF Sales - PUC &amp; Non PUC'!$DI$13</f>
        <v>7715.8548462000008</v>
      </c>
      <c r="J21" s="147">
        <f>' VVF Sales - PUC &amp; Non PUC'!$DW$13</f>
        <v>10160.9528075</v>
      </c>
      <c r="K21" s="147">
        <f>' VVF Sales - PUC &amp; Non PUC'!$EK$13</f>
        <v>8402.4806191999996</v>
      </c>
      <c r="L21" s="147">
        <f>' VVF Sales - PUC &amp; Non PUC'!$EY$13</f>
        <v>6303.0933331000006</v>
      </c>
      <c r="M21" s="147">
        <f>' VVF Sales - PUC &amp; Non PUC'!$FM$13</f>
        <v>7708.5152337999998</v>
      </c>
      <c r="N21" s="147">
        <f>SUM(B21:M21)</f>
        <v>90978.853699600004</v>
      </c>
    </row>
    <row r="22" spans="1:15">
      <c r="A22" s="170" t="s">
        <v>33</v>
      </c>
      <c r="B22" s="147">
        <f>' VVF Sales - PUC &amp; Non PUC'!$O$28</f>
        <v>5122.2036289999996</v>
      </c>
      <c r="C22" s="147">
        <f>' VVF Sales - PUC &amp; Non PUC'!$AC$28</f>
        <v>5205.9662651999997</v>
      </c>
      <c r="D22" s="147">
        <f>' VVF Sales - PUC &amp; Non PUC'!$AQ$28</f>
        <v>8317.8476024000011</v>
      </c>
      <c r="E22" s="147">
        <f>' VVF Sales - PUC &amp; Non PUC'!$BE$28</f>
        <v>4291.4269289000003</v>
      </c>
      <c r="F22" s="147">
        <f>' VVF Sales - PUC &amp; Non PUC'!$BS$28</f>
        <v>5254.0590695999999</v>
      </c>
      <c r="G22" s="147">
        <f>' VVF Sales - PUC &amp; Non PUC'!$CG$28</f>
        <v>4592.9261708000013</v>
      </c>
      <c r="H22" s="147">
        <f>' VVF Sales - PUC &amp; Non PUC'!$CU$28</f>
        <v>4966.6874402000012</v>
      </c>
      <c r="I22" s="147">
        <f>' VVF Sales - PUC &amp; Non PUC'!$DI$28</f>
        <v>4466.7570415</v>
      </c>
      <c r="J22" s="147">
        <f>' VVF Sales - PUC &amp; Non PUC'!$DW$28</f>
        <v>5435.8194506999989</v>
      </c>
      <c r="K22" s="147">
        <f>' VVF Sales - PUC &amp; Non PUC'!$EK$28</f>
        <v>5216.5391689000007</v>
      </c>
      <c r="L22" s="147">
        <f>' VVF Sales - PUC &amp; Non PUC'!$EY$28</f>
        <v>5350.4209778000004</v>
      </c>
      <c r="M22" s="147">
        <f>' VVF Sales - PUC &amp; Non PUC'!$FM$28</f>
        <v>4857.0893032000004</v>
      </c>
      <c r="N22" s="147">
        <f t="shared" ref="N22:N24" si="4">SUM(B22:M22)</f>
        <v>63077.743048200013</v>
      </c>
    </row>
    <row r="23" spans="1:15">
      <c r="A23" s="170" t="s">
        <v>39</v>
      </c>
      <c r="B23" s="147">
        <f>' VVF Sales - PUC &amp; Non PUC'!$O$43</f>
        <v>3340.9332903999994</v>
      </c>
      <c r="C23" s="147">
        <f>' VVF Sales - PUC &amp; Non PUC'!$AC$43</f>
        <v>2772.2675888999997</v>
      </c>
      <c r="D23" s="147">
        <f>' VVF Sales - PUC &amp; Non PUC'!$AQ$43</f>
        <v>2858.9155980000005</v>
      </c>
      <c r="E23" s="147">
        <f>' VVF Sales - PUC &amp; Non PUC'!$BE$43</f>
        <v>3838.6452514999996</v>
      </c>
      <c r="F23" s="147">
        <f>' VVF Sales - PUC &amp; Non PUC'!$BS$43</f>
        <v>3872.3457408999993</v>
      </c>
      <c r="G23" s="147">
        <f>' VVF Sales - PUC &amp; Non PUC'!$CG$43</f>
        <v>5214.1558203999994</v>
      </c>
      <c r="H23" s="147">
        <f>' VVF Sales - PUC &amp; Non PUC'!$CU$43</f>
        <v>5807.0533721999991</v>
      </c>
      <c r="I23" s="147">
        <f>' VVF Sales - PUC &amp; Non PUC'!$DI$43</f>
        <v>3233.6802456</v>
      </c>
      <c r="J23" s="147">
        <f>' VVF Sales - PUC &amp; Non PUC'!$DW$43</f>
        <v>5430.0173598000001</v>
      </c>
      <c r="K23" s="147">
        <f>' VVF Sales - PUC &amp; Non PUC'!$EK$43</f>
        <v>6109.4768982000005</v>
      </c>
      <c r="L23" s="147">
        <f>' VVF Sales - PUC &amp; Non PUC'!$EY$43</f>
        <v>5444.1096404999998</v>
      </c>
      <c r="M23" s="147">
        <f>' VVF Sales - PUC &amp; Non PUC'!$FM$43</f>
        <v>5765.7725040999985</v>
      </c>
      <c r="N23" s="147">
        <f t="shared" si="4"/>
        <v>53687.373310499999</v>
      </c>
    </row>
    <row r="24" spans="1:15">
      <c r="A24" s="174" t="s">
        <v>49</v>
      </c>
      <c r="B24" s="147">
        <f>' VVF Sales - PUC &amp; Non PUC'!$O$58</f>
        <v>2756.1683267000003</v>
      </c>
      <c r="C24" s="147">
        <f>' VVF Sales - PUC &amp; Non PUC'!$AC$58</f>
        <v>5810.6260153999983</v>
      </c>
      <c r="D24" s="147">
        <f>' VVF Sales - PUC &amp; Non PUC'!$AQ$58</f>
        <v>6237.7459941000006</v>
      </c>
      <c r="E24" s="147">
        <f>' VVF Sales - PUC &amp; Non PUC'!$BE$58</f>
        <v>7105.6234759000008</v>
      </c>
      <c r="F24" s="147">
        <f>' VVF Sales - PUC &amp; Non PUC'!$BS$58</f>
        <v>6669.2884543</v>
      </c>
      <c r="G24" s="147">
        <f>' VVF Sales - PUC &amp; Non PUC'!$CG$58</f>
        <v>6472.9289145000002</v>
      </c>
      <c r="H24" s="147">
        <f>' VVF Sales - PUC &amp; Non PUC'!$CU$58</f>
        <v>6092.9780137999996</v>
      </c>
      <c r="I24" s="147">
        <f>' VVF Sales - PUC &amp; Non PUC'!$DI$58</f>
        <v>4923.2687690000002</v>
      </c>
      <c r="J24" s="147">
        <f>' VVF Sales - PUC &amp; Non PUC'!$DW$58</f>
        <v>6052.6845902999994</v>
      </c>
      <c r="K24" s="147">
        <f>' VVF Sales - PUC &amp; Non PUC'!$EK$58</f>
        <v>0</v>
      </c>
      <c r="L24" s="147">
        <f>' VVF Sales - PUC &amp; Non PUC'!$EY$58</f>
        <v>0</v>
      </c>
      <c r="M24" s="147">
        <f>' VVF Sales - PUC &amp; Non PUC'!$FM$58</f>
        <v>0</v>
      </c>
      <c r="N24" s="147">
        <f t="shared" si="4"/>
        <v>52121.312554000004</v>
      </c>
    </row>
    <row r="26" spans="1:15">
      <c r="A26" s="47" t="s">
        <v>313</v>
      </c>
    </row>
    <row r="27" spans="1:15">
      <c r="A27" s="166" t="s">
        <v>107</v>
      </c>
      <c r="B27" s="167" t="s">
        <v>122</v>
      </c>
      <c r="C27" s="167" t="s">
        <v>53</v>
      </c>
      <c r="D27" s="167" t="s">
        <v>123</v>
      </c>
      <c r="E27" s="167" t="s">
        <v>124</v>
      </c>
      <c r="F27" s="167" t="s">
        <v>125</v>
      </c>
      <c r="G27" s="167" t="s">
        <v>126</v>
      </c>
      <c r="H27" s="167" t="s">
        <v>127</v>
      </c>
      <c r="I27" s="167" t="s">
        <v>128</v>
      </c>
      <c r="J27" s="167" t="s">
        <v>129</v>
      </c>
      <c r="K27" s="167" t="s">
        <v>130</v>
      </c>
      <c r="L27" s="167" t="s">
        <v>131</v>
      </c>
      <c r="M27" s="167" t="s">
        <v>132</v>
      </c>
      <c r="N27" s="167" t="s">
        <v>20</v>
      </c>
    </row>
    <row r="28" spans="1:15">
      <c r="A28" s="170" t="s">
        <v>48</v>
      </c>
      <c r="B28" s="147">
        <f>' VVF Sales - PUC &amp; Non PUC'!$N$14</f>
        <v>8740.134</v>
      </c>
      <c r="C28" s="147">
        <f>' VVF Sales - PUC &amp; Non PUC'!$AB$14</f>
        <v>7842.2100000000009</v>
      </c>
      <c r="D28" s="147">
        <f>' VVF Sales - PUC &amp; Non PUC'!$AP$14</f>
        <v>8951.9589999999989</v>
      </c>
      <c r="E28" s="147">
        <f>' VVF Sales - PUC &amp; Non PUC'!$BD$14</f>
        <v>8757.7000000000007</v>
      </c>
      <c r="F28" s="147">
        <f>' VVF Sales - PUC &amp; Non PUC'!$BR$14</f>
        <v>7387.3909999999996</v>
      </c>
      <c r="G28" s="147">
        <f>' VVF Sales - PUC &amp; Non PUC'!$CF$14</f>
        <v>7780.4699999999984</v>
      </c>
      <c r="H28" s="147">
        <f>' VVF Sales - PUC &amp; Non PUC'!$CT$14</f>
        <v>7257.1040000000003</v>
      </c>
      <c r="I28" s="147">
        <f>' VVF Sales - PUC &amp; Non PUC'!$DH$14</f>
        <v>7517.8289999999979</v>
      </c>
      <c r="J28" s="147">
        <f>' VVF Sales - PUC &amp; Non PUC'!$DV$14</f>
        <v>10396.053</v>
      </c>
      <c r="K28" s="147">
        <f>' VVF Sales - PUC &amp; Non PUC'!$EJ$14</f>
        <v>7483.0379999999996</v>
      </c>
      <c r="L28" s="147">
        <f>' VVF Sales - PUC &amp; Non PUC'!$EX$14</f>
        <v>4560.165</v>
      </c>
      <c r="M28" s="147">
        <f>' VVF Sales - PUC &amp; Non PUC'!$FL$14</f>
        <v>7267.7549999999992</v>
      </c>
      <c r="N28" s="147">
        <f>SUM(B28:M28)</f>
        <v>93941.808000000005</v>
      </c>
      <c r="O28" s="35" t="s">
        <v>286</v>
      </c>
    </row>
    <row r="29" spans="1:15">
      <c r="A29" s="170" t="s">
        <v>33</v>
      </c>
      <c r="B29" s="147">
        <f>' VVF Sales - PUC &amp; Non PUC'!$N$29</f>
        <v>3650.9650000000001</v>
      </c>
      <c r="C29" s="147">
        <f>' VVF Sales - PUC &amp; Non PUC'!$AB$29</f>
        <v>4303.2520000000013</v>
      </c>
      <c r="D29" s="147">
        <f>' VVF Sales - PUC &amp; Non PUC'!$AP$29</f>
        <v>7225.8600000000006</v>
      </c>
      <c r="E29" s="147">
        <f>' VVF Sales - PUC &amp; Non PUC'!$BD$29</f>
        <v>3177.9250000000002</v>
      </c>
      <c r="F29" s="147">
        <f>' VVF Sales - PUC &amp; Non PUC'!$BR$29</f>
        <v>4500.22</v>
      </c>
      <c r="G29" s="147">
        <f>' VVF Sales - PUC &amp; Non PUC'!$CF$29</f>
        <v>4043.1699999999992</v>
      </c>
      <c r="H29" s="147">
        <f>' VVF Sales - PUC &amp; Non PUC'!$CT$29</f>
        <v>4858.6799999999985</v>
      </c>
      <c r="I29" s="147">
        <f>' VVF Sales - PUC &amp; Non PUC'!$DH$29</f>
        <v>5074.0899999999992</v>
      </c>
      <c r="J29" s="147">
        <f>' VVF Sales - PUC &amp; Non PUC'!$DV$29</f>
        <v>6538.7899999999991</v>
      </c>
      <c r="K29" s="147">
        <f>' VVF Sales - PUC &amp; Non PUC'!$EJ$29</f>
        <v>5403.7000000000007</v>
      </c>
      <c r="L29" s="147">
        <f>' VVF Sales - PUC &amp; Non PUC'!$EX$29</f>
        <v>4134.9599999999991</v>
      </c>
      <c r="M29" s="147">
        <f>' VVF Sales - PUC &amp; Non PUC'!$FL$29</f>
        <v>4318.18</v>
      </c>
      <c r="N29" s="147">
        <f t="shared" ref="N29:N31" si="5">SUM(B29:M29)</f>
        <v>57229.792000000001</v>
      </c>
      <c r="O29" s="35" t="s">
        <v>286</v>
      </c>
    </row>
    <row r="30" spans="1:15">
      <c r="A30" s="170" t="s">
        <v>39</v>
      </c>
      <c r="B30" s="147">
        <f>' VVF Sales - PUC &amp; Non PUC'!$N$44</f>
        <v>3303.8649999999998</v>
      </c>
      <c r="C30" s="147">
        <f>' VVF Sales - PUC &amp; Non PUC'!$AB$44</f>
        <v>2666.4269999999997</v>
      </c>
      <c r="D30" s="147">
        <f>' VVF Sales - PUC &amp; Non PUC'!$AP$44</f>
        <v>2613.5749999999998</v>
      </c>
      <c r="E30" s="147">
        <f>' VVF Sales - PUC &amp; Non PUC'!$BD$44</f>
        <v>3831.3149999999996</v>
      </c>
      <c r="F30" s="147">
        <f>' VVF Sales - PUC &amp; Non PUC'!$BR$44</f>
        <v>3871.4709999999995</v>
      </c>
      <c r="G30" s="147">
        <f>' VVF Sales - PUC &amp; Non PUC'!$CF$44</f>
        <v>5268.6949999999997</v>
      </c>
      <c r="H30" s="147">
        <f>' VVF Sales - PUC &amp; Non PUC'!$CT$44</f>
        <v>6357.4730000000027</v>
      </c>
      <c r="I30" s="147">
        <f>' VVF Sales - PUC &amp; Non PUC'!$DH$44</f>
        <v>3265.3510000000001</v>
      </c>
      <c r="J30" s="147">
        <f>' VVF Sales - PUC &amp; Non PUC'!$DV$44</f>
        <v>6241.2369999999992</v>
      </c>
      <c r="K30" s="147">
        <f>' VVF Sales - PUC &amp; Non PUC'!$EJ$44</f>
        <v>6928.2110000000002</v>
      </c>
      <c r="L30" s="147">
        <f>' VVF Sales - PUC &amp; Non PUC'!$EX$44</f>
        <v>5739.4330000000018</v>
      </c>
      <c r="M30" s="147">
        <f>' VVF Sales - PUC &amp; Non PUC'!$FL$44</f>
        <v>6301.3969999999999</v>
      </c>
      <c r="N30" s="147">
        <f t="shared" si="5"/>
        <v>56388.450000000004</v>
      </c>
      <c r="O30" s="35" t="s">
        <v>286</v>
      </c>
    </row>
    <row r="31" spans="1:15">
      <c r="A31" s="155" t="s">
        <v>49</v>
      </c>
      <c r="B31" s="147">
        <f>' VVF Sales - PUC &amp; Non PUC'!$N$59</f>
        <v>2686.7730000000001</v>
      </c>
      <c r="C31" s="147">
        <f>' VVF Sales - PUC &amp; Non PUC'!$AB$59</f>
        <v>4830.2839999999997</v>
      </c>
      <c r="D31" s="147">
        <f>' VVF Sales - PUC &amp; Non PUC'!$AP$59</f>
        <v>5134.5830000000005</v>
      </c>
      <c r="E31" s="147">
        <f>' VVF Sales - PUC &amp; Non PUC'!$BD$59</f>
        <v>6053.8690000000006</v>
      </c>
      <c r="F31" s="147">
        <f>' VVF Sales - PUC &amp; Non PUC'!$BR$59</f>
        <v>5408.5020000000004</v>
      </c>
      <c r="G31" s="147">
        <f>' VVF Sales - PUC &amp; Non PUC'!$CF$59</f>
        <v>5193.8629999999994</v>
      </c>
      <c r="H31" s="147">
        <f>' VVF Sales - PUC &amp; Non PUC'!$CT$59</f>
        <v>4803.7500000000009</v>
      </c>
      <c r="I31" s="147">
        <f>' VVF Sales - PUC &amp; Non PUC'!$DH$59</f>
        <v>4054.1960000000004</v>
      </c>
      <c r="J31" s="147">
        <f>' VVF Sales - PUC &amp; Non PUC'!$DV$59</f>
        <v>4764.4410000000007</v>
      </c>
      <c r="K31" s="147">
        <f>' VVF Sales - PUC &amp; Non PUC'!$EJ$59</f>
        <v>0</v>
      </c>
      <c r="L31" s="147">
        <f>' VVF Sales - PUC &amp; Non PUC'!$EX$59</f>
        <v>0</v>
      </c>
      <c r="M31" s="147">
        <f>' VVF Sales - PUC &amp; Non PUC'!$FL$59</f>
        <v>0</v>
      </c>
      <c r="N31" s="147">
        <f t="shared" si="5"/>
        <v>42930.260999999999</v>
      </c>
      <c r="O31" s="35" t="s">
        <v>286</v>
      </c>
    </row>
    <row r="33" spans="1:15">
      <c r="A33" s="47" t="s">
        <v>314</v>
      </c>
    </row>
    <row r="34" spans="1:15">
      <c r="A34" s="166" t="s">
        <v>107</v>
      </c>
      <c r="B34" s="167" t="s">
        <v>237</v>
      </c>
      <c r="C34" s="167" t="s">
        <v>238</v>
      </c>
      <c r="D34" s="167" t="s">
        <v>239</v>
      </c>
      <c r="E34" s="167" t="s">
        <v>240</v>
      </c>
      <c r="F34" s="167" t="s">
        <v>20</v>
      </c>
    </row>
    <row r="35" spans="1:15">
      <c r="A35" s="170" t="s">
        <v>48</v>
      </c>
      <c r="B35" s="304">
        <f>SUM(B28:D28)</f>
        <v>25534.303</v>
      </c>
      <c r="C35" s="304">
        <f>SUM(E28:G28)</f>
        <v>23925.560999999998</v>
      </c>
      <c r="D35" s="304">
        <f>SUM(H28:J28)</f>
        <v>25170.985999999997</v>
      </c>
      <c r="E35" s="304">
        <f>SUM(K28:M28)</f>
        <v>19310.957999999999</v>
      </c>
      <c r="F35" s="303">
        <f>SUM(B35:E35)</f>
        <v>93941.808000000005</v>
      </c>
      <c r="G35" s="35" t="s">
        <v>286</v>
      </c>
    </row>
    <row r="36" spans="1:15">
      <c r="A36" s="170" t="s">
        <v>33</v>
      </c>
      <c r="B36" s="304">
        <f>SUM(B29:D29)</f>
        <v>15180.077000000001</v>
      </c>
      <c r="C36" s="304">
        <f>SUM(E29:G29)</f>
        <v>11721.314999999999</v>
      </c>
      <c r="D36" s="304">
        <f>SUM(H29:J29)</f>
        <v>16471.559999999998</v>
      </c>
      <c r="E36" s="304">
        <f>SUM(K29:M29)</f>
        <v>13856.84</v>
      </c>
      <c r="F36" s="303">
        <f t="shared" ref="F36:F38" si="6">SUM(B36:E36)</f>
        <v>57229.792000000001</v>
      </c>
      <c r="G36" s="35" t="s">
        <v>286</v>
      </c>
    </row>
    <row r="37" spans="1:15">
      <c r="A37" s="170" t="s">
        <v>39</v>
      </c>
      <c r="B37" s="304">
        <f>SUM(B30:D30)</f>
        <v>8583.8669999999984</v>
      </c>
      <c r="C37" s="304">
        <f>SUM(E30:G30)</f>
        <v>12971.481</v>
      </c>
      <c r="D37" s="304">
        <f>SUM(H30:J30)</f>
        <v>15864.061000000002</v>
      </c>
      <c r="E37" s="304">
        <f>SUM(K30:M30)</f>
        <v>18969.041000000001</v>
      </c>
      <c r="F37" s="303">
        <f t="shared" si="6"/>
        <v>56388.45</v>
      </c>
      <c r="G37" s="35" t="s">
        <v>286</v>
      </c>
    </row>
    <row r="38" spans="1:15">
      <c r="A38" s="155" t="s">
        <v>49</v>
      </c>
      <c r="B38" s="304">
        <f>SUM(B31:D31)</f>
        <v>12651.64</v>
      </c>
      <c r="C38" s="304">
        <f>SUM(E31:G31)</f>
        <v>16656.234</v>
      </c>
      <c r="D38" s="304">
        <f>SUM(H31:J31)</f>
        <v>13622.387000000002</v>
      </c>
      <c r="E38" s="304">
        <f>SUM(K31:M31)</f>
        <v>0</v>
      </c>
      <c r="F38" s="303">
        <f t="shared" si="6"/>
        <v>42930.260999999999</v>
      </c>
      <c r="G38" s="35" t="s">
        <v>286</v>
      </c>
    </row>
    <row r="40" spans="1:15">
      <c r="A40" s="47" t="s">
        <v>312</v>
      </c>
    </row>
    <row r="41" spans="1:15">
      <c r="A41" s="166" t="s">
        <v>107</v>
      </c>
      <c r="B41" s="167" t="s">
        <v>122</v>
      </c>
      <c r="C41" s="167" t="s">
        <v>53</v>
      </c>
      <c r="D41" s="167" t="s">
        <v>123</v>
      </c>
      <c r="E41" s="167" t="s">
        <v>124</v>
      </c>
      <c r="F41" s="167" t="s">
        <v>125</v>
      </c>
      <c r="G41" s="167" t="s">
        <v>126</v>
      </c>
      <c r="H41" s="167" t="s">
        <v>127</v>
      </c>
      <c r="I41" s="167" t="s">
        <v>128</v>
      </c>
      <c r="J41" s="167" t="s">
        <v>129</v>
      </c>
      <c r="K41" s="167" t="s">
        <v>130</v>
      </c>
      <c r="L41" s="167" t="s">
        <v>131</v>
      </c>
      <c r="M41" s="167" t="s">
        <v>132</v>
      </c>
      <c r="N41" s="167" t="s">
        <v>20</v>
      </c>
    </row>
    <row r="42" spans="1:15">
      <c r="A42" s="170" t="s">
        <v>48</v>
      </c>
      <c r="B42" s="147">
        <f>' VVF Sales - PUC &amp; Non PUC'!$F$13</f>
        <v>5999.0739999999987</v>
      </c>
      <c r="C42" s="147">
        <f>' VVF Sales - PUC &amp; Non PUC'!$T$13</f>
        <v>5569.6600000000008</v>
      </c>
      <c r="D42" s="147">
        <f>' VVF Sales - PUC &amp; Non PUC'!$AH$13</f>
        <v>6797.9</v>
      </c>
      <c r="E42" s="147">
        <f>' VVF Sales - PUC &amp; Non PUC'!$AV$14</f>
        <v>7379.7999999999993</v>
      </c>
      <c r="F42" s="147">
        <f>' VVF Sales - PUC &amp; Non PUC'!$BJ$14</f>
        <v>4963.0799999999981</v>
      </c>
      <c r="G42" s="147">
        <f>' VVF Sales - PUC &amp; Non PUC'!$BX$14</f>
        <v>5140.3349999999991</v>
      </c>
      <c r="H42" s="147">
        <f>' VVF Sales - PUC &amp; Non PUC'!$CL$14</f>
        <v>5255.264000000001</v>
      </c>
      <c r="I42" s="147">
        <f>' VVF Sales - PUC &amp; Non PUC'!$CZ$14</f>
        <v>5784.2939999999981</v>
      </c>
      <c r="J42" s="147">
        <f>' VVF Sales - PUC &amp; Non PUC'!$DN$14</f>
        <v>8405.9180000000015</v>
      </c>
      <c r="K42" s="147">
        <f>' VVF Sales - PUC &amp; Non PUC'!$EB$14</f>
        <v>5018.0429999999988</v>
      </c>
      <c r="L42" s="147">
        <f>' VVF Sales - PUC &amp; Non PUC'!$EP$14</f>
        <v>3747.76</v>
      </c>
      <c r="M42" s="147">
        <f>' VVF Sales - PUC &amp; Non PUC'!$FD$14</f>
        <v>5932.8599999999988</v>
      </c>
      <c r="N42" s="147">
        <f>SUM(B42:M42)</f>
        <v>69993.987999999998</v>
      </c>
      <c r="O42" s="35" t="s">
        <v>286</v>
      </c>
    </row>
    <row r="43" spans="1:15">
      <c r="A43" s="170" t="s">
        <v>33</v>
      </c>
      <c r="B43" s="147">
        <f>' VVF Sales - PUC &amp; Non PUC'!$F$28</f>
        <v>2652.0149999999994</v>
      </c>
      <c r="C43" s="147">
        <f>' VVF Sales - PUC &amp; Non PUC'!$T$28</f>
        <v>2992.8670000000002</v>
      </c>
      <c r="D43" s="147">
        <f>' VVF Sales - PUC &amp; Non PUC'!$AH$28</f>
        <v>6270.8400000000011</v>
      </c>
      <c r="E43" s="147">
        <f>' VVF Sales - PUC &amp; Non PUC'!$AV$29</f>
        <v>1945.9800000000002</v>
      </c>
      <c r="F43" s="147">
        <f>' VVF Sales - PUC &amp; Non PUC'!$BJ$29</f>
        <v>3524.9100000000003</v>
      </c>
      <c r="G43" s="147">
        <f>' VVF Sales - PUC &amp; Non PUC'!$BX$29</f>
        <v>2885.0399999999995</v>
      </c>
      <c r="H43" s="147">
        <f>' VVF Sales - PUC &amp; Non PUC'!$CL$29</f>
        <v>3830.4399999999987</v>
      </c>
      <c r="I43" s="147">
        <f>' VVF Sales - PUC &amp; Non PUC'!$CZ$29</f>
        <v>4190.7899999999991</v>
      </c>
      <c r="J43" s="147">
        <f>' VVF Sales - PUC &amp; Non PUC'!$DN$29</f>
        <v>5493.78</v>
      </c>
      <c r="K43" s="147">
        <f>' VVF Sales - PUC &amp; Non PUC'!$EB$29</f>
        <v>4075.69</v>
      </c>
      <c r="L43" s="147">
        <f>' VVF Sales - PUC &amp; Non PUC'!$EP$29</f>
        <v>2770.71</v>
      </c>
      <c r="M43" s="147">
        <f>' VVF Sales - PUC &amp; Non PUC'!$FD$29</f>
        <v>3632.9300000000003</v>
      </c>
      <c r="N43" s="147">
        <f t="shared" ref="N43:N45" si="7">SUM(B43:M43)</f>
        <v>44265.991999999998</v>
      </c>
      <c r="O43" s="35" t="s">
        <v>286</v>
      </c>
    </row>
    <row r="44" spans="1:15">
      <c r="A44" s="170" t="s">
        <v>39</v>
      </c>
      <c r="B44" s="147">
        <f>' VVF Sales - PUC &amp; Non PUC'!$F$43</f>
        <v>1961.0500000000002</v>
      </c>
      <c r="C44" s="147">
        <f>' VVF Sales - PUC &amp; Non PUC'!$T$43</f>
        <v>1077.8499999999999</v>
      </c>
      <c r="D44" s="147">
        <f>' VVF Sales - PUC &amp; Non PUC'!$AH$43</f>
        <v>1793.4399999999996</v>
      </c>
      <c r="E44" s="147">
        <f>' VVF Sales - PUC &amp; Non PUC'!$AV$44</f>
        <v>1710.6699999999998</v>
      </c>
      <c r="F44" s="147">
        <f>' VVF Sales - PUC &amp; Non PUC'!$BJ$44</f>
        <v>2077.9760000000001</v>
      </c>
      <c r="G44" s="147">
        <f>' VVF Sales - PUC &amp; Non PUC'!$BX$44</f>
        <v>2245.0200000000004</v>
      </c>
      <c r="H44" s="147">
        <f>' VVF Sales - PUC &amp; Non PUC'!$CL$44</f>
        <v>2771.6179999999999</v>
      </c>
      <c r="I44" s="147">
        <f>' VVF Sales - PUC &amp; Non PUC'!$CZ$44</f>
        <v>1047.1780000000001</v>
      </c>
      <c r="J44" s="147">
        <f>' VVF Sales - PUC &amp; Non PUC'!$DN$44</f>
        <v>3097.3669999999997</v>
      </c>
      <c r="K44" s="147">
        <f>' VVF Sales - PUC &amp; Non PUC'!$EB$44</f>
        <v>2349.3909999999996</v>
      </c>
      <c r="L44" s="147">
        <f>' VVF Sales - PUC &amp; Non PUC'!$EP$44</f>
        <v>1675.068</v>
      </c>
      <c r="M44" s="147">
        <f>' VVF Sales - PUC &amp; Non PUC'!$FD$44</f>
        <v>2533.0819999999994</v>
      </c>
      <c r="N44" s="147">
        <f t="shared" si="7"/>
        <v>24339.71</v>
      </c>
      <c r="O44" s="35" t="s">
        <v>286</v>
      </c>
    </row>
    <row r="45" spans="1:15">
      <c r="A45" s="155" t="s">
        <v>49</v>
      </c>
      <c r="B45" s="147">
        <f>' VVF Sales - PUC &amp; Non PUC'!$F$58</f>
        <v>901.71799999999985</v>
      </c>
      <c r="C45" s="147">
        <f>' VVF Sales - PUC &amp; Non PUC'!$T$58</f>
        <v>2419.3990000000003</v>
      </c>
      <c r="D45" s="147">
        <f>' VVF Sales - PUC &amp; Non PUC'!$AH$58</f>
        <v>1393.518</v>
      </c>
      <c r="E45" s="147">
        <f>' VVF Sales - PUC &amp; Non PUC'!$AV$59</f>
        <v>1840.7490000000003</v>
      </c>
      <c r="F45" s="147">
        <f>' VVF Sales - PUC &amp; Non PUC'!$BJ$59</f>
        <v>2227.8019999999997</v>
      </c>
      <c r="G45" s="147">
        <f>' VVF Sales - PUC &amp; Non PUC'!$BX$59</f>
        <v>2015.6179999999999</v>
      </c>
      <c r="H45" s="147">
        <f>' VVF Sales - PUC &amp; Non PUC'!$CL$59</f>
        <v>1814.4239999999998</v>
      </c>
      <c r="I45" s="147">
        <f>' VVF Sales - PUC &amp; Non PUC'!$CZ$59</f>
        <v>0</v>
      </c>
      <c r="J45" s="147">
        <f>' VVF Sales - PUC &amp; Non PUC'!$DN$59</f>
        <v>0</v>
      </c>
      <c r="K45" s="147">
        <f>' VVF Sales - PUC &amp; Non PUC'!$EB$59</f>
        <v>0</v>
      </c>
      <c r="L45" s="147">
        <f>' VVF Sales - PUC &amp; Non PUC'!$EP$59</f>
        <v>0</v>
      </c>
      <c r="M45" s="147">
        <f>' VVF Sales - PUC &amp; Non PUC'!$FD$59</f>
        <v>0</v>
      </c>
      <c r="N45" s="147">
        <f t="shared" si="7"/>
        <v>12613.227999999999</v>
      </c>
      <c r="O45" s="35" t="s">
        <v>286</v>
      </c>
    </row>
    <row r="47" spans="1:15">
      <c r="A47" s="47" t="s">
        <v>307</v>
      </c>
    </row>
    <row r="48" spans="1:15">
      <c r="A48" s="166" t="s">
        <v>107</v>
      </c>
      <c r="B48" s="167" t="s">
        <v>237</v>
      </c>
      <c r="C48" s="167" t="s">
        <v>238</v>
      </c>
      <c r="D48" s="167" t="s">
        <v>239</v>
      </c>
      <c r="E48" s="167" t="s">
        <v>240</v>
      </c>
      <c r="F48" s="167" t="s">
        <v>20</v>
      </c>
    </row>
    <row r="49" spans="1:7">
      <c r="A49" s="170" t="s">
        <v>48</v>
      </c>
      <c r="B49" s="304">
        <f>SUM(B42:D42)</f>
        <v>18366.633999999998</v>
      </c>
      <c r="C49" s="304">
        <f>SUM(E42:G42)</f>
        <v>17483.214999999997</v>
      </c>
      <c r="D49" s="304">
        <f>SUM(H42:J42)</f>
        <v>19445.476000000002</v>
      </c>
      <c r="E49" s="304">
        <f>SUM(K42:M42)</f>
        <v>14698.662999999999</v>
      </c>
      <c r="F49" s="303">
        <f>SUM(B49:E49)</f>
        <v>69993.987999999998</v>
      </c>
      <c r="G49" s="35" t="s">
        <v>286</v>
      </c>
    </row>
    <row r="50" spans="1:7">
      <c r="A50" s="170" t="s">
        <v>33</v>
      </c>
      <c r="B50" s="304">
        <f>SUM(B43:D43)</f>
        <v>11915.722000000002</v>
      </c>
      <c r="C50" s="304">
        <f>SUM(E43:G43)</f>
        <v>8355.93</v>
      </c>
      <c r="D50" s="304">
        <f>SUM(H43:J43)</f>
        <v>13515.009999999998</v>
      </c>
      <c r="E50" s="304">
        <f>SUM(K43:M43)</f>
        <v>10479.33</v>
      </c>
      <c r="F50" s="303">
        <f t="shared" ref="F50:F52" si="8">SUM(B50:E50)</f>
        <v>44265.991999999998</v>
      </c>
      <c r="G50" s="35" t="s">
        <v>286</v>
      </c>
    </row>
    <row r="51" spans="1:7">
      <c r="A51" s="170" t="s">
        <v>39</v>
      </c>
      <c r="B51" s="304">
        <f>SUM(B44:D44)</f>
        <v>4832.34</v>
      </c>
      <c r="C51" s="304">
        <f>SUM(E44:G44)</f>
        <v>6033.6660000000002</v>
      </c>
      <c r="D51" s="304">
        <f>SUM(H44:J44)</f>
        <v>6916.1630000000005</v>
      </c>
      <c r="E51" s="304">
        <f>SUM(K44:M44)</f>
        <v>6557.5409999999993</v>
      </c>
      <c r="F51" s="303">
        <f t="shared" si="8"/>
        <v>24339.71</v>
      </c>
      <c r="G51" s="35" t="s">
        <v>286</v>
      </c>
    </row>
    <row r="52" spans="1:7">
      <c r="A52" s="155" t="s">
        <v>49</v>
      </c>
      <c r="B52" s="304">
        <f>SUM(B45:D45)</f>
        <v>4714.6350000000002</v>
      </c>
      <c r="C52" s="304">
        <f>SUM(E45:G45)</f>
        <v>6084.1689999999999</v>
      </c>
      <c r="D52" s="304">
        <f>SUM(H45:J45)</f>
        <v>1814.4239999999998</v>
      </c>
      <c r="E52" s="304">
        <f>SUM(K45:M45)</f>
        <v>0</v>
      </c>
      <c r="F52" s="303">
        <f t="shared" si="8"/>
        <v>12613.227999999999</v>
      </c>
      <c r="G52" s="35" t="s">
        <v>286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69"/>
  <sheetViews>
    <sheetView showGridLines="0" topLeftCell="A37" zoomScaleNormal="100" workbookViewId="0">
      <pane xSplit="1" topLeftCell="FD1" activePane="topRight" state="frozen"/>
      <selection activeCell="N99" sqref="N99:O99"/>
      <selection pane="topRight" activeCell="FN59" sqref="FN59"/>
    </sheetView>
  </sheetViews>
  <sheetFormatPr defaultRowHeight="12"/>
  <cols>
    <col min="1" max="1" width="26.42578125" style="35" bestFit="1" customWidth="1"/>
    <col min="2" max="2" width="7.7109375" style="35" bestFit="1" customWidth="1"/>
    <col min="3" max="3" width="6.85546875" style="35" bestFit="1" customWidth="1"/>
    <col min="4" max="5" width="6" style="35" bestFit="1" customWidth="1"/>
    <col min="6" max="7" width="6.85546875" style="35" bestFit="1" customWidth="1"/>
    <col min="8" max="9" width="6" style="35" bestFit="1" customWidth="1"/>
    <col min="10" max="10" width="4.42578125" style="35" bestFit="1" customWidth="1"/>
    <col min="11" max="11" width="5" style="35" bestFit="1" customWidth="1"/>
    <col min="12" max="12" width="4.42578125" style="35" bestFit="1" customWidth="1"/>
    <col min="13" max="13" width="5.7109375" style="35" bestFit="1" customWidth="1"/>
    <col min="14" max="15" width="6.85546875" style="35" bestFit="1" customWidth="1"/>
    <col min="16" max="32" width="6.42578125" style="35" customWidth="1"/>
    <col min="33" max="33" width="6.140625" style="35" customWidth="1"/>
    <col min="34" max="61" width="6.42578125" style="35" customWidth="1"/>
    <col min="62" max="69" width="7.42578125" style="35" customWidth="1"/>
    <col min="70" max="75" width="6.42578125" style="35" customWidth="1"/>
    <col min="76" max="76" width="7.42578125" style="35" customWidth="1"/>
    <col min="77" max="83" width="7.85546875" style="35" customWidth="1"/>
    <col min="84" max="85" width="6.42578125" style="35" customWidth="1"/>
    <col min="86" max="86" width="7.42578125" style="35" customWidth="1"/>
    <col min="87" max="89" width="6.42578125" style="35" customWidth="1"/>
    <col min="90" max="90" width="7.42578125" style="35" customWidth="1"/>
    <col min="91" max="103" width="6.42578125" style="35" customWidth="1"/>
    <col min="104" max="104" width="7.42578125" style="35" customWidth="1"/>
    <col min="105" max="117" width="6.42578125" style="35" customWidth="1"/>
    <col min="118" max="118" width="7.42578125" style="35" customWidth="1"/>
    <col min="119" max="125" width="6.42578125" style="35" customWidth="1"/>
    <col min="126" max="126" width="7.42578125" style="35" customWidth="1"/>
    <col min="127" max="127" width="8.5703125" style="35" customWidth="1"/>
    <col min="128" max="131" width="6.42578125" style="35" customWidth="1"/>
    <col min="132" max="132" width="7.42578125" style="35" customWidth="1"/>
    <col min="133" max="145" width="6.42578125" style="35" customWidth="1"/>
    <col min="146" max="146" width="7.42578125" style="35" customWidth="1"/>
    <col min="147" max="159" width="6.42578125" style="35" customWidth="1"/>
    <col min="160" max="160" width="7.42578125" style="35" customWidth="1"/>
    <col min="161" max="167" width="6.42578125" style="35" customWidth="1"/>
    <col min="168" max="168" width="8.5703125" style="35" customWidth="1"/>
    <col min="169" max="169" width="7.42578125" style="35" customWidth="1"/>
    <col min="170" max="171" width="9" style="35" bestFit="1" customWidth="1"/>
    <col min="172" max="175" width="7.42578125" style="35" customWidth="1"/>
    <col min="176" max="176" width="11.5703125" style="35" customWidth="1"/>
    <col min="177" max="177" width="9" style="35" customWidth="1"/>
    <col min="178" max="178" width="10.42578125" style="35" bestFit="1" customWidth="1"/>
    <col min="179" max="179" width="22.42578125" style="35" bestFit="1" customWidth="1"/>
    <col min="180" max="180" width="10.28515625" style="35" bestFit="1" customWidth="1"/>
    <col min="181" max="16384" width="9.140625" style="35"/>
  </cols>
  <sheetData>
    <row r="1" spans="1:183">
      <c r="A1" s="35" t="s">
        <v>114</v>
      </c>
    </row>
    <row r="2" spans="1:183">
      <c r="A2" s="153" t="s">
        <v>28</v>
      </c>
      <c r="B2" s="413">
        <v>41365</v>
      </c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1" t="s">
        <v>137</v>
      </c>
      <c r="Q2" s="412"/>
      <c r="R2" s="412"/>
      <c r="S2" s="412"/>
      <c r="T2" s="412"/>
      <c r="U2" s="412"/>
      <c r="V2" s="412"/>
      <c r="W2" s="412"/>
      <c r="X2" s="412"/>
      <c r="Y2" s="412"/>
      <c r="Z2" s="412"/>
      <c r="AA2" s="412"/>
      <c r="AB2" s="412"/>
      <c r="AC2" s="412"/>
      <c r="AD2" s="411" t="s">
        <v>138</v>
      </c>
      <c r="AE2" s="412"/>
      <c r="AF2" s="412"/>
      <c r="AG2" s="412"/>
      <c r="AH2" s="412"/>
      <c r="AI2" s="412"/>
      <c r="AJ2" s="412"/>
      <c r="AK2" s="412"/>
      <c r="AL2" s="412"/>
      <c r="AM2" s="412"/>
      <c r="AN2" s="412"/>
      <c r="AO2" s="412"/>
      <c r="AP2" s="412"/>
      <c r="AQ2" s="412"/>
      <c r="AR2" s="411" t="s">
        <v>139</v>
      </c>
      <c r="AS2" s="412"/>
      <c r="AT2" s="412"/>
      <c r="AU2" s="412"/>
      <c r="AV2" s="412"/>
      <c r="AW2" s="412"/>
      <c r="AX2" s="412"/>
      <c r="AY2" s="412"/>
      <c r="AZ2" s="412"/>
      <c r="BA2" s="412"/>
      <c r="BB2" s="412"/>
      <c r="BC2" s="412"/>
      <c r="BD2" s="412"/>
      <c r="BE2" s="412"/>
      <c r="BF2" s="411" t="s">
        <v>140</v>
      </c>
      <c r="BG2" s="412"/>
      <c r="BH2" s="412"/>
      <c r="BI2" s="412"/>
      <c r="BJ2" s="412"/>
      <c r="BK2" s="412"/>
      <c r="BL2" s="412"/>
      <c r="BM2" s="412"/>
      <c r="BN2" s="412"/>
      <c r="BO2" s="412"/>
      <c r="BP2" s="412"/>
      <c r="BQ2" s="412"/>
      <c r="BR2" s="412"/>
      <c r="BS2" s="412"/>
      <c r="BT2" s="411" t="s">
        <v>141</v>
      </c>
      <c r="BU2" s="412"/>
      <c r="BV2" s="412"/>
      <c r="BW2" s="412"/>
      <c r="BX2" s="412"/>
      <c r="BY2" s="412"/>
      <c r="BZ2" s="412"/>
      <c r="CA2" s="412"/>
      <c r="CB2" s="412"/>
      <c r="CC2" s="412"/>
      <c r="CD2" s="412"/>
      <c r="CE2" s="412"/>
      <c r="CF2" s="412"/>
      <c r="CG2" s="412"/>
      <c r="CH2" s="411" t="s">
        <v>142</v>
      </c>
      <c r="CI2" s="412"/>
      <c r="CJ2" s="412"/>
      <c r="CK2" s="412"/>
      <c r="CL2" s="412"/>
      <c r="CM2" s="412"/>
      <c r="CN2" s="412"/>
      <c r="CO2" s="412"/>
      <c r="CP2" s="412"/>
      <c r="CQ2" s="412"/>
      <c r="CR2" s="412"/>
      <c r="CS2" s="412"/>
      <c r="CT2" s="412"/>
      <c r="CU2" s="412"/>
      <c r="CV2" s="411" t="s">
        <v>143</v>
      </c>
      <c r="CW2" s="412"/>
      <c r="CX2" s="412"/>
      <c r="CY2" s="412"/>
      <c r="CZ2" s="412"/>
      <c r="DA2" s="412"/>
      <c r="DB2" s="412"/>
      <c r="DC2" s="412"/>
      <c r="DD2" s="412"/>
      <c r="DE2" s="412"/>
      <c r="DF2" s="412"/>
      <c r="DG2" s="412"/>
      <c r="DH2" s="412"/>
      <c r="DI2" s="412"/>
      <c r="DJ2" s="411" t="s">
        <v>144</v>
      </c>
      <c r="DK2" s="412"/>
      <c r="DL2" s="412"/>
      <c r="DM2" s="412"/>
      <c r="DN2" s="412"/>
      <c r="DO2" s="412"/>
      <c r="DP2" s="412"/>
      <c r="DQ2" s="412"/>
      <c r="DR2" s="412"/>
      <c r="DS2" s="412"/>
      <c r="DT2" s="412"/>
      <c r="DU2" s="412"/>
      <c r="DV2" s="412"/>
      <c r="DW2" s="412"/>
      <c r="DX2" s="411" t="s">
        <v>145</v>
      </c>
      <c r="DY2" s="412"/>
      <c r="DZ2" s="412"/>
      <c r="EA2" s="412"/>
      <c r="EB2" s="412"/>
      <c r="EC2" s="412"/>
      <c r="ED2" s="412"/>
      <c r="EE2" s="412"/>
      <c r="EF2" s="412"/>
      <c r="EG2" s="412"/>
      <c r="EH2" s="412"/>
      <c r="EI2" s="412"/>
      <c r="EJ2" s="412"/>
      <c r="EK2" s="412"/>
      <c r="EL2" s="411" t="s">
        <v>146</v>
      </c>
      <c r="EM2" s="412"/>
      <c r="EN2" s="412"/>
      <c r="EO2" s="412"/>
      <c r="EP2" s="412"/>
      <c r="EQ2" s="412"/>
      <c r="ER2" s="412"/>
      <c r="ES2" s="412"/>
      <c r="ET2" s="412"/>
      <c r="EU2" s="412"/>
      <c r="EV2" s="412"/>
      <c r="EW2" s="412"/>
      <c r="EX2" s="412"/>
      <c r="EY2" s="412"/>
      <c r="EZ2" s="411" t="s">
        <v>147</v>
      </c>
      <c r="FA2" s="412"/>
      <c r="FB2" s="412"/>
      <c r="FC2" s="412"/>
      <c r="FD2" s="412"/>
      <c r="FE2" s="412"/>
      <c r="FF2" s="412"/>
      <c r="FG2" s="412"/>
      <c r="FH2" s="412"/>
      <c r="FI2" s="412"/>
      <c r="FJ2" s="412"/>
      <c r="FK2" s="412"/>
      <c r="FL2" s="412"/>
      <c r="FM2" s="412"/>
      <c r="FN2" s="413" t="s">
        <v>20</v>
      </c>
      <c r="FO2" s="412"/>
      <c r="FP2" s="412"/>
      <c r="FQ2" s="412"/>
      <c r="FR2" s="412"/>
      <c r="FS2" s="412"/>
      <c r="FT2" s="412"/>
      <c r="FU2" s="412"/>
    </row>
    <row r="3" spans="1:183">
      <c r="A3" s="351"/>
      <c r="B3" s="412" t="s">
        <v>25</v>
      </c>
      <c r="C3" s="412"/>
      <c r="D3" s="412" t="s">
        <v>26</v>
      </c>
      <c r="E3" s="412"/>
      <c r="F3" s="412" t="s">
        <v>27</v>
      </c>
      <c r="G3" s="412"/>
      <c r="H3" s="412" t="s">
        <v>25</v>
      </c>
      <c r="I3" s="412"/>
      <c r="J3" s="412" t="s">
        <v>26</v>
      </c>
      <c r="K3" s="412"/>
      <c r="L3" s="412" t="s">
        <v>27</v>
      </c>
      <c r="M3" s="412"/>
      <c r="N3" s="412" t="s">
        <v>20</v>
      </c>
      <c r="O3" s="412"/>
      <c r="P3" s="412" t="s">
        <v>25</v>
      </c>
      <c r="Q3" s="412"/>
      <c r="R3" s="412" t="s">
        <v>26</v>
      </c>
      <c r="S3" s="412"/>
      <c r="T3" s="412" t="s">
        <v>27</v>
      </c>
      <c r="U3" s="412"/>
      <c r="V3" s="412" t="s">
        <v>25</v>
      </c>
      <c r="W3" s="412"/>
      <c r="X3" s="412" t="s">
        <v>26</v>
      </c>
      <c r="Y3" s="412"/>
      <c r="Z3" s="412" t="s">
        <v>27</v>
      </c>
      <c r="AA3" s="412"/>
      <c r="AB3" s="412" t="s">
        <v>20</v>
      </c>
      <c r="AC3" s="412"/>
      <c r="AD3" s="412" t="s">
        <v>25</v>
      </c>
      <c r="AE3" s="412"/>
      <c r="AF3" s="412" t="s">
        <v>26</v>
      </c>
      <c r="AG3" s="412"/>
      <c r="AH3" s="412" t="s">
        <v>27</v>
      </c>
      <c r="AI3" s="412"/>
      <c r="AJ3" s="412" t="s">
        <v>25</v>
      </c>
      <c r="AK3" s="412"/>
      <c r="AL3" s="412" t="s">
        <v>26</v>
      </c>
      <c r="AM3" s="412"/>
      <c r="AN3" s="412" t="s">
        <v>27</v>
      </c>
      <c r="AO3" s="412"/>
      <c r="AP3" s="412" t="s">
        <v>20</v>
      </c>
      <c r="AQ3" s="412"/>
      <c r="AR3" s="412" t="s">
        <v>25</v>
      </c>
      <c r="AS3" s="412"/>
      <c r="AT3" s="412" t="s">
        <v>26</v>
      </c>
      <c r="AU3" s="412"/>
      <c r="AV3" s="412" t="s">
        <v>27</v>
      </c>
      <c r="AW3" s="412"/>
      <c r="AX3" s="351" t="s">
        <v>25</v>
      </c>
      <c r="AY3" s="351"/>
      <c r="AZ3" s="351" t="s">
        <v>26</v>
      </c>
      <c r="BA3" s="351"/>
      <c r="BB3" s="351" t="s">
        <v>27</v>
      </c>
      <c r="BC3" s="351"/>
      <c r="BD3" s="412" t="s">
        <v>20</v>
      </c>
      <c r="BE3" s="412"/>
      <c r="BF3" s="412" t="s">
        <v>25</v>
      </c>
      <c r="BG3" s="412"/>
      <c r="BH3" s="412" t="s">
        <v>26</v>
      </c>
      <c r="BI3" s="412"/>
      <c r="BJ3" s="412" t="s">
        <v>27</v>
      </c>
      <c r="BK3" s="412"/>
      <c r="BL3" s="351" t="s">
        <v>25</v>
      </c>
      <c r="BM3" s="351"/>
      <c r="BN3" s="351" t="s">
        <v>26</v>
      </c>
      <c r="BO3" s="351"/>
      <c r="BP3" s="351" t="s">
        <v>27</v>
      </c>
      <c r="BQ3" s="351"/>
      <c r="BR3" s="412" t="s">
        <v>20</v>
      </c>
      <c r="BS3" s="412"/>
      <c r="BT3" s="412" t="s">
        <v>25</v>
      </c>
      <c r="BU3" s="412"/>
      <c r="BV3" s="412" t="s">
        <v>26</v>
      </c>
      <c r="BW3" s="412"/>
      <c r="BX3" s="412" t="s">
        <v>27</v>
      </c>
      <c r="BY3" s="412"/>
      <c r="BZ3" s="351" t="s">
        <v>25</v>
      </c>
      <c r="CA3" s="351"/>
      <c r="CB3" s="351" t="s">
        <v>26</v>
      </c>
      <c r="CC3" s="351"/>
      <c r="CD3" s="351" t="s">
        <v>27</v>
      </c>
      <c r="CE3" s="351"/>
      <c r="CF3" s="412" t="s">
        <v>20</v>
      </c>
      <c r="CG3" s="412"/>
      <c r="CH3" s="412" t="s">
        <v>25</v>
      </c>
      <c r="CI3" s="412"/>
      <c r="CJ3" s="412" t="s">
        <v>26</v>
      </c>
      <c r="CK3" s="412"/>
      <c r="CL3" s="412" t="s">
        <v>27</v>
      </c>
      <c r="CM3" s="412"/>
      <c r="CN3" s="412" t="s">
        <v>25</v>
      </c>
      <c r="CO3" s="412"/>
      <c r="CP3" s="412" t="s">
        <v>26</v>
      </c>
      <c r="CQ3" s="412"/>
      <c r="CR3" s="412" t="s">
        <v>27</v>
      </c>
      <c r="CS3" s="412"/>
      <c r="CT3" s="412" t="s">
        <v>20</v>
      </c>
      <c r="CU3" s="412"/>
      <c r="CV3" s="412" t="s">
        <v>25</v>
      </c>
      <c r="CW3" s="412"/>
      <c r="CX3" s="412" t="s">
        <v>26</v>
      </c>
      <c r="CY3" s="412"/>
      <c r="CZ3" s="412" t="s">
        <v>27</v>
      </c>
      <c r="DA3" s="412"/>
      <c r="DB3" s="412" t="s">
        <v>25</v>
      </c>
      <c r="DC3" s="412"/>
      <c r="DD3" s="412" t="s">
        <v>26</v>
      </c>
      <c r="DE3" s="412"/>
      <c r="DF3" s="412" t="s">
        <v>27</v>
      </c>
      <c r="DG3" s="412"/>
      <c r="DH3" s="412" t="s">
        <v>20</v>
      </c>
      <c r="DI3" s="412"/>
      <c r="DJ3" s="412" t="s">
        <v>25</v>
      </c>
      <c r="DK3" s="412"/>
      <c r="DL3" s="412" t="s">
        <v>26</v>
      </c>
      <c r="DM3" s="412"/>
      <c r="DN3" s="412" t="s">
        <v>27</v>
      </c>
      <c r="DO3" s="412"/>
      <c r="DP3" s="412" t="s">
        <v>25</v>
      </c>
      <c r="DQ3" s="412"/>
      <c r="DR3" s="412" t="s">
        <v>26</v>
      </c>
      <c r="DS3" s="412"/>
      <c r="DT3" s="412" t="s">
        <v>27</v>
      </c>
      <c r="DU3" s="412"/>
      <c r="DV3" s="412" t="s">
        <v>20</v>
      </c>
      <c r="DW3" s="412"/>
      <c r="DX3" s="412" t="s">
        <v>25</v>
      </c>
      <c r="DY3" s="412"/>
      <c r="DZ3" s="412" t="s">
        <v>26</v>
      </c>
      <c r="EA3" s="412"/>
      <c r="EB3" s="412" t="s">
        <v>27</v>
      </c>
      <c r="EC3" s="412"/>
      <c r="ED3" s="412" t="s">
        <v>25</v>
      </c>
      <c r="EE3" s="412"/>
      <c r="EF3" s="412" t="s">
        <v>26</v>
      </c>
      <c r="EG3" s="412"/>
      <c r="EH3" s="412" t="s">
        <v>27</v>
      </c>
      <c r="EI3" s="412"/>
      <c r="EJ3" s="412" t="s">
        <v>20</v>
      </c>
      <c r="EK3" s="412"/>
      <c r="EL3" s="412" t="s">
        <v>25</v>
      </c>
      <c r="EM3" s="412"/>
      <c r="EN3" s="412" t="s">
        <v>26</v>
      </c>
      <c r="EO3" s="412"/>
      <c r="EP3" s="412" t="s">
        <v>27</v>
      </c>
      <c r="EQ3" s="412"/>
      <c r="ER3" s="412" t="s">
        <v>25</v>
      </c>
      <c r="ES3" s="412"/>
      <c r="ET3" s="412" t="s">
        <v>26</v>
      </c>
      <c r="EU3" s="412"/>
      <c r="EV3" s="412" t="s">
        <v>27</v>
      </c>
      <c r="EW3" s="412"/>
      <c r="EX3" s="412" t="s">
        <v>20</v>
      </c>
      <c r="EY3" s="412"/>
      <c r="EZ3" s="412" t="s">
        <v>25</v>
      </c>
      <c r="FA3" s="412"/>
      <c r="FB3" s="412" t="s">
        <v>26</v>
      </c>
      <c r="FC3" s="412"/>
      <c r="FD3" s="412" t="s">
        <v>27</v>
      </c>
      <c r="FE3" s="412"/>
      <c r="FF3" s="412" t="s">
        <v>25</v>
      </c>
      <c r="FG3" s="412"/>
      <c r="FH3" s="412" t="s">
        <v>26</v>
      </c>
      <c r="FI3" s="412"/>
      <c r="FJ3" s="412" t="s">
        <v>27</v>
      </c>
      <c r="FK3" s="412"/>
      <c r="FL3" s="412" t="s">
        <v>20</v>
      </c>
      <c r="FM3" s="412"/>
      <c r="FN3" s="412" t="s">
        <v>25</v>
      </c>
      <c r="FO3" s="412"/>
      <c r="FP3" s="412" t="s">
        <v>26</v>
      </c>
      <c r="FQ3" s="412"/>
      <c r="FR3" s="412" t="s">
        <v>27</v>
      </c>
      <c r="FS3" s="412"/>
      <c r="FT3" s="412" t="s">
        <v>20</v>
      </c>
      <c r="FU3" s="412"/>
    </row>
    <row r="4" spans="1:183" ht="36">
      <c r="A4" s="175" t="s">
        <v>29</v>
      </c>
      <c r="B4" s="175" t="s">
        <v>30</v>
      </c>
      <c r="C4" s="175" t="s">
        <v>31</v>
      </c>
      <c r="D4" s="175" t="s">
        <v>30</v>
      </c>
      <c r="E4" s="175" t="s">
        <v>31</v>
      </c>
      <c r="F4" s="175" t="s">
        <v>30</v>
      </c>
      <c r="G4" s="175" t="s">
        <v>31</v>
      </c>
      <c r="H4" s="175" t="s">
        <v>30</v>
      </c>
      <c r="I4" s="175" t="s">
        <v>31</v>
      </c>
      <c r="J4" s="175" t="s">
        <v>30</v>
      </c>
      <c r="K4" s="175" t="s">
        <v>31</v>
      </c>
      <c r="L4" s="175" t="s">
        <v>30</v>
      </c>
      <c r="M4" s="175" t="s">
        <v>31</v>
      </c>
      <c r="N4" s="175" t="s">
        <v>30</v>
      </c>
      <c r="O4" s="175" t="s">
        <v>31</v>
      </c>
      <c r="P4" s="175" t="s">
        <v>30</v>
      </c>
      <c r="Q4" s="175" t="s">
        <v>31</v>
      </c>
      <c r="R4" s="175" t="s">
        <v>30</v>
      </c>
      <c r="S4" s="175" t="s">
        <v>31</v>
      </c>
      <c r="T4" s="175" t="s">
        <v>30</v>
      </c>
      <c r="U4" s="175" t="s">
        <v>31</v>
      </c>
      <c r="V4" s="175" t="s">
        <v>30</v>
      </c>
      <c r="W4" s="175" t="s">
        <v>31</v>
      </c>
      <c r="X4" s="175" t="s">
        <v>30</v>
      </c>
      <c r="Y4" s="175" t="s">
        <v>31</v>
      </c>
      <c r="Z4" s="175" t="s">
        <v>30</v>
      </c>
      <c r="AA4" s="175" t="s">
        <v>31</v>
      </c>
      <c r="AB4" s="175" t="s">
        <v>30</v>
      </c>
      <c r="AC4" s="175" t="s">
        <v>31</v>
      </c>
      <c r="AD4" s="175" t="s">
        <v>30</v>
      </c>
      <c r="AE4" s="175" t="s">
        <v>31</v>
      </c>
      <c r="AF4" s="175" t="s">
        <v>30</v>
      </c>
      <c r="AG4" s="175" t="s">
        <v>31</v>
      </c>
      <c r="AH4" s="175" t="s">
        <v>30</v>
      </c>
      <c r="AI4" s="175" t="s">
        <v>31</v>
      </c>
      <c r="AJ4" s="175" t="s">
        <v>30</v>
      </c>
      <c r="AK4" s="175" t="s">
        <v>31</v>
      </c>
      <c r="AL4" s="175" t="s">
        <v>30</v>
      </c>
      <c r="AM4" s="175" t="s">
        <v>31</v>
      </c>
      <c r="AN4" s="175" t="s">
        <v>30</v>
      </c>
      <c r="AO4" s="175" t="s">
        <v>31</v>
      </c>
      <c r="AP4" s="175" t="s">
        <v>30</v>
      </c>
      <c r="AQ4" s="175" t="s">
        <v>31</v>
      </c>
      <c r="AR4" s="175" t="s">
        <v>30</v>
      </c>
      <c r="AS4" s="175" t="s">
        <v>31</v>
      </c>
      <c r="AT4" s="175" t="s">
        <v>30</v>
      </c>
      <c r="AU4" s="175" t="s">
        <v>31</v>
      </c>
      <c r="AV4" s="175" t="s">
        <v>30</v>
      </c>
      <c r="AW4" s="175" t="s">
        <v>31</v>
      </c>
      <c r="AX4" s="175" t="s">
        <v>30</v>
      </c>
      <c r="AY4" s="175" t="s">
        <v>31</v>
      </c>
      <c r="AZ4" s="175" t="s">
        <v>30</v>
      </c>
      <c r="BA4" s="175" t="s">
        <v>31</v>
      </c>
      <c r="BB4" s="175" t="s">
        <v>30</v>
      </c>
      <c r="BC4" s="175" t="s">
        <v>31</v>
      </c>
      <c r="BD4" s="175" t="s">
        <v>30</v>
      </c>
      <c r="BE4" s="175" t="s">
        <v>31</v>
      </c>
      <c r="BF4" s="175" t="s">
        <v>30</v>
      </c>
      <c r="BG4" s="175" t="s">
        <v>31</v>
      </c>
      <c r="BH4" s="175" t="s">
        <v>30</v>
      </c>
      <c r="BI4" s="175" t="s">
        <v>31</v>
      </c>
      <c r="BJ4" s="175" t="s">
        <v>30</v>
      </c>
      <c r="BK4" s="175" t="s">
        <v>31</v>
      </c>
      <c r="BL4" s="175" t="s">
        <v>30</v>
      </c>
      <c r="BM4" s="175" t="s">
        <v>31</v>
      </c>
      <c r="BN4" s="175" t="s">
        <v>30</v>
      </c>
      <c r="BO4" s="175" t="s">
        <v>31</v>
      </c>
      <c r="BP4" s="175" t="s">
        <v>30</v>
      </c>
      <c r="BQ4" s="175" t="s">
        <v>31</v>
      </c>
      <c r="BR4" s="175" t="s">
        <v>30</v>
      </c>
      <c r="BS4" s="175" t="s">
        <v>31</v>
      </c>
      <c r="BT4" s="175" t="s">
        <v>30</v>
      </c>
      <c r="BU4" s="175" t="s">
        <v>31</v>
      </c>
      <c r="BV4" s="175" t="s">
        <v>30</v>
      </c>
      <c r="BW4" s="175" t="s">
        <v>31</v>
      </c>
      <c r="BX4" s="175" t="s">
        <v>30</v>
      </c>
      <c r="BY4" s="175" t="s">
        <v>31</v>
      </c>
      <c r="BZ4" s="175" t="s">
        <v>30</v>
      </c>
      <c r="CA4" s="175" t="s">
        <v>31</v>
      </c>
      <c r="CB4" s="175" t="s">
        <v>30</v>
      </c>
      <c r="CC4" s="175" t="s">
        <v>31</v>
      </c>
      <c r="CD4" s="175" t="s">
        <v>30</v>
      </c>
      <c r="CE4" s="175" t="s">
        <v>31</v>
      </c>
      <c r="CF4" s="175" t="s">
        <v>30</v>
      </c>
      <c r="CG4" s="175" t="s">
        <v>31</v>
      </c>
      <c r="CH4" s="175" t="s">
        <v>30</v>
      </c>
      <c r="CI4" s="175" t="s">
        <v>31</v>
      </c>
      <c r="CJ4" s="175" t="s">
        <v>30</v>
      </c>
      <c r="CK4" s="175" t="s">
        <v>31</v>
      </c>
      <c r="CL4" s="175" t="s">
        <v>30</v>
      </c>
      <c r="CM4" s="175" t="s">
        <v>31</v>
      </c>
      <c r="CN4" s="175" t="s">
        <v>30</v>
      </c>
      <c r="CO4" s="175" t="s">
        <v>31</v>
      </c>
      <c r="CP4" s="175" t="s">
        <v>30</v>
      </c>
      <c r="CQ4" s="175" t="s">
        <v>31</v>
      </c>
      <c r="CR4" s="175" t="s">
        <v>30</v>
      </c>
      <c r="CS4" s="175" t="s">
        <v>31</v>
      </c>
      <c r="CT4" s="175" t="s">
        <v>30</v>
      </c>
      <c r="CU4" s="175" t="s">
        <v>31</v>
      </c>
      <c r="CV4" s="175" t="s">
        <v>30</v>
      </c>
      <c r="CW4" s="175" t="s">
        <v>31</v>
      </c>
      <c r="CX4" s="175" t="s">
        <v>30</v>
      </c>
      <c r="CY4" s="175" t="s">
        <v>31</v>
      </c>
      <c r="CZ4" s="175" t="s">
        <v>30</v>
      </c>
      <c r="DA4" s="175" t="s">
        <v>31</v>
      </c>
      <c r="DB4" s="175" t="s">
        <v>30</v>
      </c>
      <c r="DC4" s="175" t="s">
        <v>31</v>
      </c>
      <c r="DD4" s="175" t="s">
        <v>30</v>
      </c>
      <c r="DE4" s="175" t="s">
        <v>31</v>
      </c>
      <c r="DF4" s="175" t="s">
        <v>30</v>
      </c>
      <c r="DG4" s="175" t="s">
        <v>31</v>
      </c>
      <c r="DH4" s="175" t="s">
        <v>30</v>
      </c>
      <c r="DI4" s="175" t="s">
        <v>31</v>
      </c>
      <c r="DJ4" s="175" t="s">
        <v>30</v>
      </c>
      <c r="DK4" s="175" t="s">
        <v>31</v>
      </c>
      <c r="DL4" s="175" t="s">
        <v>30</v>
      </c>
      <c r="DM4" s="175" t="s">
        <v>31</v>
      </c>
      <c r="DN4" s="175" t="s">
        <v>30</v>
      </c>
      <c r="DO4" s="175" t="s">
        <v>31</v>
      </c>
      <c r="DP4" s="175" t="s">
        <v>30</v>
      </c>
      <c r="DQ4" s="175" t="s">
        <v>31</v>
      </c>
      <c r="DR4" s="175" t="s">
        <v>30</v>
      </c>
      <c r="DS4" s="175" t="s">
        <v>31</v>
      </c>
      <c r="DT4" s="175" t="s">
        <v>30</v>
      </c>
      <c r="DU4" s="175" t="s">
        <v>31</v>
      </c>
      <c r="DV4" s="175" t="s">
        <v>30</v>
      </c>
      <c r="DW4" s="175" t="s">
        <v>31</v>
      </c>
      <c r="DX4" s="175" t="s">
        <v>30</v>
      </c>
      <c r="DY4" s="175" t="s">
        <v>31</v>
      </c>
      <c r="DZ4" s="175" t="s">
        <v>30</v>
      </c>
      <c r="EA4" s="175" t="s">
        <v>31</v>
      </c>
      <c r="EB4" s="175" t="s">
        <v>30</v>
      </c>
      <c r="EC4" s="175" t="s">
        <v>31</v>
      </c>
      <c r="ED4" s="175" t="s">
        <v>30</v>
      </c>
      <c r="EE4" s="175" t="s">
        <v>31</v>
      </c>
      <c r="EF4" s="175" t="s">
        <v>30</v>
      </c>
      <c r="EG4" s="175" t="s">
        <v>31</v>
      </c>
      <c r="EH4" s="175" t="s">
        <v>30</v>
      </c>
      <c r="EI4" s="175" t="s">
        <v>31</v>
      </c>
      <c r="EJ4" s="175" t="s">
        <v>30</v>
      </c>
      <c r="EK4" s="175" t="s">
        <v>31</v>
      </c>
      <c r="EL4" s="175" t="s">
        <v>30</v>
      </c>
      <c r="EM4" s="175" t="s">
        <v>31</v>
      </c>
      <c r="EN4" s="175" t="s">
        <v>30</v>
      </c>
      <c r="EO4" s="175" t="s">
        <v>31</v>
      </c>
      <c r="EP4" s="175" t="s">
        <v>30</v>
      </c>
      <c r="EQ4" s="175" t="s">
        <v>31</v>
      </c>
      <c r="ER4" s="175" t="s">
        <v>30</v>
      </c>
      <c r="ES4" s="175" t="s">
        <v>31</v>
      </c>
      <c r="ET4" s="175" t="s">
        <v>30</v>
      </c>
      <c r="EU4" s="175" t="s">
        <v>31</v>
      </c>
      <c r="EV4" s="175" t="s">
        <v>30</v>
      </c>
      <c r="EW4" s="175" t="s">
        <v>31</v>
      </c>
      <c r="EX4" s="175" t="s">
        <v>30</v>
      </c>
      <c r="EY4" s="175" t="s">
        <v>31</v>
      </c>
      <c r="EZ4" s="175" t="s">
        <v>30</v>
      </c>
      <c r="FA4" s="175" t="s">
        <v>31</v>
      </c>
      <c r="FB4" s="175" t="s">
        <v>30</v>
      </c>
      <c r="FC4" s="175" t="s">
        <v>31</v>
      </c>
      <c r="FD4" s="175" t="s">
        <v>30</v>
      </c>
      <c r="FE4" s="175" t="s">
        <v>31</v>
      </c>
      <c r="FF4" s="175" t="s">
        <v>30</v>
      </c>
      <c r="FG4" s="175" t="s">
        <v>31</v>
      </c>
      <c r="FH4" s="175" t="s">
        <v>30</v>
      </c>
      <c r="FI4" s="175" t="s">
        <v>31</v>
      </c>
      <c r="FJ4" s="175" t="s">
        <v>30</v>
      </c>
      <c r="FK4" s="175" t="s">
        <v>31</v>
      </c>
      <c r="FL4" s="175" t="s">
        <v>30</v>
      </c>
      <c r="FM4" s="175" t="s">
        <v>31</v>
      </c>
      <c r="FN4" s="175" t="s">
        <v>30</v>
      </c>
      <c r="FO4" s="175" t="s">
        <v>31</v>
      </c>
      <c r="FP4" s="175" t="s">
        <v>30</v>
      </c>
      <c r="FQ4" s="175" t="s">
        <v>31</v>
      </c>
      <c r="FR4" s="175" t="s">
        <v>30</v>
      </c>
      <c r="FS4" s="175" t="s">
        <v>31</v>
      </c>
      <c r="FT4" s="175" t="s">
        <v>30</v>
      </c>
      <c r="FU4" s="175" t="s">
        <v>31</v>
      </c>
      <c r="FW4" s="234" t="s">
        <v>185</v>
      </c>
      <c r="FX4" s="233" t="s">
        <v>25</v>
      </c>
      <c r="FY4" s="233" t="s">
        <v>26</v>
      </c>
      <c r="FZ4" s="233" t="s">
        <v>27</v>
      </c>
      <c r="GA4" s="233" t="s">
        <v>20</v>
      </c>
    </row>
    <row r="5" spans="1:183">
      <c r="A5" s="146" t="s">
        <v>17</v>
      </c>
      <c r="B5" s="171">
        <v>0</v>
      </c>
      <c r="C5" s="171">
        <v>0</v>
      </c>
      <c r="D5" s="171">
        <v>0</v>
      </c>
      <c r="E5" s="171">
        <v>0</v>
      </c>
      <c r="F5" s="171">
        <v>0</v>
      </c>
      <c r="G5" s="171">
        <v>0</v>
      </c>
      <c r="H5" s="171">
        <v>0</v>
      </c>
      <c r="I5" s="171">
        <v>0</v>
      </c>
      <c r="J5" s="171">
        <v>0</v>
      </c>
      <c r="K5" s="171">
        <v>0</v>
      </c>
      <c r="L5" s="171">
        <v>0</v>
      </c>
      <c r="M5" s="171">
        <v>0</v>
      </c>
      <c r="N5" s="171">
        <v>0</v>
      </c>
      <c r="O5" s="171">
        <v>0</v>
      </c>
      <c r="P5" s="171">
        <v>0</v>
      </c>
      <c r="Q5" s="171">
        <v>0</v>
      </c>
      <c r="R5" s="171">
        <v>0</v>
      </c>
      <c r="S5" s="171">
        <v>0</v>
      </c>
      <c r="T5" s="171">
        <v>0</v>
      </c>
      <c r="U5" s="171">
        <v>0</v>
      </c>
      <c r="V5" s="171">
        <v>0</v>
      </c>
      <c r="W5" s="171">
        <v>0</v>
      </c>
      <c r="X5" s="171">
        <v>0</v>
      </c>
      <c r="Y5" s="171">
        <v>0</v>
      </c>
      <c r="Z5" s="171">
        <v>0</v>
      </c>
      <c r="AA5" s="171">
        <v>0</v>
      </c>
      <c r="AB5" s="171">
        <v>0</v>
      </c>
      <c r="AC5" s="171">
        <v>0</v>
      </c>
      <c r="AD5" s="171">
        <v>0</v>
      </c>
      <c r="AE5" s="171">
        <v>0</v>
      </c>
      <c r="AF5" s="171">
        <v>0</v>
      </c>
      <c r="AG5" s="171">
        <v>0</v>
      </c>
      <c r="AH5" s="171">
        <v>0</v>
      </c>
      <c r="AI5" s="171">
        <v>0</v>
      </c>
      <c r="AJ5" s="171">
        <v>0</v>
      </c>
      <c r="AK5" s="171">
        <v>0</v>
      </c>
      <c r="AL5" s="171">
        <v>0</v>
      </c>
      <c r="AM5" s="171">
        <v>0</v>
      </c>
      <c r="AN5" s="171">
        <v>0</v>
      </c>
      <c r="AO5" s="171">
        <v>0</v>
      </c>
      <c r="AP5" s="171">
        <v>0</v>
      </c>
      <c r="AQ5" s="171">
        <v>0</v>
      </c>
      <c r="AR5" s="171">
        <v>0</v>
      </c>
      <c r="AS5" s="171">
        <v>0</v>
      </c>
      <c r="AT5" s="171">
        <v>0</v>
      </c>
      <c r="AU5" s="171">
        <v>0</v>
      </c>
      <c r="AV5" s="171">
        <v>0</v>
      </c>
      <c r="AW5" s="171">
        <v>0</v>
      </c>
      <c r="AX5" s="171">
        <v>0</v>
      </c>
      <c r="AY5" s="171">
        <v>0</v>
      </c>
      <c r="AZ5" s="171">
        <v>0</v>
      </c>
      <c r="BA5" s="171">
        <v>0</v>
      </c>
      <c r="BB5" s="171">
        <v>0</v>
      </c>
      <c r="BC5" s="171">
        <v>0</v>
      </c>
      <c r="BD5" s="171">
        <v>0</v>
      </c>
      <c r="BE5" s="171">
        <v>0</v>
      </c>
      <c r="BF5" s="171">
        <v>14.28</v>
      </c>
      <c r="BG5" s="171">
        <v>18.421199999999999</v>
      </c>
      <c r="BH5" s="171">
        <v>0</v>
      </c>
      <c r="BI5" s="171">
        <v>0</v>
      </c>
      <c r="BJ5" s="171">
        <v>0</v>
      </c>
      <c r="BK5" s="171">
        <v>0</v>
      </c>
      <c r="BL5" s="171">
        <v>0</v>
      </c>
      <c r="BM5" s="171">
        <v>0</v>
      </c>
      <c r="BN5" s="171">
        <v>0</v>
      </c>
      <c r="BO5" s="171">
        <v>0</v>
      </c>
      <c r="BP5" s="171">
        <v>0</v>
      </c>
      <c r="BQ5" s="171">
        <v>0</v>
      </c>
      <c r="BR5" s="171">
        <v>14.28</v>
      </c>
      <c r="BS5" s="171">
        <v>18.421199999999999</v>
      </c>
      <c r="BT5" s="171">
        <v>0</v>
      </c>
      <c r="BU5" s="171">
        <v>0</v>
      </c>
      <c r="BV5" s="171">
        <v>0</v>
      </c>
      <c r="BW5" s="171">
        <v>0</v>
      </c>
      <c r="BX5" s="171">
        <v>0</v>
      </c>
      <c r="BY5" s="171">
        <v>0</v>
      </c>
      <c r="BZ5" s="171">
        <v>0</v>
      </c>
      <c r="CA5" s="171">
        <v>0</v>
      </c>
      <c r="CB5" s="171">
        <v>0</v>
      </c>
      <c r="CC5" s="171">
        <v>0</v>
      </c>
      <c r="CD5" s="171">
        <v>0</v>
      </c>
      <c r="CE5" s="171">
        <v>0</v>
      </c>
      <c r="CF5" s="171">
        <v>0</v>
      </c>
      <c r="CG5" s="171">
        <v>0</v>
      </c>
      <c r="CH5" s="171">
        <v>0</v>
      </c>
      <c r="CI5" s="171">
        <v>0</v>
      </c>
      <c r="CJ5" s="171">
        <v>0</v>
      </c>
      <c r="CK5" s="171">
        <v>0</v>
      </c>
      <c r="CL5" s="171">
        <v>0</v>
      </c>
      <c r="CM5" s="171">
        <v>0</v>
      </c>
      <c r="CN5" s="171">
        <v>0</v>
      </c>
      <c r="CO5" s="171">
        <v>0</v>
      </c>
      <c r="CP5" s="171">
        <v>0</v>
      </c>
      <c r="CQ5" s="171">
        <v>0</v>
      </c>
      <c r="CR5" s="171">
        <v>0</v>
      </c>
      <c r="CS5" s="171">
        <v>0</v>
      </c>
      <c r="CT5" s="171">
        <v>0</v>
      </c>
      <c r="CU5" s="171">
        <v>0</v>
      </c>
      <c r="CV5" s="171">
        <v>1.7</v>
      </c>
      <c r="CW5" s="171">
        <v>2.1930000000000001</v>
      </c>
      <c r="CX5" s="171">
        <v>0</v>
      </c>
      <c r="CY5" s="171">
        <v>0</v>
      </c>
      <c r="CZ5" s="171">
        <v>0</v>
      </c>
      <c r="DA5" s="171">
        <v>0</v>
      </c>
      <c r="DB5" s="171">
        <v>0</v>
      </c>
      <c r="DC5" s="171">
        <v>0</v>
      </c>
      <c r="DD5" s="171">
        <v>0</v>
      </c>
      <c r="DE5" s="171">
        <v>0</v>
      </c>
      <c r="DF5" s="171">
        <v>0</v>
      </c>
      <c r="DG5" s="171">
        <v>0</v>
      </c>
      <c r="DH5" s="171">
        <v>1.7</v>
      </c>
      <c r="DI5" s="171">
        <v>2.1930000000000001</v>
      </c>
      <c r="DJ5" s="171">
        <v>0</v>
      </c>
      <c r="DK5" s="171">
        <v>0</v>
      </c>
      <c r="DL5" s="171">
        <v>0</v>
      </c>
      <c r="DM5" s="171">
        <v>0</v>
      </c>
      <c r="DN5" s="171">
        <v>0</v>
      </c>
      <c r="DO5" s="171">
        <v>0</v>
      </c>
      <c r="DP5" s="171">
        <v>0</v>
      </c>
      <c r="DQ5" s="171">
        <v>0</v>
      </c>
      <c r="DR5" s="171">
        <v>0</v>
      </c>
      <c r="DS5" s="171">
        <v>0</v>
      </c>
      <c r="DT5" s="171">
        <v>0</v>
      </c>
      <c r="DU5" s="171">
        <v>0</v>
      </c>
      <c r="DV5" s="171">
        <v>0</v>
      </c>
      <c r="DW5" s="171">
        <v>0</v>
      </c>
      <c r="DX5" s="171">
        <v>0</v>
      </c>
      <c r="DY5" s="171">
        <v>0</v>
      </c>
      <c r="DZ5" s="171">
        <v>0</v>
      </c>
      <c r="EA5" s="171">
        <v>0</v>
      </c>
      <c r="EB5" s="171">
        <v>0</v>
      </c>
      <c r="EC5" s="171">
        <v>0</v>
      </c>
      <c r="ED5" s="171">
        <v>0</v>
      </c>
      <c r="EE5" s="171">
        <v>0</v>
      </c>
      <c r="EF5" s="171">
        <v>0</v>
      </c>
      <c r="EG5" s="171">
        <v>0</v>
      </c>
      <c r="EH5" s="171">
        <v>0</v>
      </c>
      <c r="EI5" s="171">
        <v>0</v>
      </c>
      <c r="EJ5" s="171">
        <v>0</v>
      </c>
      <c r="EK5" s="171">
        <v>0</v>
      </c>
      <c r="EL5" s="171">
        <v>0</v>
      </c>
      <c r="EM5" s="171">
        <v>0</v>
      </c>
      <c r="EN5" s="171">
        <v>0</v>
      </c>
      <c r="EO5" s="171">
        <v>0</v>
      </c>
      <c r="EP5" s="171">
        <v>0</v>
      </c>
      <c r="EQ5" s="171">
        <v>0</v>
      </c>
      <c r="ER5" s="171">
        <v>0</v>
      </c>
      <c r="ES5" s="171">
        <v>0</v>
      </c>
      <c r="ET5" s="171">
        <v>0</v>
      </c>
      <c r="EU5" s="171">
        <v>0</v>
      </c>
      <c r="EV5" s="171">
        <v>0</v>
      </c>
      <c r="EW5" s="171">
        <v>0</v>
      </c>
      <c r="EX5" s="171">
        <v>0</v>
      </c>
      <c r="EY5" s="171">
        <v>0</v>
      </c>
      <c r="EZ5" s="171">
        <v>14.96</v>
      </c>
      <c r="FA5" s="171">
        <v>24.139456000000003</v>
      </c>
      <c r="FB5" s="171">
        <v>0</v>
      </c>
      <c r="FC5" s="171">
        <v>0</v>
      </c>
      <c r="FD5" s="171">
        <v>0</v>
      </c>
      <c r="FE5" s="171">
        <v>0</v>
      </c>
      <c r="FF5" s="171">
        <v>0</v>
      </c>
      <c r="FG5" s="171">
        <v>0</v>
      </c>
      <c r="FH5" s="171">
        <v>0</v>
      </c>
      <c r="FI5" s="171">
        <v>0</v>
      </c>
      <c r="FJ5" s="171">
        <v>0</v>
      </c>
      <c r="FK5" s="171">
        <v>0</v>
      </c>
      <c r="FL5" s="171">
        <v>14.96</v>
      </c>
      <c r="FM5" s="171">
        <v>24.139456000000003</v>
      </c>
      <c r="FN5" s="171">
        <f>B5+P5+AD5+AR5+BF5+BT5+CH5+CV5+DJ5+DX5+EL5+EZ5+(H5+V5+AJ5+AX5+BL5+BZ5+CN5+DB5+DP5+ED5+ER5+FF5)</f>
        <v>30.939999999999998</v>
      </c>
      <c r="FO5" s="171">
        <f t="shared" ref="FO5:FO12" si="0">C5+Q5+AE5+AS5+BG5+BU5+CI5+CW5+DK5+DY5+EM5+FA5+(I5+W5+AK5+AY5+BM5+CA5+CO5+DC5+DQ5+EE5+ES5+FG5)</f>
        <v>44.753656000000007</v>
      </c>
      <c r="FP5" s="171">
        <f t="shared" ref="FP5:FP12" si="1">D5+R5+AF5+AT5+BH5+BV5+CJ5+CX5+DL5+DZ5+EN5+FB5+(J5+X5+AL5+AZ5+BN5+CB5+CP5+DD5+DR5+EF5+ET5+FH5)</f>
        <v>0</v>
      </c>
      <c r="FQ5" s="171">
        <f t="shared" ref="FQ5:FQ12" si="2">E5+S5+AG5+AU5+BI5+BW5+CK5+CY5+DM5+EA5+EO5+FC5+(K5+Y5+AM5+BA5+BO5+CC5+CQ5+DE5+DS5+EG5+EU5+FI5)</f>
        <v>0</v>
      </c>
      <c r="FR5" s="171">
        <f t="shared" ref="FR5:FR12" si="3">F5+T5+AH5+AV5+BJ5+BX5+CL5+CZ5+DN5+EB5+EP5+FD5+(L5+Z5+AN5+BB5+BP5+CD5+CR5+DF5+DT5+EH5+EV5+FJ5)</f>
        <v>0</v>
      </c>
      <c r="FS5" s="171">
        <f t="shared" ref="FS5:FS12" si="4">G5+U5+AI5+AW5+BK5+BY5+CM5+DA5+DO5+EC5+EQ5+FE5+(M5+AA5+AO5+BC5+BQ5+CE5+CS5+DG5+DU5+EI5+EW5+FK5)</f>
        <v>0</v>
      </c>
      <c r="FT5" s="171">
        <f>FN5+FP5+FR5</f>
        <v>30.939999999999998</v>
      </c>
      <c r="FU5" s="171">
        <f>FO5+FQ5+FS5</f>
        <v>44.753656000000007</v>
      </c>
      <c r="FW5" s="135" t="s">
        <v>17</v>
      </c>
      <c r="FX5" s="44">
        <f>IF(FN5&lt;=0,0,FO5*10^5/FN5)</f>
        <v>144646.59340659343</v>
      </c>
      <c r="FY5" s="44">
        <f>IF(FP5&lt;=0,0,FQ5*10^5/FP5)</f>
        <v>0</v>
      </c>
      <c r="FZ5" s="44">
        <f>IF(FR5&lt;=0,0,FS5*10^5/FR5)</f>
        <v>0</v>
      </c>
      <c r="GA5" s="44">
        <f>IF(FT5&lt;=0,0,FU5*10^5/FT5)</f>
        <v>144646.59340659343</v>
      </c>
    </row>
    <row r="6" spans="1:183">
      <c r="A6" s="146" t="s">
        <v>11</v>
      </c>
      <c r="B6" s="171">
        <v>830.67</v>
      </c>
      <c r="C6" s="171">
        <v>631.95298259999993</v>
      </c>
      <c r="D6" s="171">
        <v>1578.04</v>
      </c>
      <c r="E6" s="171">
        <v>1132.1039649000006</v>
      </c>
      <c r="F6" s="171">
        <v>1284.1500000000001</v>
      </c>
      <c r="G6" s="171">
        <v>927.39074019999998</v>
      </c>
      <c r="H6" s="171">
        <v>0</v>
      </c>
      <c r="I6" s="171">
        <v>0</v>
      </c>
      <c r="J6" s="171">
        <v>0</v>
      </c>
      <c r="K6" s="171">
        <v>0</v>
      </c>
      <c r="L6" s="171">
        <v>0</v>
      </c>
      <c r="M6" s="171">
        <v>0</v>
      </c>
      <c r="N6" s="171">
        <v>3692.86</v>
      </c>
      <c r="O6" s="171">
        <v>2691.4476877000006</v>
      </c>
      <c r="P6" s="171">
        <v>1045.8899999999999</v>
      </c>
      <c r="Q6" s="171">
        <v>841.12019400000008</v>
      </c>
      <c r="R6" s="171">
        <v>871.68999999999994</v>
      </c>
      <c r="S6" s="171">
        <v>660.40367800000001</v>
      </c>
      <c r="T6" s="171">
        <v>1489.6500000000005</v>
      </c>
      <c r="U6" s="171">
        <v>1108.7520794000002</v>
      </c>
      <c r="V6" s="171">
        <v>0</v>
      </c>
      <c r="W6" s="171">
        <v>0</v>
      </c>
      <c r="X6" s="171">
        <v>0</v>
      </c>
      <c r="Y6" s="171">
        <v>0</v>
      </c>
      <c r="Z6" s="171">
        <v>0</v>
      </c>
      <c r="AA6" s="171">
        <v>0</v>
      </c>
      <c r="AB6" s="171">
        <v>3407.2300000000005</v>
      </c>
      <c r="AC6" s="171">
        <v>2610.2759514000004</v>
      </c>
      <c r="AD6" s="171">
        <v>694.55999999999972</v>
      </c>
      <c r="AE6" s="171">
        <v>559.68712600000003</v>
      </c>
      <c r="AF6" s="171">
        <v>1121.6999999999996</v>
      </c>
      <c r="AG6" s="171">
        <v>914.77790040000002</v>
      </c>
      <c r="AH6" s="171">
        <v>4161.3600000000006</v>
      </c>
      <c r="AI6" s="171">
        <v>3333.7532115000008</v>
      </c>
      <c r="AJ6" s="171">
        <v>0</v>
      </c>
      <c r="AK6" s="171">
        <v>0</v>
      </c>
      <c r="AL6" s="171">
        <v>0</v>
      </c>
      <c r="AM6" s="171">
        <v>0</v>
      </c>
      <c r="AN6" s="171">
        <v>0</v>
      </c>
      <c r="AO6" s="171">
        <v>0</v>
      </c>
      <c r="AP6" s="171">
        <v>5977.62</v>
      </c>
      <c r="AQ6" s="171">
        <v>4808.2182379000005</v>
      </c>
      <c r="AR6" s="171">
        <v>850.43999999999983</v>
      </c>
      <c r="AS6" s="171">
        <v>723.37609929999974</v>
      </c>
      <c r="AT6" s="171">
        <v>256.07000000000005</v>
      </c>
      <c r="AU6" s="171">
        <v>210.56816499999999</v>
      </c>
      <c r="AV6" s="171">
        <v>3927.9600000000005</v>
      </c>
      <c r="AW6" s="171">
        <v>3385.7891579999996</v>
      </c>
      <c r="AX6" s="171">
        <v>0</v>
      </c>
      <c r="AY6" s="171">
        <v>0</v>
      </c>
      <c r="AZ6" s="171">
        <v>0</v>
      </c>
      <c r="BA6" s="171">
        <v>0</v>
      </c>
      <c r="BB6" s="171">
        <v>0</v>
      </c>
      <c r="BC6" s="171">
        <v>0</v>
      </c>
      <c r="BD6" s="171">
        <v>5034.47</v>
      </c>
      <c r="BE6" s="171">
        <v>4319.7334222999998</v>
      </c>
      <c r="BF6" s="171">
        <v>1997.9600000000003</v>
      </c>
      <c r="BG6" s="171">
        <v>1693.7630246999997</v>
      </c>
      <c r="BH6" s="171">
        <v>136.28</v>
      </c>
      <c r="BI6" s="171">
        <v>126.1223952</v>
      </c>
      <c r="BJ6" s="171">
        <v>2446.829999999999</v>
      </c>
      <c r="BK6" s="171">
        <v>2394.3221042000009</v>
      </c>
      <c r="BL6" s="171">
        <v>0</v>
      </c>
      <c r="BM6" s="171">
        <v>0</v>
      </c>
      <c r="BN6" s="171">
        <v>0</v>
      </c>
      <c r="BO6" s="171">
        <v>0</v>
      </c>
      <c r="BP6" s="171">
        <v>0</v>
      </c>
      <c r="BQ6" s="171">
        <v>0</v>
      </c>
      <c r="BR6" s="171">
        <v>4581.07</v>
      </c>
      <c r="BS6" s="171">
        <v>4214.2075241000002</v>
      </c>
      <c r="BT6" s="171">
        <v>1380.5199999999993</v>
      </c>
      <c r="BU6" s="171">
        <v>1173.8759986000002</v>
      </c>
      <c r="BV6" s="171">
        <v>938.44999999999993</v>
      </c>
      <c r="BW6" s="171">
        <v>911.76422089999971</v>
      </c>
      <c r="BX6" s="171">
        <v>2644.0499999999988</v>
      </c>
      <c r="BY6" s="171">
        <v>2563.3241994000014</v>
      </c>
      <c r="BZ6" s="171">
        <v>0</v>
      </c>
      <c r="CA6" s="171">
        <v>0</v>
      </c>
      <c r="CB6" s="171">
        <v>0</v>
      </c>
      <c r="CC6" s="171">
        <v>0</v>
      </c>
      <c r="CD6" s="171">
        <v>0</v>
      </c>
      <c r="CE6" s="171">
        <v>0</v>
      </c>
      <c r="CF6" s="171">
        <v>4963.0199999999986</v>
      </c>
      <c r="CG6" s="171">
        <v>4648.964418900001</v>
      </c>
      <c r="CH6" s="171">
        <v>1022.9199999999997</v>
      </c>
      <c r="CI6" s="171">
        <v>935.17129159999979</v>
      </c>
      <c r="CJ6" s="171">
        <v>728.84999999999991</v>
      </c>
      <c r="CK6" s="171">
        <v>683.51391740000008</v>
      </c>
      <c r="CL6" s="171">
        <v>2878.5800000000008</v>
      </c>
      <c r="CM6" s="171">
        <v>2648.4249904999997</v>
      </c>
      <c r="CN6" s="171">
        <v>0</v>
      </c>
      <c r="CO6" s="171">
        <v>0</v>
      </c>
      <c r="CP6" s="171">
        <v>0</v>
      </c>
      <c r="CQ6" s="171">
        <v>0</v>
      </c>
      <c r="CR6" s="171">
        <v>0</v>
      </c>
      <c r="CS6" s="171">
        <v>0</v>
      </c>
      <c r="CT6" s="171">
        <v>4630.3500000000004</v>
      </c>
      <c r="CU6" s="171">
        <v>4267.110199499999</v>
      </c>
      <c r="CV6" s="171">
        <v>1112.31</v>
      </c>
      <c r="CW6" s="171">
        <v>1041.2778980000003</v>
      </c>
      <c r="CX6" s="171">
        <v>269.08000000000004</v>
      </c>
      <c r="CY6" s="171">
        <v>258.44831390000002</v>
      </c>
      <c r="CZ6" s="171">
        <v>2832.4299999999989</v>
      </c>
      <c r="DA6" s="171">
        <v>2858.6839077000004</v>
      </c>
      <c r="DB6" s="171">
        <v>0</v>
      </c>
      <c r="DC6" s="171">
        <v>0</v>
      </c>
      <c r="DD6" s="171">
        <v>0</v>
      </c>
      <c r="DE6" s="171">
        <v>0</v>
      </c>
      <c r="DF6" s="171">
        <v>0</v>
      </c>
      <c r="DG6" s="171">
        <v>0</v>
      </c>
      <c r="DH6" s="171">
        <v>4213.8199999999988</v>
      </c>
      <c r="DI6" s="171">
        <v>4158.4101196000011</v>
      </c>
      <c r="DJ6" s="171">
        <v>640.78999999999974</v>
      </c>
      <c r="DK6" s="171">
        <v>632.35740500000009</v>
      </c>
      <c r="DL6" s="171">
        <v>1044.6600000000001</v>
      </c>
      <c r="DM6" s="171">
        <v>1004.0995751999997</v>
      </c>
      <c r="DN6" s="171">
        <v>1815.5000000000002</v>
      </c>
      <c r="DO6" s="171">
        <v>1805.5675821000004</v>
      </c>
      <c r="DP6" s="171">
        <v>0</v>
      </c>
      <c r="DQ6" s="171">
        <v>0</v>
      </c>
      <c r="DR6" s="171">
        <v>0</v>
      </c>
      <c r="DS6" s="171">
        <v>0</v>
      </c>
      <c r="DT6" s="171">
        <v>0</v>
      </c>
      <c r="DU6" s="171">
        <v>0</v>
      </c>
      <c r="DV6" s="171">
        <v>3500.95</v>
      </c>
      <c r="DW6" s="171">
        <v>3442.0245623000001</v>
      </c>
      <c r="DX6" s="171">
        <v>1442.9300000000003</v>
      </c>
      <c r="DY6" s="171">
        <v>1374.8015332000002</v>
      </c>
      <c r="DZ6" s="171">
        <v>553.91999999999996</v>
      </c>
      <c r="EA6" s="171">
        <v>586.13282749999996</v>
      </c>
      <c r="EB6" s="171">
        <v>1847.2699999999991</v>
      </c>
      <c r="EC6" s="171">
        <v>1899.1043193000003</v>
      </c>
      <c r="ED6" s="171">
        <v>0</v>
      </c>
      <c r="EE6" s="171">
        <v>0</v>
      </c>
      <c r="EF6" s="171">
        <v>0</v>
      </c>
      <c r="EG6" s="171">
        <v>0</v>
      </c>
      <c r="EH6" s="171">
        <v>0</v>
      </c>
      <c r="EI6" s="171">
        <v>0</v>
      </c>
      <c r="EJ6" s="171">
        <v>3844.1199999999994</v>
      </c>
      <c r="EK6" s="171">
        <v>3860.0386800000006</v>
      </c>
      <c r="EL6" s="171">
        <v>119.72000000000001</v>
      </c>
      <c r="EM6" s="171">
        <v>133.29494460000001</v>
      </c>
      <c r="EN6" s="171">
        <v>349.00999999999993</v>
      </c>
      <c r="EO6" s="171">
        <v>396.01580000000001</v>
      </c>
      <c r="EP6" s="171">
        <v>753.39</v>
      </c>
      <c r="EQ6" s="171">
        <v>761.01525199999992</v>
      </c>
      <c r="ER6" s="171">
        <v>0</v>
      </c>
      <c r="ES6" s="171">
        <v>0</v>
      </c>
      <c r="ET6" s="171">
        <v>0</v>
      </c>
      <c r="EU6" s="171">
        <v>0</v>
      </c>
      <c r="EV6" s="171">
        <v>0</v>
      </c>
      <c r="EW6" s="171">
        <v>0</v>
      </c>
      <c r="EX6" s="171">
        <v>1222.1199999999999</v>
      </c>
      <c r="EY6" s="171">
        <v>1290.3259966000001</v>
      </c>
      <c r="EZ6" s="171">
        <v>500.99999999999989</v>
      </c>
      <c r="FA6" s="171">
        <v>615.87316119999991</v>
      </c>
      <c r="FB6" s="171">
        <v>263.32</v>
      </c>
      <c r="FC6" s="171">
        <v>336.32470000000001</v>
      </c>
      <c r="FD6" s="171">
        <v>2556.5499999999997</v>
      </c>
      <c r="FE6" s="171">
        <v>2797.8294612</v>
      </c>
      <c r="FF6" s="171">
        <v>0</v>
      </c>
      <c r="FG6" s="171">
        <v>0</v>
      </c>
      <c r="FH6" s="171">
        <v>0</v>
      </c>
      <c r="FI6" s="171">
        <v>0</v>
      </c>
      <c r="FJ6" s="171">
        <v>0</v>
      </c>
      <c r="FK6" s="171">
        <v>0</v>
      </c>
      <c r="FL6" s="171">
        <v>3320.87</v>
      </c>
      <c r="FM6" s="171">
        <v>3750.0273223999998</v>
      </c>
      <c r="FN6" s="171">
        <f t="shared" ref="FN6:FN12" si="5">B6+P6+AD6+AR6+BF6+BT6+CH6+CV6+DJ6+DX6+EL6+EZ6+(H6+V6+AJ6+AX6+BL6+BZ6+CN6+DB6+DP6+ED6+ER6+FF6)</f>
        <v>11639.709999999997</v>
      </c>
      <c r="FO6" s="171">
        <f t="shared" si="0"/>
        <v>10356.551658799999</v>
      </c>
      <c r="FP6" s="171">
        <f t="shared" si="1"/>
        <v>8111.07</v>
      </c>
      <c r="FQ6" s="171">
        <f t="shared" si="2"/>
        <v>7220.2754584000004</v>
      </c>
      <c r="FR6" s="171">
        <f t="shared" si="3"/>
        <v>28637.72</v>
      </c>
      <c r="FS6" s="171">
        <f t="shared" si="4"/>
        <v>26483.957005500004</v>
      </c>
      <c r="FT6" s="171">
        <f t="shared" ref="FT6:FT13" si="6">FN6+FP6+FR6</f>
        <v>48388.5</v>
      </c>
      <c r="FU6" s="171">
        <f t="shared" ref="FU6:FU13" si="7">FO6+FQ6+FS6</f>
        <v>44060.784122700003</v>
      </c>
      <c r="FW6" s="135" t="s">
        <v>11</v>
      </c>
      <c r="FX6" s="44">
        <f t="shared" ref="FX6:FX14" si="8">IF(FN6&lt;=0,0,FO6*10^5/FN6)</f>
        <v>88976.028258435996</v>
      </c>
      <c r="FY6" s="44">
        <f t="shared" ref="FY6:FY14" si="9">IF(FP6&lt;=0,0,FQ6*10^5/FP6)</f>
        <v>89017.545877424316</v>
      </c>
      <c r="FZ6" s="44">
        <f t="shared" ref="FZ6:FZ14" si="10">IF(FR6&lt;=0,0,FS6*10^5/FR6)</f>
        <v>92479.279095891718</v>
      </c>
      <c r="GA6" s="44">
        <f t="shared" ref="GA6:GA14" si="11">IF(FT6&lt;=0,0,FU6*10^5/FT6)</f>
        <v>91056.31322049661</v>
      </c>
    </row>
    <row r="7" spans="1:183">
      <c r="A7" s="146" t="s">
        <v>12</v>
      </c>
      <c r="B7" s="171">
        <v>0</v>
      </c>
      <c r="C7" s="171">
        <v>0</v>
      </c>
      <c r="D7" s="171">
        <v>0</v>
      </c>
      <c r="E7" s="171">
        <v>0</v>
      </c>
      <c r="F7" s="171">
        <v>2201.4499999999998</v>
      </c>
      <c r="G7" s="171">
        <v>1593.9040697999988</v>
      </c>
      <c r="H7" s="171">
        <v>0</v>
      </c>
      <c r="I7" s="171">
        <v>0</v>
      </c>
      <c r="J7" s="171">
        <v>0</v>
      </c>
      <c r="K7" s="171">
        <v>0</v>
      </c>
      <c r="L7" s="171">
        <v>0</v>
      </c>
      <c r="M7" s="171">
        <v>0</v>
      </c>
      <c r="N7" s="171">
        <v>2201.4499999999998</v>
      </c>
      <c r="O7" s="171">
        <v>1593.9040697999988</v>
      </c>
      <c r="P7" s="171">
        <v>0</v>
      </c>
      <c r="Q7" s="171">
        <v>0</v>
      </c>
      <c r="R7" s="171">
        <v>0</v>
      </c>
      <c r="S7" s="171">
        <v>0</v>
      </c>
      <c r="T7" s="171">
        <v>2420.9900000000011</v>
      </c>
      <c r="U7" s="171">
        <v>1720.9622959000003</v>
      </c>
      <c r="V7" s="171">
        <v>0</v>
      </c>
      <c r="W7" s="171">
        <v>0</v>
      </c>
      <c r="X7" s="171">
        <v>0</v>
      </c>
      <c r="Y7" s="171">
        <v>0</v>
      </c>
      <c r="Z7" s="171">
        <v>0</v>
      </c>
      <c r="AA7" s="171">
        <v>0</v>
      </c>
      <c r="AB7" s="171">
        <v>2420.9900000000011</v>
      </c>
      <c r="AC7" s="171">
        <v>1720.9622959000003</v>
      </c>
      <c r="AD7" s="171">
        <v>4.99</v>
      </c>
      <c r="AE7" s="171">
        <v>4.1541021000000002</v>
      </c>
      <c r="AF7" s="171">
        <v>0</v>
      </c>
      <c r="AG7" s="171">
        <v>0</v>
      </c>
      <c r="AH7" s="171">
        <v>1015.6799999999996</v>
      </c>
      <c r="AI7" s="171">
        <v>722.96300660000009</v>
      </c>
      <c r="AJ7" s="171">
        <v>0</v>
      </c>
      <c r="AK7" s="171">
        <v>0</v>
      </c>
      <c r="AL7" s="171">
        <v>0</v>
      </c>
      <c r="AM7" s="171">
        <v>0</v>
      </c>
      <c r="AN7" s="171">
        <v>0</v>
      </c>
      <c r="AO7" s="171">
        <v>0</v>
      </c>
      <c r="AP7" s="171">
        <v>1020.6699999999996</v>
      </c>
      <c r="AQ7" s="171">
        <v>727.11710870000013</v>
      </c>
      <c r="AR7" s="171">
        <v>0</v>
      </c>
      <c r="AS7" s="171">
        <v>0</v>
      </c>
      <c r="AT7" s="171">
        <v>0</v>
      </c>
      <c r="AU7" s="171">
        <v>0</v>
      </c>
      <c r="AV7" s="171">
        <v>690.97</v>
      </c>
      <c r="AW7" s="171">
        <v>556.79428570000005</v>
      </c>
      <c r="AX7" s="171">
        <v>0</v>
      </c>
      <c r="AY7" s="171">
        <v>0</v>
      </c>
      <c r="AZ7" s="171">
        <v>0</v>
      </c>
      <c r="BA7" s="171">
        <v>0</v>
      </c>
      <c r="BB7" s="171">
        <v>0</v>
      </c>
      <c r="BC7" s="171">
        <v>0</v>
      </c>
      <c r="BD7" s="171">
        <v>690.97</v>
      </c>
      <c r="BE7" s="171">
        <v>556.79428570000005</v>
      </c>
      <c r="BF7" s="171">
        <v>4.8600000000000003</v>
      </c>
      <c r="BG7" s="171">
        <v>4.9899174999999998</v>
      </c>
      <c r="BH7" s="171">
        <v>0</v>
      </c>
      <c r="BI7" s="171">
        <v>0</v>
      </c>
      <c r="BJ7" s="171">
        <v>571.18999999999983</v>
      </c>
      <c r="BK7" s="171">
        <v>571.91296909999994</v>
      </c>
      <c r="BL7" s="171">
        <v>0</v>
      </c>
      <c r="BM7" s="171">
        <v>0</v>
      </c>
      <c r="BN7" s="171">
        <v>0</v>
      </c>
      <c r="BO7" s="171">
        <v>0</v>
      </c>
      <c r="BP7" s="171">
        <v>0</v>
      </c>
      <c r="BQ7" s="171">
        <v>0</v>
      </c>
      <c r="BR7" s="171">
        <v>576.04999999999984</v>
      </c>
      <c r="BS7" s="171">
        <v>576.90288659999999</v>
      </c>
      <c r="BT7" s="171">
        <v>4.9400000000000004</v>
      </c>
      <c r="BU7" s="171">
        <v>5.3005271</v>
      </c>
      <c r="BV7" s="171">
        <v>0</v>
      </c>
      <c r="BW7" s="171">
        <v>0</v>
      </c>
      <c r="BX7" s="171">
        <v>506.11</v>
      </c>
      <c r="BY7" s="171">
        <v>542.39995390000001</v>
      </c>
      <c r="BZ7" s="171">
        <v>0</v>
      </c>
      <c r="CA7" s="171">
        <v>0</v>
      </c>
      <c r="CB7" s="171">
        <v>0</v>
      </c>
      <c r="CC7" s="171">
        <v>0</v>
      </c>
      <c r="CD7" s="171">
        <v>0</v>
      </c>
      <c r="CE7" s="171">
        <v>0</v>
      </c>
      <c r="CF7" s="171">
        <v>511.05</v>
      </c>
      <c r="CG7" s="171">
        <v>547.70048099999997</v>
      </c>
      <c r="CH7" s="171">
        <v>0</v>
      </c>
      <c r="CI7" s="171">
        <v>0</v>
      </c>
      <c r="CJ7" s="171">
        <v>0</v>
      </c>
      <c r="CK7" s="171">
        <v>0</v>
      </c>
      <c r="CL7" s="171">
        <v>531.12</v>
      </c>
      <c r="CM7" s="171">
        <v>469.41910779999995</v>
      </c>
      <c r="CN7" s="171">
        <v>0</v>
      </c>
      <c r="CO7" s="171">
        <v>0</v>
      </c>
      <c r="CP7" s="171">
        <v>0</v>
      </c>
      <c r="CQ7" s="171">
        <v>0</v>
      </c>
      <c r="CR7" s="171">
        <v>0</v>
      </c>
      <c r="CS7" s="171">
        <v>0</v>
      </c>
      <c r="CT7" s="171">
        <v>531.12</v>
      </c>
      <c r="CU7" s="171">
        <v>469.41910779999995</v>
      </c>
      <c r="CV7" s="171">
        <v>4.9800000000000004</v>
      </c>
      <c r="CW7" s="171">
        <v>6.0804733999999998</v>
      </c>
      <c r="CX7" s="171">
        <v>0</v>
      </c>
      <c r="CY7" s="171">
        <v>0</v>
      </c>
      <c r="CZ7" s="171">
        <v>1150.79</v>
      </c>
      <c r="DA7" s="171">
        <v>1001.2286617</v>
      </c>
      <c r="DB7" s="171">
        <v>0</v>
      </c>
      <c r="DC7" s="171">
        <v>0</v>
      </c>
      <c r="DD7" s="171">
        <v>0</v>
      </c>
      <c r="DE7" s="171">
        <v>0</v>
      </c>
      <c r="DF7" s="171">
        <v>0</v>
      </c>
      <c r="DG7" s="171">
        <v>0</v>
      </c>
      <c r="DH7" s="171">
        <v>1155.77</v>
      </c>
      <c r="DI7" s="171">
        <v>1007.3091350999999</v>
      </c>
      <c r="DJ7" s="171">
        <v>0</v>
      </c>
      <c r="DK7" s="171">
        <v>0</v>
      </c>
      <c r="DL7" s="171">
        <v>0</v>
      </c>
      <c r="DM7" s="171">
        <v>0</v>
      </c>
      <c r="DN7" s="171">
        <v>4180.47</v>
      </c>
      <c r="DO7" s="171">
        <v>3658.5116092999983</v>
      </c>
      <c r="DP7" s="171">
        <v>0</v>
      </c>
      <c r="DQ7" s="171">
        <v>0</v>
      </c>
      <c r="DR7" s="171">
        <v>0</v>
      </c>
      <c r="DS7" s="171">
        <v>0</v>
      </c>
      <c r="DT7" s="171">
        <v>0</v>
      </c>
      <c r="DU7" s="171">
        <v>0</v>
      </c>
      <c r="DV7" s="171">
        <v>4180.47</v>
      </c>
      <c r="DW7" s="171">
        <v>3658.5116092999983</v>
      </c>
      <c r="DX7" s="171">
        <v>15.22</v>
      </c>
      <c r="DY7" s="171">
        <v>17.7486</v>
      </c>
      <c r="DZ7" s="171">
        <v>0</v>
      </c>
      <c r="EA7" s="171">
        <v>0</v>
      </c>
      <c r="EB7" s="171">
        <v>1913.1799999999996</v>
      </c>
      <c r="EC7" s="171">
        <v>1987.9806341000003</v>
      </c>
      <c r="ED7" s="171">
        <v>0</v>
      </c>
      <c r="EE7" s="171">
        <v>0</v>
      </c>
      <c r="EF7" s="171">
        <v>0</v>
      </c>
      <c r="EG7" s="171">
        <v>0</v>
      </c>
      <c r="EH7" s="171">
        <v>0</v>
      </c>
      <c r="EI7" s="171">
        <v>0</v>
      </c>
      <c r="EJ7" s="171">
        <v>1928.3999999999996</v>
      </c>
      <c r="EK7" s="171">
        <v>2005.7292341000002</v>
      </c>
      <c r="EL7" s="171">
        <v>0</v>
      </c>
      <c r="EM7" s="171">
        <v>0</v>
      </c>
      <c r="EN7" s="171">
        <v>99.240000000000009</v>
      </c>
      <c r="EO7" s="171">
        <v>112.6374</v>
      </c>
      <c r="EP7" s="171">
        <v>1503.4099999999999</v>
      </c>
      <c r="EQ7" s="171">
        <v>1566.3271223000002</v>
      </c>
      <c r="ER7" s="171">
        <v>0</v>
      </c>
      <c r="ES7" s="171">
        <v>0</v>
      </c>
      <c r="ET7" s="171">
        <v>0</v>
      </c>
      <c r="EU7" s="171">
        <v>0</v>
      </c>
      <c r="EV7" s="171">
        <v>0</v>
      </c>
      <c r="EW7" s="171">
        <v>0</v>
      </c>
      <c r="EX7" s="171">
        <v>1602.6499999999999</v>
      </c>
      <c r="EY7" s="171">
        <v>1678.9645223000002</v>
      </c>
      <c r="EZ7" s="171">
        <v>17.22</v>
      </c>
      <c r="FA7" s="171">
        <v>21.6819354</v>
      </c>
      <c r="FB7" s="171">
        <v>101.71</v>
      </c>
      <c r="FC7" s="171">
        <v>115.44085</v>
      </c>
      <c r="FD7" s="171">
        <v>0</v>
      </c>
      <c r="FE7" s="171">
        <v>0</v>
      </c>
      <c r="FF7" s="171">
        <v>0</v>
      </c>
      <c r="FG7" s="171">
        <v>0</v>
      </c>
      <c r="FH7" s="171">
        <v>0</v>
      </c>
      <c r="FI7" s="171">
        <v>0</v>
      </c>
      <c r="FJ7" s="171">
        <v>0</v>
      </c>
      <c r="FK7" s="171">
        <v>0</v>
      </c>
      <c r="FL7" s="171">
        <v>118.92999999999999</v>
      </c>
      <c r="FM7" s="171">
        <v>137.1227854</v>
      </c>
      <c r="FN7" s="171">
        <f t="shared" si="5"/>
        <v>52.21</v>
      </c>
      <c r="FO7" s="171">
        <f t="shared" si="0"/>
        <v>59.955555500000003</v>
      </c>
      <c r="FP7" s="171">
        <f t="shared" si="1"/>
        <v>200.95</v>
      </c>
      <c r="FQ7" s="171">
        <f t="shared" si="2"/>
        <v>228.07825</v>
      </c>
      <c r="FR7" s="171">
        <f t="shared" si="3"/>
        <v>16685.36</v>
      </c>
      <c r="FS7" s="171">
        <f t="shared" si="4"/>
        <v>14392.403716199999</v>
      </c>
      <c r="FT7" s="171">
        <f t="shared" si="6"/>
        <v>16938.52</v>
      </c>
      <c r="FU7" s="171">
        <f t="shared" si="7"/>
        <v>14680.437521699998</v>
      </c>
      <c r="FW7" s="135" t="s">
        <v>12</v>
      </c>
      <c r="FX7" s="44">
        <f t="shared" si="8"/>
        <v>114835.38689906147</v>
      </c>
      <c r="FY7" s="44">
        <f t="shared" si="9"/>
        <v>113500</v>
      </c>
      <c r="FZ7" s="44">
        <f t="shared" si="10"/>
        <v>86257.675688148156</v>
      </c>
      <c r="GA7" s="44">
        <f t="shared" si="11"/>
        <v>86668.95054408531</v>
      </c>
    </row>
    <row r="8" spans="1:183">
      <c r="A8" s="146" t="s">
        <v>13</v>
      </c>
      <c r="B8" s="171">
        <v>106.50000000000001</v>
      </c>
      <c r="C8" s="171">
        <v>81.759043399999996</v>
      </c>
      <c r="D8" s="171">
        <v>40.849999999999994</v>
      </c>
      <c r="E8" s="171">
        <v>31.952870000000001</v>
      </c>
      <c r="F8" s="171">
        <v>0</v>
      </c>
      <c r="G8" s="171">
        <v>0</v>
      </c>
      <c r="H8" s="171">
        <v>0</v>
      </c>
      <c r="I8" s="171">
        <v>0</v>
      </c>
      <c r="J8" s="171">
        <v>0</v>
      </c>
      <c r="K8" s="171">
        <v>0</v>
      </c>
      <c r="L8" s="171">
        <v>0</v>
      </c>
      <c r="M8" s="171">
        <v>0</v>
      </c>
      <c r="N8" s="171">
        <v>147.35000000000002</v>
      </c>
      <c r="O8" s="171">
        <v>113.7119134</v>
      </c>
      <c r="P8" s="171">
        <v>100.12</v>
      </c>
      <c r="Q8" s="171">
        <v>89.862399999999994</v>
      </c>
      <c r="R8" s="171">
        <v>43.15</v>
      </c>
      <c r="S8" s="171">
        <v>33.751930000000002</v>
      </c>
      <c r="T8" s="171">
        <v>96.54</v>
      </c>
      <c r="U8" s="171">
        <v>74.660967600000006</v>
      </c>
      <c r="V8" s="171">
        <v>0</v>
      </c>
      <c r="W8" s="171">
        <v>0</v>
      </c>
      <c r="X8" s="171">
        <v>0</v>
      </c>
      <c r="Y8" s="171">
        <v>0</v>
      </c>
      <c r="Z8" s="171">
        <v>0</v>
      </c>
      <c r="AA8" s="171">
        <v>0</v>
      </c>
      <c r="AB8" s="171">
        <v>239.81</v>
      </c>
      <c r="AC8" s="171">
        <v>198.27529759999999</v>
      </c>
      <c r="AD8" s="171">
        <v>62.489999999999995</v>
      </c>
      <c r="AE8" s="171">
        <v>51.823398499999996</v>
      </c>
      <c r="AF8" s="171">
        <v>44.29</v>
      </c>
      <c r="AG8" s="171">
        <v>36.098121599999999</v>
      </c>
      <c r="AH8" s="171">
        <v>0</v>
      </c>
      <c r="AI8" s="171">
        <v>0</v>
      </c>
      <c r="AJ8" s="171">
        <v>0</v>
      </c>
      <c r="AK8" s="171">
        <v>0</v>
      </c>
      <c r="AL8" s="171">
        <v>0</v>
      </c>
      <c r="AM8" s="171">
        <v>0</v>
      </c>
      <c r="AN8" s="171">
        <v>0</v>
      </c>
      <c r="AO8" s="171">
        <v>0</v>
      </c>
      <c r="AP8" s="171">
        <v>106.78</v>
      </c>
      <c r="AQ8" s="171">
        <v>87.921520099999995</v>
      </c>
      <c r="AR8" s="171">
        <v>50.269999999999996</v>
      </c>
      <c r="AS8" s="171">
        <v>43.231595999999996</v>
      </c>
      <c r="AT8" s="171">
        <v>59.49</v>
      </c>
      <c r="AU8" s="171">
        <v>60.084899999999998</v>
      </c>
      <c r="AV8" s="171">
        <v>95.55</v>
      </c>
      <c r="AW8" s="171">
        <v>86.830730099999997</v>
      </c>
      <c r="AX8" s="171">
        <v>0</v>
      </c>
      <c r="AY8" s="171">
        <v>0</v>
      </c>
      <c r="AZ8" s="171">
        <v>0</v>
      </c>
      <c r="BA8" s="171">
        <v>0</v>
      </c>
      <c r="BB8" s="171">
        <v>0</v>
      </c>
      <c r="BC8" s="171">
        <v>0</v>
      </c>
      <c r="BD8" s="171">
        <v>205.31</v>
      </c>
      <c r="BE8" s="171">
        <v>190.14722610000001</v>
      </c>
      <c r="BF8" s="171">
        <v>0</v>
      </c>
      <c r="BG8" s="171">
        <v>0</v>
      </c>
      <c r="BH8" s="171">
        <v>0</v>
      </c>
      <c r="BI8" s="171">
        <v>0</v>
      </c>
      <c r="BJ8" s="171">
        <v>95.830000000000013</v>
      </c>
      <c r="BK8" s="171">
        <v>90.92367440000001</v>
      </c>
      <c r="BL8" s="171">
        <v>0</v>
      </c>
      <c r="BM8" s="171">
        <v>0</v>
      </c>
      <c r="BN8" s="171">
        <v>0</v>
      </c>
      <c r="BO8" s="171">
        <v>0</v>
      </c>
      <c r="BP8" s="171">
        <v>0</v>
      </c>
      <c r="BQ8" s="171">
        <v>0</v>
      </c>
      <c r="BR8" s="171">
        <v>95.830000000000013</v>
      </c>
      <c r="BS8" s="171">
        <v>90.92367440000001</v>
      </c>
      <c r="BT8" s="171">
        <v>128.19999999999999</v>
      </c>
      <c r="BU8" s="171">
        <v>128.79252339999999</v>
      </c>
      <c r="BV8" s="171">
        <v>0</v>
      </c>
      <c r="BW8" s="171">
        <v>0</v>
      </c>
      <c r="BX8" s="171">
        <v>151.78000000000003</v>
      </c>
      <c r="BY8" s="171">
        <v>135.51225219999998</v>
      </c>
      <c r="BZ8" s="171">
        <v>0</v>
      </c>
      <c r="CA8" s="171">
        <v>0</v>
      </c>
      <c r="CB8" s="171">
        <v>0</v>
      </c>
      <c r="CC8" s="171">
        <v>0</v>
      </c>
      <c r="CD8" s="171">
        <v>0</v>
      </c>
      <c r="CE8" s="171">
        <v>0</v>
      </c>
      <c r="CF8" s="171">
        <v>279.98</v>
      </c>
      <c r="CG8" s="171">
        <v>264.30477559999997</v>
      </c>
      <c r="CH8" s="171">
        <v>50.67</v>
      </c>
      <c r="CI8" s="171">
        <v>48.189496200000001</v>
      </c>
      <c r="CJ8" s="171">
        <v>0</v>
      </c>
      <c r="CK8" s="171">
        <v>0</v>
      </c>
      <c r="CL8" s="171">
        <v>0</v>
      </c>
      <c r="CM8" s="171">
        <v>0</v>
      </c>
      <c r="CN8" s="171">
        <v>0</v>
      </c>
      <c r="CO8" s="171">
        <v>0</v>
      </c>
      <c r="CP8" s="171">
        <v>0</v>
      </c>
      <c r="CQ8" s="171">
        <v>0</v>
      </c>
      <c r="CR8" s="171">
        <v>0</v>
      </c>
      <c r="CS8" s="171">
        <v>0</v>
      </c>
      <c r="CT8" s="171">
        <v>50.67</v>
      </c>
      <c r="CU8" s="171">
        <v>48.189496200000001</v>
      </c>
      <c r="CV8" s="171">
        <v>118.74</v>
      </c>
      <c r="CW8" s="171">
        <v>110.16556220000001</v>
      </c>
      <c r="CX8" s="171">
        <v>0</v>
      </c>
      <c r="CY8" s="171">
        <v>0</v>
      </c>
      <c r="CZ8" s="171">
        <v>0</v>
      </c>
      <c r="DA8" s="171">
        <v>0</v>
      </c>
      <c r="DB8" s="171">
        <v>0</v>
      </c>
      <c r="DC8" s="171">
        <v>0</v>
      </c>
      <c r="DD8" s="171">
        <v>0</v>
      </c>
      <c r="DE8" s="171">
        <v>0</v>
      </c>
      <c r="DF8" s="171">
        <v>0</v>
      </c>
      <c r="DG8" s="171">
        <v>0</v>
      </c>
      <c r="DH8" s="171">
        <v>118.74</v>
      </c>
      <c r="DI8" s="171">
        <v>110.16556220000001</v>
      </c>
      <c r="DJ8" s="171">
        <v>37.76</v>
      </c>
      <c r="DK8" s="171">
        <v>34.927999999999997</v>
      </c>
      <c r="DL8" s="171">
        <v>0</v>
      </c>
      <c r="DM8" s="171">
        <v>0</v>
      </c>
      <c r="DN8" s="171">
        <v>0</v>
      </c>
      <c r="DO8" s="171">
        <v>0</v>
      </c>
      <c r="DP8" s="171">
        <v>0</v>
      </c>
      <c r="DQ8" s="171">
        <v>0</v>
      </c>
      <c r="DR8" s="171">
        <v>0</v>
      </c>
      <c r="DS8" s="171">
        <v>0</v>
      </c>
      <c r="DT8" s="171">
        <v>0</v>
      </c>
      <c r="DU8" s="171">
        <v>0</v>
      </c>
      <c r="DV8" s="171">
        <v>37.76</v>
      </c>
      <c r="DW8" s="171">
        <v>34.927999999999997</v>
      </c>
      <c r="DX8" s="171">
        <v>73.490000000000009</v>
      </c>
      <c r="DY8" s="171">
        <v>81.331542999999996</v>
      </c>
      <c r="DZ8" s="171">
        <v>55.260000000000005</v>
      </c>
      <c r="EA8" s="171">
        <v>62.443800000000003</v>
      </c>
      <c r="EB8" s="171">
        <v>0</v>
      </c>
      <c r="EC8" s="171">
        <v>0</v>
      </c>
      <c r="ED8" s="171">
        <v>0</v>
      </c>
      <c r="EE8" s="171">
        <v>0</v>
      </c>
      <c r="EF8" s="171">
        <v>0</v>
      </c>
      <c r="EG8" s="171">
        <v>0</v>
      </c>
      <c r="EH8" s="171">
        <v>0</v>
      </c>
      <c r="EI8" s="171">
        <v>0</v>
      </c>
      <c r="EJ8" s="171">
        <v>128.75</v>
      </c>
      <c r="EK8" s="171">
        <v>143.77534299999999</v>
      </c>
      <c r="EL8" s="171">
        <v>0</v>
      </c>
      <c r="EM8" s="171">
        <v>0</v>
      </c>
      <c r="EN8" s="171">
        <v>24.61</v>
      </c>
      <c r="EO8" s="171">
        <v>27.8093</v>
      </c>
      <c r="EP8" s="171">
        <v>0</v>
      </c>
      <c r="EQ8" s="171">
        <v>0</v>
      </c>
      <c r="ER8" s="171">
        <v>0</v>
      </c>
      <c r="ES8" s="171">
        <v>0</v>
      </c>
      <c r="ET8" s="171">
        <v>0</v>
      </c>
      <c r="EU8" s="171">
        <v>0</v>
      </c>
      <c r="EV8" s="171">
        <v>0</v>
      </c>
      <c r="EW8" s="171">
        <v>0</v>
      </c>
      <c r="EX8" s="171">
        <v>24.61</v>
      </c>
      <c r="EY8" s="171">
        <v>27.8093</v>
      </c>
      <c r="EZ8" s="171">
        <v>38.86</v>
      </c>
      <c r="FA8" s="171">
        <v>51.3698592</v>
      </c>
      <c r="FB8" s="171">
        <v>78.949999999999989</v>
      </c>
      <c r="FC8" s="171">
        <v>105.3056</v>
      </c>
      <c r="FD8" s="171">
        <v>0</v>
      </c>
      <c r="FE8" s="171">
        <v>0</v>
      </c>
      <c r="FF8" s="171">
        <v>0</v>
      </c>
      <c r="FG8" s="171">
        <v>0</v>
      </c>
      <c r="FH8" s="171">
        <v>0</v>
      </c>
      <c r="FI8" s="171">
        <v>0</v>
      </c>
      <c r="FJ8" s="171">
        <v>0</v>
      </c>
      <c r="FK8" s="171">
        <v>0</v>
      </c>
      <c r="FL8" s="171">
        <v>117.80999999999999</v>
      </c>
      <c r="FM8" s="171">
        <v>156.67545920000001</v>
      </c>
      <c r="FN8" s="171">
        <f t="shared" si="5"/>
        <v>767.1</v>
      </c>
      <c r="FO8" s="171">
        <f t="shared" si="0"/>
        <v>721.45342189999997</v>
      </c>
      <c r="FP8" s="171">
        <f t="shared" si="1"/>
        <v>346.6</v>
      </c>
      <c r="FQ8" s="171">
        <f t="shared" si="2"/>
        <v>357.44652159999998</v>
      </c>
      <c r="FR8" s="171">
        <f t="shared" si="3"/>
        <v>439.70000000000005</v>
      </c>
      <c r="FS8" s="171">
        <f t="shared" si="4"/>
        <v>387.92762429999999</v>
      </c>
      <c r="FT8" s="171">
        <f t="shared" si="6"/>
        <v>1553.4</v>
      </c>
      <c r="FU8" s="171">
        <f t="shared" si="7"/>
        <v>1466.8275678</v>
      </c>
      <c r="FW8" s="135" t="s">
        <v>13</v>
      </c>
      <c r="FX8" s="44">
        <f t="shared" si="8"/>
        <v>94049.461856342066</v>
      </c>
      <c r="FY8" s="44">
        <f t="shared" si="9"/>
        <v>103129.40611656086</v>
      </c>
      <c r="FZ8" s="44">
        <f t="shared" si="10"/>
        <v>88225.522924721387</v>
      </c>
      <c r="GA8" s="44">
        <f t="shared" si="11"/>
        <v>94426.906643491689</v>
      </c>
    </row>
    <row r="9" spans="1:183">
      <c r="A9" s="146" t="s">
        <v>18</v>
      </c>
      <c r="B9" s="171">
        <v>8.5</v>
      </c>
      <c r="C9" s="171">
        <v>7.3998701000000002</v>
      </c>
      <c r="D9" s="171">
        <v>0</v>
      </c>
      <c r="E9" s="171">
        <v>0</v>
      </c>
      <c r="F9" s="171">
        <v>613.99999999999977</v>
      </c>
      <c r="G9" s="171">
        <v>567.7745523000001</v>
      </c>
      <c r="H9" s="171">
        <v>0</v>
      </c>
      <c r="I9" s="171">
        <v>0</v>
      </c>
      <c r="J9" s="171">
        <v>0</v>
      </c>
      <c r="K9" s="171">
        <v>0</v>
      </c>
      <c r="L9" s="171">
        <v>0</v>
      </c>
      <c r="M9" s="171">
        <v>0</v>
      </c>
      <c r="N9" s="171">
        <v>622.49999999999977</v>
      </c>
      <c r="O9" s="171">
        <v>575.17442240000014</v>
      </c>
      <c r="P9" s="171">
        <v>9</v>
      </c>
      <c r="Q9" s="171">
        <v>8.0488032999999994</v>
      </c>
      <c r="R9" s="171">
        <v>0</v>
      </c>
      <c r="S9" s="171">
        <v>0</v>
      </c>
      <c r="T9" s="171">
        <v>306.88499999999999</v>
      </c>
      <c r="U9" s="171">
        <v>293.53570960000002</v>
      </c>
      <c r="V9" s="171">
        <v>0</v>
      </c>
      <c r="W9" s="171">
        <v>0</v>
      </c>
      <c r="X9" s="171">
        <v>0</v>
      </c>
      <c r="Y9" s="171">
        <v>0</v>
      </c>
      <c r="Z9" s="171">
        <v>0</v>
      </c>
      <c r="AA9" s="171">
        <v>0</v>
      </c>
      <c r="AB9" s="171">
        <v>315.88499999999999</v>
      </c>
      <c r="AC9" s="171">
        <v>301.58451289999999</v>
      </c>
      <c r="AD9" s="171">
        <v>4.7040000000000006</v>
      </c>
      <c r="AE9" s="171">
        <v>4.2055832999999998</v>
      </c>
      <c r="AF9" s="171">
        <v>0</v>
      </c>
      <c r="AG9" s="171">
        <v>0</v>
      </c>
      <c r="AH9" s="171">
        <v>140.56</v>
      </c>
      <c r="AI9" s="171">
        <v>142.65624169999998</v>
      </c>
      <c r="AJ9" s="171">
        <v>0</v>
      </c>
      <c r="AK9" s="171">
        <v>0</v>
      </c>
      <c r="AL9" s="171">
        <v>0</v>
      </c>
      <c r="AM9" s="171">
        <v>0</v>
      </c>
      <c r="AN9" s="171">
        <v>0</v>
      </c>
      <c r="AO9" s="171">
        <v>0</v>
      </c>
      <c r="AP9" s="171">
        <v>145.26400000000001</v>
      </c>
      <c r="AQ9" s="171">
        <v>146.86182499999998</v>
      </c>
      <c r="AR9" s="171">
        <v>6.5</v>
      </c>
      <c r="AS9" s="171">
        <v>6.3177240000000001</v>
      </c>
      <c r="AT9" s="171">
        <v>5</v>
      </c>
      <c r="AU9" s="171">
        <v>5.1860999999999997</v>
      </c>
      <c r="AV9" s="171">
        <v>396.30999999999989</v>
      </c>
      <c r="AW9" s="171">
        <v>380.05455690000002</v>
      </c>
      <c r="AX9" s="171">
        <v>0</v>
      </c>
      <c r="AY9" s="171">
        <v>0</v>
      </c>
      <c r="AZ9" s="171">
        <v>0</v>
      </c>
      <c r="BA9" s="171">
        <v>0</v>
      </c>
      <c r="BB9" s="171">
        <v>0</v>
      </c>
      <c r="BC9" s="171">
        <v>0</v>
      </c>
      <c r="BD9" s="171">
        <v>407.80999999999989</v>
      </c>
      <c r="BE9" s="171">
        <v>391.55838090000003</v>
      </c>
      <c r="BF9" s="171">
        <v>4</v>
      </c>
      <c r="BG9" s="171">
        <v>3.9140443999999999</v>
      </c>
      <c r="BH9" s="171">
        <v>0</v>
      </c>
      <c r="BI9" s="171">
        <v>0</v>
      </c>
      <c r="BJ9" s="171">
        <v>399.42999999999995</v>
      </c>
      <c r="BK9" s="171">
        <v>423.7935154999999</v>
      </c>
      <c r="BL9" s="171">
        <v>0</v>
      </c>
      <c r="BM9" s="171">
        <v>0</v>
      </c>
      <c r="BN9" s="171">
        <v>0</v>
      </c>
      <c r="BO9" s="171">
        <v>0</v>
      </c>
      <c r="BP9" s="171">
        <v>0</v>
      </c>
      <c r="BQ9" s="171">
        <v>0</v>
      </c>
      <c r="BR9" s="171">
        <v>403.42999999999995</v>
      </c>
      <c r="BS9" s="171">
        <v>427.70755989999992</v>
      </c>
      <c r="BT9" s="171">
        <v>7.85</v>
      </c>
      <c r="BU9" s="171">
        <v>8.7240979999999997</v>
      </c>
      <c r="BV9" s="171">
        <v>0</v>
      </c>
      <c r="BW9" s="171">
        <v>0</v>
      </c>
      <c r="BX9" s="171">
        <v>223.83999999999997</v>
      </c>
      <c r="BY9" s="171">
        <v>241.1637255</v>
      </c>
      <c r="BZ9" s="171">
        <v>0</v>
      </c>
      <c r="CA9" s="171">
        <v>0</v>
      </c>
      <c r="CB9" s="171">
        <v>0</v>
      </c>
      <c r="CC9" s="171">
        <v>0</v>
      </c>
      <c r="CD9" s="171">
        <v>0</v>
      </c>
      <c r="CE9" s="171">
        <v>0</v>
      </c>
      <c r="CF9" s="171">
        <v>231.68999999999997</v>
      </c>
      <c r="CG9" s="171">
        <v>249.8878235</v>
      </c>
      <c r="CH9" s="171">
        <v>10</v>
      </c>
      <c r="CI9" s="171">
        <v>10.9424668</v>
      </c>
      <c r="CJ9" s="171">
        <v>0</v>
      </c>
      <c r="CK9" s="171">
        <v>0</v>
      </c>
      <c r="CL9" s="171">
        <v>39.143999999999998</v>
      </c>
      <c r="CM9" s="171">
        <v>45.161450600000002</v>
      </c>
      <c r="CN9" s="171">
        <v>0</v>
      </c>
      <c r="CO9" s="171">
        <v>0</v>
      </c>
      <c r="CP9" s="171">
        <v>0</v>
      </c>
      <c r="CQ9" s="171">
        <v>0</v>
      </c>
      <c r="CR9" s="171">
        <v>0</v>
      </c>
      <c r="CS9" s="171">
        <v>0</v>
      </c>
      <c r="CT9" s="171">
        <v>49.143999999999998</v>
      </c>
      <c r="CU9" s="171">
        <v>56.1039174</v>
      </c>
      <c r="CV9" s="171">
        <v>6.5</v>
      </c>
      <c r="CW9" s="171">
        <v>7.1085950000000002</v>
      </c>
      <c r="CX9" s="171">
        <v>0</v>
      </c>
      <c r="CY9" s="171">
        <v>0</v>
      </c>
      <c r="CZ9" s="171">
        <v>519.56399999999974</v>
      </c>
      <c r="DA9" s="171">
        <v>564.79716640000004</v>
      </c>
      <c r="DB9" s="171">
        <v>0</v>
      </c>
      <c r="DC9" s="171">
        <v>0</v>
      </c>
      <c r="DD9" s="171">
        <v>0</v>
      </c>
      <c r="DE9" s="171">
        <v>0</v>
      </c>
      <c r="DF9" s="171">
        <v>0</v>
      </c>
      <c r="DG9" s="171">
        <v>0</v>
      </c>
      <c r="DH9" s="171">
        <v>526.06399999999974</v>
      </c>
      <c r="DI9" s="171">
        <v>571.90576140000007</v>
      </c>
      <c r="DJ9" s="171">
        <v>9.0749999999999993</v>
      </c>
      <c r="DK9" s="171">
        <v>9.9861164000000002</v>
      </c>
      <c r="DL9" s="171">
        <v>0</v>
      </c>
      <c r="DM9" s="171">
        <v>0</v>
      </c>
      <c r="DN9" s="171">
        <v>251.26799999999997</v>
      </c>
      <c r="DO9" s="171">
        <v>273.56996829999997</v>
      </c>
      <c r="DP9" s="171">
        <v>0</v>
      </c>
      <c r="DQ9" s="171">
        <v>0</v>
      </c>
      <c r="DR9" s="171">
        <v>0</v>
      </c>
      <c r="DS9" s="171">
        <v>0</v>
      </c>
      <c r="DT9" s="171">
        <v>0</v>
      </c>
      <c r="DU9" s="171">
        <v>0</v>
      </c>
      <c r="DV9" s="171">
        <v>260.34299999999996</v>
      </c>
      <c r="DW9" s="171">
        <v>283.55608469999999</v>
      </c>
      <c r="DX9" s="171">
        <v>6</v>
      </c>
      <c r="DY9" s="171">
        <v>6.7152722999999996</v>
      </c>
      <c r="DZ9" s="171">
        <v>0</v>
      </c>
      <c r="EA9" s="171">
        <v>0</v>
      </c>
      <c r="EB9" s="171">
        <v>193.28800000000001</v>
      </c>
      <c r="EC9" s="171">
        <v>201.32275999999999</v>
      </c>
      <c r="ED9" s="171">
        <v>0</v>
      </c>
      <c r="EE9" s="171">
        <v>0</v>
      </c>
      <c r="EF9" s="171">
        <v>0</v>
      </c>
      <c r="EG9" s="171">
        <v>0</v>
      </c>
      <c r="EH9" s="171">
        <v>0</v>
      </c>
      <c r="EI9" s="171">
        <v>0</v>
      </c>
      <c r="EJ9" s="171">
        <v>199.28800000000001</v>
      </c>
      <c r="EK9" s="171">
        <v>208.0380323</v>
      </c>
      <c r="EL9" s="171">
        <v>20</v>
      </c>
      <c r="EM9" s="171">
        <v>22.251177599999998</v>
      </c>
      <c r="EN9" s="171">
        <v>0</v>
      </c>
      <c r="EO9" s="171">
        <v>0</v>
      </c>
      <c r="EP9" s="171">
        <v>294.95999999999992</v>
      </c>
      <c r="EQ9" s="171">
        <v>332.03019480000006</v>
      </c>
      <c r="ER9" s="171">
        <v>0</v>
      </c>
      <c r="ES9" s="171">
        <v>0</v>
      </c>
      <c r="ET9" s="171">
        <v>0</v>
      </c>
      <c r="EU9" s="171">
        <v>0</v>
      </c>
      <c r="EV9" s="171">
        <v>0</v>
      </c>
      <c r="EW9" s="171">
        <v>0</v>
      </c>
      <c r="EX9" s="171">
        <v>314.95999999999992</v>
      </c>
      <c r="EY9" s="171">
        <v>354.28137240000007</v>
      </c>
      <c r="EZ9" s="171">
        <v>5.0250000000000004</v>
      </c>
      <c r="FA9" s="171">
        <v>5.6784820999999992</v>
      </c>
      <c r="FB9" s="171">
        <v>0</v>
      </c>
      <c r="FC9" s="171">
        <v>0</v>
      </c>
      <c r="FD9" s="171">
        <v>246.56</v>
      </c>
      <c r="FE9" s="171">
        <v>276.99380329999997</v>
      </c>
      <c r="FF9" s="171">
        <v>0</v>
      </c>
      <c r="FG9" s="171">
        <v>0</v>
      </c>
      <c r="FH9" s="171">
        <v>0</v>
      </c>
      <c r="FI9" s="171">
        <v>0</v>
      </c>
      <c r="FJ9" s="171">
        <v>0</v>
      </c>
      <c r="FK9" s="171">
        <v>0</v>
      </c>
      <c r="FL9" s="171">
        <v>251.58500000000001</v>
      </c>
      <c r="FM9" s="171">
        <v>282.67228539999996</v>
      </c>
      <c r="FN9" s="171">
        <f t="shared" si="5"/>
        <v>97.154000000000011</v>
      </c>
      <c r="FO9" s="171">
        <f t="shared" si="0"/>
        <v>101.29223329999999</v>
      </c>
      <c r="FP9" s="171">
        <f t="shared" si="1"/>
        <v>5</v>
      </c>
      <c r="FQ9" s="171">
        <f t="shared" si="2"/>
        <v>5.1860999999999997</v>
      </c>
      <c r="FR9" s="171">
        <f t="shared" si="3"/>
        <v>3625.8089999999993</v>
      </c>
      <c r="FS9" s="171">
        <f t="shared" si="4"/>
        <v>3742.8536449000003</v>
      </c>
      <c r="FT9" s="171">
        <f t="shared" si="6"/>
        <v>3727.9629999999993</v>
      </c>
      <c r="FU9" s="171">
        <f t="shared" si="7"/>
        <v>3849.3319782000003</v>
      </c>
      <c r="FW9" s="135" t="s">
        <v>18</v>
      </c>
      <c r="FX9" s="44">
        <f t="shared" si="8"/>
        <v>104259.45745929143</v>
      </c>
      <c r="FY9" s="44">
        <f t="shared" si="9"/>
        <v>103722</v>
      </c>
      <c r="FZ9" s="44">
        <f t="shared" si="10"/>
        <v>103228.09736806326</v>
      </c>
      <c r="GA9" s="44">
        <f t="shared" si="11"/>
        <v>103255.63795026939</v>
      </c>
    </row>
    <row r="10" spans="1:183">
      <c r="A10" s="146" t="s">
        <v>15</v>
      </c>
      <c r="B10" s="171">
        <v>166.5</v>
      </c>
      <c r="C10" s="171">
        <v>112.73438170000001</v>
      </c>
      <c r="D10" s="171">
        <v>3</v>
      </c>
      <c r="E10" s="171">
        <v>2.19</v>
      </c>
      <c r="F10" s="171">
        <v>1775.5339999999997</v>
      </c>
      <c r="G10" s="171">
        <v>1268.5966926999997</v>
      </c>
      <c r="H10" s="171">
        <v>0</v>
      </c>
      <c r="I10" s="171">
        <v>0</v>
      </c>
      <c r="J10" s="171">
        <v>0</v>
      </c>
      <c r="K10" s="171">
        <v>0</v>
      </c>
      <c r="L10" s="171">
        <v>0</v>
      </c>
      <c r="M10" s="171">
        <v>0</v>
      </c>
      <c r="N10" s="171">
        <v>1945.0339999999997</v>
      </c>
      <c r="O10" s="171">
        <v>1383.5210743999996</v>
      </c>
      <c r="P10" s="171">
        <v>156.29999999999998</v>
      </c>
      <c r="Q10" s="171">
        <v>114.08287940000001</v>
      </c>
      <c r="R10" s="171">
        <v>43.9</v>
      </c>
      <c r="S10" s="171">
        <v>33.101500000000001</v>
      </c>
      <c r="T10" s="171">
        <v>1226.6949999999999</v>
      </c>
      <c r="U10" s="171">
        <v>861.03288279999981</v>
      </c>
      <c r="V10" s="171">
        <v>0</v>
      </c>
      <c r="W10" s="171">
        <v>0</v>
      </c>
      <c r="X10" s="171">
        <v>0</v>
      </c>
      <c r="Y10" s="171">
        <v>0</v>
      </c>
      <c r="Z10" s="171">
        <v>0</v>
      </c>
      <c r="AA10" s="171">
        <v>0</v>
      </c>
      <c r="AB10" s="171">
        <v>1426.895</v>
      </c>
      <c r="AC10" s="171">
        <v>1008.2172621999998</v>
      </c>
      <c r="AD10" s="171">
        <v>169.72500000000005</v>
      </c>
      <c r="AE10" s="171">
        <v>127.0347155</v>
      </c>
      <c r="AF10" s="171">
        <v>51.6</v>
      </c>
      <c r="AG10" s="171">
        <v>38.882249999999999</v>
      </c>
      <c r="AH10" s="171">
        <v>1480.2999999999997</v>
      </c>
      <c r="AI10" s="171">
        <v>1041.6654652999998</v>
      </c>
      <c r="AJ10" s="171">
        <v>0</v>
      </c>
      <c r="AK10" s="171">
        <v>0</v>
      </c>
      <c r="AL10" s="171">
        <v>0</v>
      </c>
      <c r="AM10" s="171">
        <v>0</v>
      </c>
      <c r="AN10" s="171">
        <v>0</v>
      </c>
      <c r="AO10" s="171">
        <v>0</v>
      </c>
      <c r="AP10" s="171">
        <v>1701.6249999999998</v>
      </c>
      <c r="AQ10" s="171">
        <v>1207.5824307999999</v>
      </c>
      <c r="AR10" s="171">
        <v>115.175</v>
      </c>
      <c r="AS10" s="171">
        <v>87.349455000000006</v>
      </c>
      <c r="AT10" s="171">
        <v>33.954999999999998</v>
      </c>
      <c r="AU10" s="171">
        <v>27.177399999999999</v>
      </c>
      <c r="AV10" s="171">
        <v>2232.7299999999996</v>
      </c>
      <c r="AW10" s="171">
        <v>1672.7209111999989</v>
      </c>
      <c r="AX10" s="171">
        <v>0</v>
      </c>
      <c r="AY10" s="171">
        <v>0</v>
      </c>
      <c r="AZ10" s="171">
        <v>0</v>
      </c>
      <c r="BA10" s="171">
        <v>0</v>
      </c>
      <c r="BB10" s="171">
        <v>0</v>
      </c>
      <c r="BC10" s="171">
        <v>0</v>
      </c>
      <c r="BD10" s="171">
        <v>2381.8599999999997</v>
      </c>
      <c r="BE10" s="171">
        <v>1787.247766199999</v>
      </c>
      <c r="BF10" s="171">
        <v>204.7</v>
      </c>
      <c r="BG10" s="171">
        <v>169.8600485</v>
      </c>
      <c r="BH10" s="171">
        <v>60.231000000000002</v>
      </c>
      <c r="BI10" s="171">
        <v>50.369230000000002</v>
      </c>
      <c r="BJ10" s="171">
        <v>1371.8000000000002</v>
      </c>
      <c r="BK10" s="171">
        <v>1149.5364155</v>
      </c>
      <c r="BL10" s="171">
        <v>0</v>
      </c>
      <c r="BM10" s="171">
        <v>0</v>
      </c>
      <c r="BN10" s="171">
        <v>0</v>
      </c>
      <c r="BO10" s="171">
        <v>0</v>
      </c>
      <c r="BP10" s="171">
        <v>0</v>
      </c>
      <c r="BQ10" s="171">
        <v>0</v>
      </c>
      <c r="BR10" s="171">
        <v>1636.7310000000002</v>
      </c>
      <c r="BS10" s="171">
        <v>1369.7656939999999</v>
      </c>
      <c r="BT10" s="171">
        <v>117</v>
      </c>
      <c r="BU10" s="171">
        <v>101.87687949999999</v>
      </c>
      <c r="BV10" s="171">
        <v>62.424999999999997</v>
      </c>
      <c r="BW10" s="171">
        <v>52.442749999999997</v>
      </c>
      <c r="BX10" s="171">
        <v>1611.5549999999998</v>
      </c>
      <c r="BY10" s="171">
        <v>1395.4743276999984</v>
      </c>
      <c r="BZ10" s="171">
        <v>0</v>
      </c>
      <c r="CA10" s="171">
        <v>0</v>
      </c>
      <c r="CB10" s="171">
        <v>0</v>
      </c>
      <c r="CC10" s="171">
        <v>0</v>
      </c>
      <c r="CD10" s="171">
        <v>0</v>
      </c>
      <c r="CE10" s="171">
        <v>0</v>
      </c>
      <c r="CF10" s="171">
        <v>1790.9799999999998</v>
      </c>
      <c r="CG10" s="171">
        <v>1549.7939571999984</v>
      </c>
      <c r="CH10" s="171">
        <v>151.19999999999999</v>
      </c>
      <c r="CI10" s="171">
        <v>131.0067209</v>
      </c>
      <c r="CJ10" s="171">
        <v>34.5</v>
      </c>
      <c r="CK10" s="171">
        <v>29.61</v>
      </c>
      <c r="CL10" s="171">
        <v>1800.4200000000003</v>
      </c>
      <c r="CM10" s="171">
        <v>1534.1590174</v>
      </c>
      <c r="CN10" s="171">
        <v>0</v>
      </c>
      <c r="CO10" s="171">
        <v>0</v>
      </c>
      <c r="CP10" s="171">
        <v>0</v>
      </c>
      <c r="CQ10" s="171">
        <v>0</v>
      </c>
      <c r="CR10" s="171">
        <v>0</v>
      </c>
      <c r="CS10" s="171">
        <v>0</v>
      </c>
      <c r="CT10" s="171">
        <v>1986.1200000000003</v>
      </c>
      <c r="CU10" s="171">
        <v>1694.7757383000001</v>
      </c>
      <c r="CV10" s="171">
        <v>173.8</v>
      </c>
      <c r="CW10" s="171">
        <v>144.52319900000001</v>
      </c>
      <c r="CX10" s="171">
        <v>45.825000000000003</v>
      </c>
      <c r="CY10" s="171">
        <v>40.622374999999998</v>
      </c>
      <c r="CZ10" s="171">
        <v>1270.5099999999998</v>
      </c>
      <c r="DA10" s="171">
        <v>1089.8736463999996</v>
      </c>
      <c r="DB10" s="171">
        <v>0</v>
      </c>
      <c r="DC10" s="171">
        <v>0</v>
      </c>
      <c r="DD10" s="171">
        <v>0</v>
      </c>
      <c r="DE10" s="171">
        <v>0</v>
      </c>
      <c r="DF10" s="171">
        <v>0</v>
      </c>
      <c r="DG10" s="171">
        <v>0</v>
      </c>
      <c r="DH10" s="171">
        <v>1490.1349999999998</v>
      </c>
      <c r="DI10" s="171">
        <v>1275.0192203999995</v>
      </c>
      <c r="DJ10" s="171">
        <v>213.6</v>
      </c>
      <c r="DK10" s="171">
        <v>203.95076580000003</v>
      </c>
      <c r="DL10" s="171">
        <v>42.075000000000003</v>
      </c>
      <c r="DM10" s="171">
        <v>38.746000000000002</v>
      </c>
      <c r="DN10" s="171">
        <v>2111.400000000001</v>
      </c>
      <c r="DO10" s="171">
        <v>1792.4078228999997</v>
      </c>
      <c r="DP10" s="171">
        <v>0</v>
      </c>
      <c r="DQ10" s="171">
        <v>0</v>
      </c>
      <c r="DR10" s="171">
        <v>0</v>
      </c>
      <c r="DS10" s="171">
        <v>0</v>
      </c>
      <c r="DT10" s="171">
        <v>0</v>
      </c>
      <c r="DU10" s="171">
        <v>0</v>
      </c>
      <c r="DV10" s="171">
        <v>2367.0750000000012</v>
      </c>
      <c r="DW10" s="171">
        <v>2035.1045886999998</v>
      </c>
      <c r="DX10" s="171">
        <v>267.10000000000002</v>
      </c>
      <c r="DY10" s="171">
        <v>270.24184319999995</v>
      </c>
      <c r="DZ10" s="171">
        <v>51.075000000000003</v>
      </c>
      <c r="EA10" s="171">
        <v>49.631999999999998</v>
      </c>
      <c r="EB10" s="171">
        <v>1037.29</v>
      </c>
      <c r="EC10" s="171">
        <v>890.61157189999994</v>
      </c>
      <c r="ED10" s="171">
        <v>0</v>
      </c>
      <c r="EE10" s="171">
        <v>0</v>
      </c>
      <c r="EF10" s="171">
        <v>0</v>
      </c>
      <c r="EG10" s="171">
        <v>0</v>
      </c>
      <c r="EH10" s="171">
        <v>0</v>
      </c>
      <c r="EI10" s="171">
        <v>0</v>
      </c>
      <c r="EJ10" s="171">
        <v>1355.4649999999999</v>
      </c>
      <c r="EK10" s="171">
        <v>1210.4854151</v>
      </c>
      <c r="EL10" s="171">
        <v>175.02500000000001</v>
      </c>
      <c r="EM10" s="171">
        <v>179.35306700000004</v>
      </c>
      <c r="EN10" s="171">
        <v>24.8</v>
      </c>
      <c r="EO10" s="171">
        <v>24.204000000000001</v>
      </c>
      <c r="EP10" s="171">
        <v>1189.2000000000003</v>
      </c>
      <c r="EQ10" s="171">
        <v>1065.5834841000001</v>
      </c>
      <c r="ER10" s="171">
        <v>0</v>
      </c>
      <c r="ES10" s="171">
        <v>0</v>
      </c>
      <c r="ET10" s="171">
        <v>0</v>
      </c>
      <c r="EU10" s="171">
        <v>0</v>
      </c>
      <c r="EV10" s="171">
        <v>0</v>
      </c>
      <c r="EW10" s="171">
        <v>0</v>
      </c>
      <c r="EX10" s="171">
        <v>1389.0250000000003</v>
      </c>
      <c r="EY10" s="171">
        <v>1269.1405511</v>
      </c>
      <c r="EZ10" s="171">
        <v>268.64999999999998</v>
      </c>
      <c r="FA10" s="171">
        <v>273.23496799999998</v>
      </c>
      <c r="FB10" s="171">
        <v>45.2</v>
      </c>
      <c r="FC10" s="171">
        <v>44.146000000000001</v>
      </c>
      <c r="FD10" s="171">
        <v>3129.7499999999995</v>
      </c>
      <c r="FE10" s="171">
        <v>2712.6397870000001</v>
      </c>
      <c r="FF10" s="171">
        <v>0</v>
      </c>
      <c r="FG10" s="171">
        <v>0</v>
      </c>
      <c r="FH10" s="171">
        <v>0</v>
      </c>
      <c r="FI10" s="171">
        <v>0</v>
      </c>
      <c r="FJ10" s="171">
        <v>0</v>
      </c>
      <c r="FK10" s="171">
        <v>0</v>
      </c>
      <c r="FL10" s="171">
        <v>3443.5999999999995</v>
      </c>
      <c r="FM10" s="171">
        <v>3030.020755</v>
      </c>
      <c r="FN10" s="171">
        <f t="shared" si="5"/>
        <v>2178.7750000000001</v>
      </c>
      <c r="FO10" s="171">
        <f t="shared" si="0"/>
        <v>1915.2489235</v>
      </c>
      <c r="FP10" s="171">
        <f t="shared" si="1"/>
        <v>498.58599999999996</v>
      </c>
      <c r="FQ10" s="171">
        <f t="shared" si="2"/>
        <v>431.12350499999997</v>
      </c>
      <c r="FR10" s="171">
        <f t="shared" si="3"/>
        <v>20237.184000000001</v>
      </c>
      <c r="FS10" s="171">
        <f t="shared" si="4"/>
        <v>16474.302024899996</v>
      </c>
      <c r="FT10" s="171">
        <f t="shared" si="6"/>
        <v>22914.545000000002</v>
      </c>
      <c r="FU10" s="171">
        <f t="shared" si="7"/>
        <v>18820.674453399995</v>
      </c>
      <c r="FW10" s="135" t="s">
        <v>15</v>
      </c>
      <c r="FX10" s="44">
        <f t="shared" si="8"/>
        <v>87904.85128110979</v>
      </c>
      <c r="FY10" s="44">
        <f t="shared" si="9"/>
        <v>86469.23599940633</v>
      </c>
      <c r="FZ10" s="44">
        <f t="shared" si="10"/>
        <v>81406.098916232586</v>
      </c>
      <c r="GA10" s="44">
        <f t="shared" si="11"/>
        <v>82134.183565067477</v>
      </c>
    </row>
    <row r="11" spans="1:183">
      <c r="A11" s="146" t="s">
        <v>16</v>
      </c>
      <c r="B11" s="171">
        <v>2</v>
      </c>
      <c r="C11" s="171">
        <v>1.5724723999999999</v>
      </c>
      <c r="D11" s="171">
        <v>5</v>
      </c>
      <c r="E11" s="171">
        <v>4.05</v>
      </c>
      <c r="F11" s="171">
        <v>123.94000000000001</v>
      </c>
      <c r="G11" s="171">
        <v>103.28512030000002</v>
      </c>
      <c r="H11" s="171">
        <v>0</v>
      </c>
      <c r="I11" s="171">
        <v>0</v>
      </c>
      <c r="J11" s="171">
        <v>0</v>
      </c>
      <c r="K11" s="171">
        <v>0</v>
      </c>
      <c r="L11" s="171">
        <v>0</v>
      </c>
      <c r="M11" s="171">
        <v>0</v>
      </c>
      <c r="N11" s="171">
        <v>130.94</v>
      </c>
      <c r="O11" s="171">
        <v>108.90759270000001</v>
      </c>
      <c r="P11" s="171">
        <v>2.5</v>
      </c>
      <c r="Q11" s="171">
        <v>2.0385647999999996</v>
      </c>
      <c r="R11" s="171">
        <v>0</v>
      </c>
      <c r="S11" s="171">
        <v>0</v>
      </c>
      <c r="T11" s="171">
        <v>28.9</v>
      </c>
      <c r="U11" s="171">
        <v>24.241977299999999</v>
      </c>
      <c r="V11" s="171">
        <v>0</v>
      </c>
      <c r="W11" s="171">
        <v>0</v>
      </c>
      <c r="X11" s="171">
        <v>0</v>
      </c>
      <c r="Y11" s="171">
        <v>0</v>
      </c>
      <c r="Z11" s="171">
        <v>0</v>
      </c>
      <c r="AA11" s="171">
        <v>0</v>
      </c>
      <c r="AB11" s="171">
        <v>31.4</v>
      </c>
      <c r="AC11" s="171">
        <v>26.280542099999998</v>
      </c>
      <c r="AD11" s="171">
        <v>0</v>
      </c>
      <c r="AE11" s="171">
        <v>0</v>
      </c>
      <c r="AF11" s="171">
        <v>0</v>
      </c>
      <c r="AG11" s="171">
        <v>0</v>
      </c>
      <c r="AH11" s="171">
        <v>0</v>
      </c>
      <c r="AI11" s="171">
        <v>0</v>
      </c>
      <c r="AJ11" s="171">
        <v>0</v>
      </c>
      <c r="AK11" s="171">
        <v>0</v>
      </c>
      <c r="AL11" s="171">
        <v>0</v>
      </c>
      <c r="AM11" s="171">
        <v>0</v>
      </c>
      <c r="AN11" s="171">
        <v>0</v>
      </c>
      <c r="AO11" s="171">
        <v>0</v>
      </c>
      <c r="AP11" s="171">
        <v>0</v>
      </c>
      <c r="AQ11" s="171">
        <v>0</v>
      </c>
      <c r="AR11" s="171">
        <v>1</v>
      </c>
      <c r="AS11" s="171">
        <v>0.88</v>
      </c>
      <c r="AT11" s="171">
        <v>0</v>
      </c>
      <c r="AU11" s="171">
        <v>0</v>
      </c>
      <c r="AV11" s="171">
        <v>36.28</v>
      </c>
      <c r="AW11" s="171">
        <v>33.214257000000003</v>
      </c>
      <c r="AX11" s="171">
        <v>0</v>
      </c>
      <c r="AY11" s="171">
        <v>0</v>
      </c>
      <c r="AZ11" s="171">
        <v>0</v>
      </c>
      <c r="BA11" s="171">
        <v>0</v>
      </c>
      <c r="BB11" s="171">
        <v>0</v>
      </c>
      <c r="BC11" s="171">
        <v>0</v>
      </c>
      <c r="BD11" s="171">
        <v>37.28</v>
      </c>
      <c r="BE11" s="171">
        <v>34.094257000000006</v>
      </c>
      <c r="BF11" s="171">
        <v>2</v>
      </c>
      <c r="BG11" s="171">
        <v>1.7651486999999999</v>
      </c>
      <c r="BH11" s="171">
        <v>0</v>
      </c>
      <c r="BI11" s="171">
        <v>0</v>
      </c>
      <c r="BJ11" s="171">
        <v>78</v>
      </c>
      <c r="BK11" s="171">
        <v>70.858181300000012</v>
      </c>
      <c r="BL11" s="171">
        <v>0</v>
      </c>
      <c r="BM11" s="171">
        <v>0</v>
      </c>
      <c r="BN11" s="171">
        <v>0</v>
      </c>
      <c r="BO11" s="171">
        <v>0</v>
      </c>
      <c r="BP11" s="171">
        <v>0</v>
      </c>
      <c r="BQ11" s="171">
        <v>0</v>
      </c>
      <c r="BR11" s="171">
        <v>80</v>
      </c>
      <c r="BS11" s="171">
        <v>72.62333000000001</v>
      </c>
      <c r="BT11" s="171">
        <v>0</v>
      </c>
      <c r="BU11" s="171">
        <v>0</v>
      </c>
      <c r="BV11" s="171">
        <v>0.75</v>
      </c>
      <c r="BW11" s="171">
        <v>0.73124999999999996</v>
      </c>
      <c r="BX11" s="171">
        <v>3</v>
      </c>
      <c r="BY11" s="171">
        <v>3.0997721</v>
      </c>
      <c r="BZ11" s="171">
        <v>0</v>
      </c>
      <c r="CA11" s="171">
        <v>0</v>
      </c>
      <c r="CB11" s="171">
        <v>0</v>
      </c>
      <c r="CC11" s="171">
        <v>0</v>
      </c>
      <c r="CD11" s="171">
        <v>0</v>
      </c>
      <c r="CE11" s="171">
        <v>0</v>
      </c>
      <c r="CF11" s="171">
        <v>3.75</v>
      </c>
      <c r="CG11" s="171">
        <v>3.8310221000000002</v>
      </c>
      <c r="CH11" s="171">
        <v>0.2</v>
      </c>
      <c r="CI11" s="171">
        <v>0.18994630000000001</v>
      </c>
      <c r="CJ11" s="171">
        <v>3.5</v>
      </c>
      <c r="CK11" s="171">
        <v>3.22</v>
      </c>
      <c r="CL11" s="171">
        <v>6</v>
      </c>
      <c r="CM11" s="171">
        <v>5.9739765</v>
      </c>
      <c r="CN11" s="171">
        <v>0</v>
      </c>
      <c r="CO11" s="171">
        <v>0</v>
      </c>
      <c r="CP11" s="171">
        <v>0</v>
      </c>
      <c r="CQ11" s="171">
        <v>0</v>
      </c>
      <c r="CR11" s="171">
        <v>0</v>
      </c>
      <c r="CS11" s="171">
        <v>0</v>
      </c>
      <c r="CT11" s="171">
        <v>9.6999999999999993</v>
      </c>
      <c r="CU11" s="171">
        <v>9.3839228000000006</v>
      </c>
      <c r="CV11" s="171">
        <v>0.6</v>
      </c>
      <c r="CW11" s="171">
        <v>0.57559480000000007</v>
      </c>
      <c r="CX11" s="171">
        <v>0</v>
      </c>
      <c r="CY11" s="171">
        <v>0</v>
      </c>
      <c r="CZ11" s="171">
        <v>11</v>
      </c>
      <c r="DA11" s="171">
        <v>10.0448483</v>
      </c>
      <c r="DB11" s="171">
        <v>0</v>
      </c>
      <c r="DC11" s="171">
        <v>0</v>
      </c>
      <c r="DD11" s="171">
        <v>0</v>
      </c>
      <c r="DE11" s="171">
        <v>0</v>
      </c>
      <c r="DF11" s="171">
        <v>0</v>
      </c>
      <c r="DG11" s="171">
        <v>0</v>
      </c>
      <c r="DH11" s="171">
        <v>11.6</v>
      </c>
      <c r="DI11" s="171">
        <v>10.620443099999999</v>
      </c>
      <c r="DJ11" s="171">
        <v>2.1749999999999998</v>
      </c>
      <c r="DK11" s="171">
        <v>2.0865311000000002</v>
      </c>
      <c r="DL11" s="171">
        <v>0</v>
      </c>
      <c r="DM11" s="171">
        <v>0</v>
      </c>
      <c r="DN11" s="171">
        <v>47.28</v>
      </c>
      <c r="DO11" s="171">
        <v>53.756428300000003</v>
      </c>
      <c r="DP11" s="171">
        <v>0</v>
      </c>
      <c r="DQ11" s="171">
        <v>0</v>
      </c>
      <c r="DR11" s="171">
        <v>0</v>
      </c>
      <c r="DS11" s="171">
        <v>0</v>
      </c>
      <c r="DT11" s="171">
        <v>0</v>
      </c>
      <c r="DU11" s="171">
        <v>0</v>
      </c>
      <c r="DV11" s="171">
        <v>49.454999999999998</v>
      </c>
      <c r="DW11" s="171">
        <v>55.842959400000005</v>
      </c>
      <c r="DX11" s="171">
        <v>0</v>
      </c>
      <c r="DY11" s="171">
        <v>0</v>
      </c>
      <c r="DZ11" s="171">
        <v>0</v>
      </c>
      <c r="EA11" s="171">
        <v>0</v>
      </c>
      <c r="EB11" s="171">
        <v>27.015000000000001</v>
      </c>
      <c r="EC11" s="171">
        <v>25.5921363</v>
      </c>
      <c r="ED11" s="171">
        <v>0</v>
      </c>
      <c r="EE11" s="171">
        <v>0</v>
      </c>
      <c r="EF11" s="171">
        <v>0</v>
      </c>
      <c r="EG11" s="171">
        <v>0</v>
      </c>
      <c r="EH11" s="171">
        <v>0</v>
      </c>
      <c r="EI11" s="171">
        <v>0</v>
      </c>
      <c r="EJ11" s="171">
        <v>27.015000000000001</v>
      </c>
      <c r="EK11" s="171">
        <v>25.5921363</v>
      </c>
      <c r="EL11" s="171">
        <v>0</v>
      </c>
      <c r="EM11" s="171">
        <v>0</v>
      </c>
      <c r="EN11" s="171">
        <v>0</v>
      </c>
      <c r="EO11" s="171">
        <v>0</v>
      </c>
      <c r="EP11" s="171">
        <v>6.8000000000000007</v>
      </c>
      <c r="EQ11" s="171">
        <v>6.3226890000000004</v>
      </c>
      <c r="ER11" s="171">
        <v>0</v>
      </c>
      <c r="ES11" s="171">
        <v>0</v>
      </c>
      <c r="ET11" s="171">
        <v>0</v>
      </c>
      <c r="EU11" s="171">
        <v>0</v>
      </c>
      <c r="EV11" s="171">
        <v>0</v>
      </c>
      <c r="EW11" s="171">
        <v>0</v>
      </c>
      <c r="EX11" s="171">
        <v>6.8000000000000007</v>
      </c>
      <c r="EY11" s="171">
        <v>6.3226890000000004</v>
      </c>
      <c r="EZ11" s="171">
        <v>0</v>
      </c>
      <c r="FA11" s="171">
        <v>0</v>
      </c>
      <c r="FB11" s="171">
        <v>0</v>
      </c>
      <c r="FC11" s="171">
        <v>0</v>
      </c>
      <c r="FD11" s="171">
        <v>0</v>
      </c>
      <c r="FE11" s="171">
        <v>0</v>
      </c>
      <c r="FF11" s="171">
        <v>0</v>
      </c>
      <c r="FG11" s="171">
        <v>0</v>
      </c>
      <c r="FH11" s="171">
        <v>0</v>
      </c>
      <c r="FI11" s="171">
        <v>0</v>
      </c>
      <c r="FJ11" s="171">
        <v>0</v>
      </c>
      <c r="FK11" s="171">
        <v>0</v>
      </c>
      <c r="FL11" s="171">
        <v>0</v>
      </c>
      <c r="FM11" s="171">
        <v>0</v>
      </c>
      <c r="FN11" s="171">
        <f t="shared" si="5"/>
        <v>10.475000000000001</v>
      </c>
      <c r="FO11" s="171">
        <f t="shared" si="0"/>
        <v>9.1082581000000005</v>
      </c>
      <c r="FP11" s="171">
        <f t="shared" si="1"/>
        <v>9.25</v>
      </c>
      <c r="FQ11" s="171">
        <f t="shared" si="2"/>
        <v>8.0012500000000006</v>
      </c>
      <c r="FR11" s="171">
        <f t="shared" si="3"/>
        <v>368.21499999999997</v>
      </c>
      <c r="FS11" s="171">
        <f t="shared" si="4"/>
        <v>336.38938640000003</v>
      </c>
      <c r="FT11" s="171">
        <f t="shared" si="6"/>
        <v>387.94</v>
      </c>
      <c r="FU11" s="171">
        <f t="shared" si="7"/>
        <v>353.49889450000001</v>
      </c>
      <c r="FW11" s="135" t="s">
        <v>16</v>
      </c>
      <c r="FX11" s="44">
        <f t="shared" si="8"/>
        <v>86952.344630071588</v>
      </c>
      <c r="FY11" s="44">
        <f t="shared" si="9"/>
        <v>86500.000000000015</v>
      </c>
      <c r="FZ11" s="44">
        <f t="shared" si="10"/>
        <v>91356.785139117099</v>
      </c>
      <c r="GA11" s="44">
        <f t="shared" si="11"/>
        <v>91122.053539207103</v>
      </c>
    </row>
    <row r="12" spans="1:183">
      <c r="A12" s="146" t="s">
        <v>148</v>
      </c>
      <c r="B12" s="171"/>
      <c r="C12" s="171"/>
      <c r="D12" s="171"/>
      <c r="E12" s="171"/>
      <c r="F12" s="171"/>
      <c r="G12" s="171"/>
      <c r="H12" s="171">
        <v>120.66999999999999</v>
      </c>
      <c r="I12" s="171">
        <v>38.918250999999998</v>
      </c>
      <c r="J12" s="171">
        <v>84.575000000000003</v>
      </c>
      <c r="K12" s="171">
        <v>187.48824999999999</v>
      </c>
      <c r="L12" s="171">
        <v>116.58</v>
      </c>
      <c r="M12" s="171">
        <v>272.92332800000003</v>
      </c>
      <c r="N12" s="171">
        <v>321.82499999999999</v>
      </c>
      <c r="O12" s="171">
        <v>499.32982900000002</v>
      </c>
      <c r="P12" s="171"/>
      <c r="Q12" s="171"/>
      <c r="R12" s="171"/>
      <c r="S12" s="171"/>
      <c r="T12" s="171"/>
      <c r="U12" s="171"/>
      <c r="V12" s="171">
        <v>96.92</v>
      </c>
      <c r="W12" s="171">
        <v>57.551152300000005</v>
      </c>
      <c r="X12" s="171">
        <v>115</v>
      </c>
      <c r="Y12" s="171">
        <v>237.72499999999999</v>
      </c>
      <c r="Z12" s="171">
        <v>255.09999999999997</v>
      </c>
      <c r="AA12" s="171">
        <v>578.89709199999993</v>
      </c>
      <c r="AB12" s="171">
        <v>467.02</v>
      </c>
      <c r="AC12" s="171">
        <v>874.17324429999985</v>
      </c>
      <c r="AD12" s="171"/>
      <c r="AE12" s="171"/>
      <c r="AF12" s="171"/>
      <c r="AG12" s="171"/>
      <c r="AH12" s="171"/>
      <c r="AI12" s="171"/>
      <c r="AJ12" s="171">
        <v>110.85999999999999</v>
      </c>
      <c r="AK12" s="171">
        <v>47.414787399999994</v>
      </c>
      <c r="AL12" s="171">
        <v>88</v>
      </c>
      <c r="AM12" s="171">
        <v>185.07</v>
      </c>
      <c r="AN12" s="171">
        <v>103.4</v>
      </c>
      <c r="AO12" s="171">
        <v>242.67239389999997</v>
      </c>
      <c r="AP12" s="171">
        <v>302.26</v>
      </c>
      <c r="AQ12" s="171">
        <v>475.15718129999993</v>
      </c>
      <c r="AR12" s="171"/>
      <c r="AS12" s="171"/>
      <c r="AT12" s="171"/>
      <c r="AU12" s="171"/>
      <c r="AV12" s="171"/>
      <c r="AW12" s="171"/>
      <c r="AX12" s="171">
        <v>89.185000000000002</v>
      </c>
      <c r="AY12" s="171">
        <v>34.742141900000007</v>
      </c>
      <c r="AZ12" s="171">
        <v>111</v>
      </c>
      <c r="BA12" s="171">
        <v>232.448125</v>
      </c>
      <c r="BB12" s="171">
        <v>30.4</v>
      </c>
      <c r="BC12" s="171">
        <v>73.302468800000014</v>
      </c>
      <c r="BD12" s="171">
        <v>230.58500000000001</v>
      </c>
      <c r="BE12" s="171">
        <v>340.49273570000003</v>
      </c>
      <c r="BF12" s="171"/>
      <c r="BG12" s="171"/>
      <c r="BH12" s="171"/>
      <c r="BI12" s="171"/>
      <c r="BJ12" s="171"/>
      <c r="BK12" s="171"/>
      <c r="BL12" s="171">
        <v>216.05999999999997</v>
      </c>
      <c r="BM12" s="171">
        <v>89.775010799999976</v>
      </c>
      <c r="BN12" s="171">
        <v>70</v>
      </c>
      <c r="BO12" s="171">
        <v>137.99</v>
      </c>
      <c r="BP12" s="171">
        <v>211</v>
      </c>
      <c r="BQ12" s="171">
        <v>526.73236640000016</v>
      </c>
      <c r="BR12" s="171">
        <v>497.05999999999995</v>
      </c>
      <c r="BS12" s="171">
        <v>754.49737720000007</v>
      </c>
      <c r="BT12" s="171"/>
      <c r="BU12" s="171"/>
      <c r="BV12" s="171"/>
      <c r="BW12" s="171"/>
      <c r="BX12" s="171"/>
      <c r="BY12" s="171"/>
      <c r="BZ12" s="171">
        <v>51.879999999999995</v>
      </c>
      <c r="CA12" s="171">
        <v>42.648966899999998</v>
      </c>
      <c r="CB12" s="171">
        <v>23.5</v>
      </c>
      <c r="CC12" s="171">
        <v>46.55</v>
      </c>
      <c r="CD12" s="171">
        <v>120.4</v>
      </c>
      <c r="CE12" s="171">
        <v>319.05117150000007</v>
      </c>
      <c r="CF12" s="171">
        <v>195.78</v>
      </c>
      <c r="CG12" s="171">
        <v>408.25013840000008</v>
      </c>
      <c r="CH12" s="171"/>
      <c r="CI12" s="171"/>
      <c r="CJ12" s="171"/>
      <c r="CK12" s="171"/>
      <c r="CL12" s="171"/>
      <c r="CM12" s="171"/>
      <c r="CN12" s="171">
        <v>94.509999999999991</v>
      </c>
      <c r="CO12" s="171">
        <v>34.906978700000003</v>
      </c>
      <c r="CP12" s="171">
        <v>39.683</v>
      </c>
      <c r="CQ12" s="171">
        <v>81.207335</v>
      </c>
      <c r="CR12" s="171">
        <v>18.024999999999999</v>
      </c>
      <c r="CS12" s="171">
        <v>50.386227699999992</v>
      </c>
      <c r="CT12" s="171">
        <v>152.21799999999999</v>
      </c>
      <c r="CU12" s="171">
        <v>166.50054139999997</v>
      </c>
      <c r="CV12" s="171"/>
      <c r="CW12" s="171"/>
      <c r="CX12" s="171"/>
      <c r="CY12" s="171"/>
      <c r="CZ12" s="171"/>
      <c r="DA12" s="171"/>
      <c r="DB12" s="171">
        <v>147.72999999999996</v>
      </c>
      <c r="DC12" s="171">
        <v>41.5203062</v>
      </c>
      <c r="DD12" s="171">
        <v>56.075000000000003</v>
      </c>
      <c r="DE12" s="171">
        <v>107.889</v>
      </c>
      <c r="DF12" s="171">
        <v>165.4</v>
      </c>
      <c r="DG12" s="171">
        <v>430.82229820000009</v>
      </c>
      <c r="DH12" s="171">
        <v>369.20499999999993</v>
      </c>
      <c r="DI12" s="171">
        <v>580.23160440000015</v>
      </c>
      <c r="DJ12" s="171"/>
      <c r="DK12" s="171"/>
      <c r="DL12" s="171"/>
      <c r="DM12" s="171"/>
      <c r="DN12" s="171"/>
      <c r="DO12" s="171"/>
      <c r="DP12" s="171">
        <v>303.33499999999998</v>
      </c>
      <c r="DQ12" s="171">
        <v>89.367633499999997</v>
      </c>
      <c r="DR12" s="171">
        <v>20</v>
      </c>
      <c r="DS12" s="171">
        <v>38.4</v>
      </c>
      <c r="DT12" s="171">
        <v>208.33</v>
      </c>
      <c r="DU12" s="171">
        <v>523.21736959999998</v>
      </c>
      <c r="DV12" s="171">
        <v>531.66499999999996</v>
      </c>
      <c r="DW12" s="171">
        <v>650.98500309999997</v>
      </c>
      <c r="DX12" s="171"/>
      <c r="DY12" s="171"/>
      <c r="DZ12" s="171"/>
      <c r="EA12" s="171"/>
      <c r="EB12" s="171"/>
      <c r="EC12" s="171"/>
      <c r="ED12" s="171">
        <v>9</v>
      </c>
      <c r="EE12" s="171">
        <v>20.535</v>
      </c>
      <c r="EF12" s="171">
        <v>23.5</v>
      </c>
      <c r="EG12" s="171">
        <v>49.7</v>
      </c>
      <c r="EH12" s="171">
        <v>346.4</v>
      </c>
      <c r="EI12" s="171">
        <v>878.58677839999984</v>
      </c>
      <c r="EJ12" s="171">
        <v>378.9</v>
      </c>
      <c r="EK12" s="171">
        <v>948.82177839999986</v>
      </c>
      <c r="EL12" s="171"/>
      <c r="EM12" s="171"/>
      <c r="EN12" s="171"/>
      <c r="EO12" s="171"/>
      <c r="EP12" s="171"/>
      <c r="EQ12" s="171"/>
      <c r="ER12" s="171">
        <v>264.20000000000005</v>
      </c>
      <c r="ES12" s="171">
        <v>137.83370689999998</v>
      </c>
      <c r="ET12" s="171">
        <v>65.193000000000012</v>
      </c>
      <c r="EU12" s="171">
        <v>133.36928499999999</v>
      </c>
      <c r="EV12" s="171">
        <v>547.9</v>
      </c>
      <c r="EW12" s="171">
        <v>1405.0459098000006</v>
      </c>
      <c r="EX12" s="171">
        <v>877.29300000000001</v>
      </c>
      <c r="EY12" s="171">
        <v>1676.2489017000005</v>
      </c>
      <c r="EZ12" s="171"/>
      <c r="FA12" s="171"/>
      <c r="FB12" s="171"/>
      <c r="FC12" s="171"/>
      <c r="FD12" s="171"/>
      <c r="FE12" s="171"/>
      <c r="FF12" s="171">
        <v>167.88500000000002</v>
      </c>
      <c r="FG12" s="171">
        <v>73.243936599999998</v>
      </c>
      <c r="FH12" s="171">
        <v>86.051999999999992</v>
      </c>
      <c r="FI12" s="171">
        <v>173.33736500000001</v>
      </c>
      <c r="FJ12" s="171">
        <v>32.050000000000004</v>
      </c>
      <c r="FK12" s="171">
        <v>81.275868799999998</v>
      </c>
      <c r="FL12" s="171">
        <v>285.98700000000002</v>
      </c>
      <c r="FM12" s="171">
        <v>327.85717040000003</v>
      </c>
      <c r="FN12" s="171">
        <f t="shared" si="5"/>
        <v>1672.2349999999999</v>
      </c>
      <c r="FO12" s="171">
        <f t="shared" si="0"/>
        <v>708.4578722</v>
      </c>
      <c r="FP12" s="171">
        <f t="shared" si="1"/>
        <v>782.57800000000009</v>
      </c>
      <c r="FQ12" s="171">
        <f t="shared" si="2"/>
        <v>1611.1743600000002</v>
      </c>
      <c r="FR12" s="171">
        <f t="shared" si="3"/>
        <v>2154.9850000000001</v>
      </c>
      <c r="FS12" s="171">
        <f t="shared" si="4"/>
        <v>5382.9132731000009</v>
      </c>
      <c r="FT12" s="171">
        <f t="shared" si="6"/>
        <v>4609.7980000000007</v>
      </c>
      <c r="FU12" s="171">
        <f t="shared" si="7"/>
        <v>7702.5455053000005</v>
      </c>
      <c r="FW12" s="135" t="s">
        <v>148</v>
      </c>
      <c r="FX12" s="44">
        <f t="shared" si="8"/>
        <v>42365.927767329355</v>
      </c>
      <c r="FY12" s="44">
        <f t="shared" si="9"/>
        <v>205880.35441834552</v>
      </c>
      <c r="FZ12" s="44">
        <f t="shared" si="10"/>
        <v>249788.89751436785</v>
      </c>
      <c r="GA12" s="44">
        <f t="shared" si="11"/>
        <v>167090.73814731144</v>
      </c>
    </row>
    <row r="13" spans="1:183">
      <c r="A13" s="166" t="s">
        <v>20</v>
      </c>
      <c r="B13" s="176">
        <f>SUM(B5:B12)</f>
        <v>1114.17</v>
      </c>
      <c r="C13" s="176">
        <f t="shared" ref="C13:BN13" si="12">SUM(C5:C12)</f>
        <v>835.41875019999998</v>
      </c>
      <c r="D13" s="176">
        <f t="shared" si="12"/>
        <v>1626.8899999999999</v>
      </c>
      <c r="E13" s="176">
        <f t="shared" si="12"/>
        <v>1170.2968349000007</v>
      </c>
      <c r="F13" s="176">
        <f t="shared" si="12"/>
        <v>5999.0739999999987</v>
      </c>
      <c r="G13" s="176">
        <f t="shared" si="12"/>
        <v>4460.9511752999988</v>
      </c>
      <c r="H13" s="176">
        <f t="shared" si="12"/>
        <v>120.66999999999999</v>
      </c>
      <c r="I13" s="176">
        <f t="shared" si="12"/>
        <v>38.918250999999998</v>
      </c>
      <c r="J13" s="176">
        <f t="shared" si="12"/>
        <v>84.575000000000003</v>
      </c>
      <c r="K13" s="176">
        <f t="shared" si="12"/>
        <v>187.48824999999999</v>
      </c>
      <c r="L13" s="176">
        <f t="shared" si="12"/>
        <v>116.58</v>
      </c>
      <c r="M13" s="176">
        <f t="shared" si="12"/>
        <v>272.92332800000003</v>
      </c>
      <c r="N13" s="176">
        <f t="shared" si="12"/>
        <v>9061.9590000000007</v>
      </c>
      <c r="O13" s="176">
        <f t="shared" si="12"/>
        <v>6965.9965894000006</v>
      </c>
      <c r="P13" s="176">
        <f t="shared" si="12"/>
        <v>1313.8099999999997</v>
      </c>
      <c r="Q13" s="176">
        <f t="shared" si="12"/>
        <v>1055.1528415</v>
      </c>
      <c r="R13" s="176">
        <f t="shared" si="12"/>
        <v>958.7399999999999</v>
      </c>
      <c r="S13" s="176">
        <f t="shared" si="12"/>
        <v>727.25710800000002</v>
      </c>
      <c r="T13" s="176">
        <f t="shared" si="12"/>
        <v>5569.6600000000008</v>
      </c>
      <c r="U13" s="176">
        <f t="shared" si="12"/>
        <v>4083.1859126000004</v>
      </c>
      <c r="V13" s="176">
        <f t="shared" si="12"/>
        <v>96.92</v>
      </c>
      <c r="W13" s="176">
        <f t="shared" si="12"/>
        <v>57.551152300000005</v>
      </c>
      <c r="X13" s="176">
        <f t="shared" si="12"/>
        <v>115</v>
      </c>
      <c r="Y13" s="176">
        <f t="shared" si="12"/>
        <v>237.72499999999999</v>
      </c>
      <c r="Z13" s="176">
        <f t="shared" si="12"/>
        <v>255.09999999999997</v>
      </c>
      <c r="AA13" s="176">
        <f t="shared" si="12"/>
        <v>578.89709199999993</v>
      </c>
      <c r="AB13" s="176">
        <f t="shared" si="12"/>
        <v>8309.2300000000014</v>
      </c>
      <c r="AC13" s="176">
        <f t="shared" si="12"/>
        <v>6739.769106400001</v>
      </c>
      <c r="AD13" s="176">
        <f t="shared" si="12"/>
        <v>936.46899999999971</v>
      </c>
      <c r="AE13" s="176">
        <f t="shared" si="12"/>
        <v>746.90492539999991</v>
      </c>
      <c r="AF13" s="176">
        <f t="shared" si="12"/>
        <v>1217.5899999999995</v>
      </c>
      <c r="AG13" s="176">
        <f t="shared" si="12"/>
        <v>989.75827200000003</v>
      </c>
      <c r="AH13" s="176">
        <f t="shared" si="12"/>
        <v>6797.9</v>
      </c>
      <c r="AI13" s="176">
        <f t="shared" si="12"/>
        <v>5241.0379251000004</v>
      </c>
      <c r="AJ13" s="176">
        <f t="shared" si="12"/>
        <v>110.85999999999999</v>
      </c>
      <c r="AK13" s="176">
        <f t="shared" si="12"/>
        <v>47.414787399999994</v>
      </c>
      <c r="AL13" s="176">
        <f t="shared" si="12"/>
        <v>88</v>
      </c>
      <c r="AM13" s="176">
        <f t="shared" si="12"/>
        <v>185.07</v>
      </c>
      <c r="AN13" s="176">
        <f t="shared" si="12"/>
        <v>103.4</v>
      </c>
      <c r="AO13" s="176">
        <f t="shared" si="12"/>
        <v>242.67239389999997</v>
      </c>
      <c r="AP13" s="176">
        <f t="shared" si="12"/>
        <v>9254.2189999999991</v>
      </c>
      <c r="AQ13" s="176">
        <f t="shared" si="12"/>
        <v>7452.8583038000006</v>
      </c>
      <c r="AR13" s="176">
        <f t="shared" si="12"/>
        <v>1023.3849999999998</v>
      </c>
      <c r="AS13" s="176">
        <f t="shared" si="12"/>
        <v>861.15487429999973</v>
      </c>
      <c r="AT13" s="176">
        <f t="shared" si="12"/>
        <v>354.51500000000004</v>
      </c>
      <c r="AU13" s="176">
        <f t="shared" si="12"/>
        <v>303.01656499999996</v>
      </c>
      <c r="AV13" s="176">
        <f t="shared" si="12"/>
        <v>7379.7999999999993</v>
      </c>
      <c r="AW13" s="176">
        <f t="shared" si="12"/>
        <v>6115.4038988999982</v>
      </c>
      <c r="AX13" s="176">
        <f t="shared" si="12"/>
        <v>89.185000000000002</v>
      </c>
      <c r="AY13" s="176">
        <f t="shared" si="12"/>
        <v>34.742141900000007</v>
      </c>
      <c r="AZ13" s="176">
        <f t="shared" si="12"/>
        <v>111</v>
      </c>
      <c r="BA13" s="176">
        <f t="shared" si="12"/>
        <v>232.448125</v>
      </c>
      <c r="BB13" s="176">
        <f t="shared" si="12"/>
        <v>30.4</v>
      </c>
      <c r="BC13" s="176">
        <f t="shared" si="12"/>
        <v>73.302468800000014</v>
      </c>
      <c r="BD13" s="176">
        <f t="shared" si="12"/>
        <v>8988.2849999999999</v>
      </c>
      <c r="BE13" s="176">
        <f t="shared" si="12"/>
        <v>7620.0680738999981</v>
      </c>
      <c r="BF13" s="176">
        <f t="shared" si="12"/>
        <v>2227.8000000000002</v>
      </c>
      <c r="BG13" s="176">
        <f t="shared" si="12"/>
        <v>1892.7133837999997</v>
      </c>
      <c r="BH13" s="176">
        <f t="shared" si="12"/>
        <v>196.511</v>
      </c>
      <c r="BI13" s="176">
        <f t="shared" si="12"/>
        <v>176.49162519999999</v>
      </c>
      <c r="BJ13" s="176">
        <f t="shared" si="12"/>
        <v>4963.0799999999981</v>
      </c>
      <c r="BK13" s="176">
        <f t="shared" si="12"/>
        <v>4701.3468600000006</v>
      </c>
      <c r="BL13" s="176">
        <f t="shared" si="12"/>
        <v>216.05999999999997</v>
      </c>
      <c r="BM13" s="176">
        <f t="shared" si="12"/>
        <v>89.775010799999976</v>
      </c>
      <c r="BN13" s="176">
        <f t="shared" si="12"/>
        <v>70</v>
      </c>
      <c r="BO13" s="176">
        <f t="shared" ref="BO13:DZ13" si="13">SUM(BO5:BO12)</f>
        <v>137.99</v>
      </c>
      <c r="BP13" s="176">
        <f t="shared" si="13"/>
        <v>211</v>
      </c>
      <c r="BQ13" s="176">
        <f t="shared" si="13"/>
        <v>526.73236640000016</v>
      </c>
      <c r="BR13" s="176">
        <f t="shared" si="13"/>
        <v>7884.4509999999991</v>
      </c>
      <c r="BS13" s="176">
        <f t="shared" si="13"/>
        <v>7525.0492462000002</v>
      </c>
      <c r="BT13" s="176">
        <f t="shared" si="13"/>
        <v>1638.5099999999993</v>
      </c>
      <c r="BU13" s="176">
        <f t="shared" si="13"/>
        <v>1418.5700266000001</v>
      </c>
      <c r="BV13" s="176">
        <f t="shared" si="13"/>
        <v>1001.6249999999999</v>
      </c>
      <c r="BW13" s="176">
        <f t="shared" si="13"/>
        <v>964.93822089999981</v>
      </c>
      <c r="BX13" s="176">
        <f t="shared" si="13"/>
        <v>5140.3349999999991</v>
      </c>
      <c r="BY13" s="176">
        <f t="shared" si="13"/>
        <v>4880.9742308000004</v>
      </c>
      <c r="BZ13" s="176">
        <f t="shared" si="13"/>
        <v>51.879999999999995</v>
      </c>
      <c r="CA13" s="176">
        <f t="shared" si="13"/>
        <v>42.648966899999998</v>
      </c>
      <c r="CB13" s="176">
        <f t="shared" si="13"/>
        <v>23.5</v>
      </c>
      <c r="CC13" s="176">
        <f t="shared" si="13"/>
        <v>46.55</v>
      </c>
      <c r="CD13" s="176">
        <f t="shared" si="13"/>
        <v>120.4</v>
      </c>
      <c r="CE13" s="176">
        <f t="shared" si="13"/>
        <v>319.05117150000007</v>
      </c>
      <c r="CF13" s="176">
        <f t="shared" si="13"/>
        <v>7976.2499999999982</v>
      </c>
      <c r="CG13" s="176">
        <f t="shared" si="13"/>
        <v>7672.7326166999992</v>
      </c>
      <c r="CH13" s="176">
        <f t="shared" si="13"/>
        <v>1234.9899999999998</v>
      </c>
      <c r="CI13" s="176">
        <f t="shared" si="13"/>
        <v>1125.4999217999998</v>
      </c>
      <c r="CJ13" s="176">
        <f t="shared" si="13"/>
        <v>766.84999999999991</v>
      </c>
      <c r="CK13" s="176">
        <f t="shared" si="13"/>
        <v>716.34391740000012</v>
      </c>
      <c r="CL13" s="176">
        <f t="shared" si="13"/>
        <v>5255.264000000001</v>
      </c>
      <c r="CM13" s="176">
        <f t="shared" si="13"/>
        <v>4703.1385428000003</v>
      </c>
      <c r="CN13" s="176">
        <f t="shared" si="13"/>
        <v>94.509999999999991</v>
      </c>
      <c r="CO13" s="176">
        <f t="shared" si="13"/>
        <v>34.906978700000003</v>
      </c>
      <c r="CP13" s="176">
        <f t="shared" si="13"/>
        <v>39.683</v>
      </c>
      <c r="CQ13" s="176">
        <f t="shared" si="13"/>
        <v>81.207335</v>
      </c>
      <c r="CR13" s="176">
        <f t="shared" si="13"/>
        <v>18.024999999999999</v>
      </c>
      <c r="CS13" s="176">
        <f t="shared" si="13"/>
        <v>50.386227699999992</v>
      </c>
      <c r="CT13" s="176">
        <f t="shared" si="13"/>
        <v>7409.3220000000001</v>
      </c>
      <c r="CU13" s="176">
        <f t="shared" si="13"/>
        <v>6711.4829233999981</v>
      </c>
      <c r="CV13" s="176">
        <f t="shared" si="13"/>
        <v>1418.6299999999999</v>
      </c>
      <c r="CW13" s="176">
        <f t="shared" si="13"/>
        <v>1311.9243224000004</v>
      </c>
      <c r="CX13" s="176">
        <f t="shared" si="13"/>
        <v>314.90500000000003</v>
      </c>
      <c r="CY13" s="176">
        <f t="shared" si="13"/>
        <v>299.07068889999999</v>
      </c>
      <c r="CZ13" s="176">
        <f t="shared" si="13"/>
        <v>5784.2939999999981</v>
      </c>
      <c r="DA13" s="176">
        <f t="shared" si="13"/>
        <v>5524.6282304999995</v>
      </c>
      <c r="DB13" s="176">
        <f t="shared" si="13"/>
        <v>147.72999999999996</v>
      </c>
      <c r="DC13" s="176">
        <f t="shared" si="13"/>
        <v>41.5203062</v>
      </c>
      <c r="DD13" s="176">
        <f t="shared" si="13"/>
        <v>56.075000000000003</v>
      </c>
      <c r="DE13" s="176">
        <f t="shared" si="13"/>
        <v>107.889</v>
      </c>
      <c r="DF13" s="176">
        <f t="shared" si="13"/>
        <v>165.4</v>
      </c>
      <c r="DG13" s="176">
        <f t="shared" si="13"/>
        <v>430.82229820000009</v>
      </c>
      <c r="DH13" s="176">
        <f t="shared" si="13"/>
        <v>7887.0339999999978</v>
      </c>
      <c r="DI13" s="176">
        <f t="shared" si="13"/>
        <v>7715.8548462000008</v>
      </c>
      <c r="DJ13" s="176">
        <f t="shared" si="13"/>
        <v>903.39999999999975</v>
      </c>
      <c r="DK13" s="176">
        <f t="shared" si="13"/>
        <v>883.3088183000001</v>
      </c>
      <c r="DL13" s="176">
        <f t="shared" si="13"/>
        <v>1086.7350000000001</v>
      </c>
      <c r="DM13" s="176">
        <f t="shared" si="13"/>
        <v>1042.8455751999998</v>
      </c>
      <c r="DN13" s="176">
        <f t="shared" si="13"/>
        <v>8405.9180000000015</v>
      </c>
      <c r="DO13" s="176">
        <f t="shared" si="13"/>
        <v>7583.8134108999984</v>
      </c>
      <c r="DP13" s="176">
        <f t="shared" si="13"/>
        <v>303.33499999999998</v>
      </c>
      <c r="DQ13" s="176">
        <f t="shared" si="13"/>
        <v>89.367633499999997</v>
      </c>
      <c r="DR13" s="176">
        <f t="shared" si="13"/>
        <v>20</v>
      </c>
      <c r="DS13" s="176">
        <f t="shared" si="13"/>
        <v>38.4</v>
      </c>
      <c r="DT13" s="176">
        <f t="shared" si="13"/>
        <v>208.33</v>
      </c>
      <c r="DU13" s="176">
        <f t="shared" si="13"/>
        <v>523.21736959999998</v>
      </c>
      <c r="DV13" s="176">
        <f t="shared" si="13"/>
        <v>10927.718000000001</v>
      </c>
      <c r="DW13" s="176">
        <f t="shared" si="13"/>
        <v>10160.9528075</v>
      </c>
      <c r="DX13" s="176">
        <f t="shared" si="13"/>
        <v>1804.7400000000002</v>
      </c>
      <c r="DY13" s="176">
        <f t="shared" si="13"/>
        <v>1750.8387917</v>
      </c>
      <c r="DZ13" s="176">
        <f t="shared" si="13"/>
        <v>660.255</v>
      </c>
      <c r="EA13" s="176">
        <f t="shared" ref="EA13:FS13" si="14">SUM(EA5:EA12)</f>
        <v>698.20862749999992</v>
      </c>
      <c r="EB13" s="176">
        <f t="shared" si="14"/>
        <v>5018.0429999999988</v>
      </c>
      <c r="EC13" s="176">
        <f t="shared" si="14"/>
        <v>5004.6114216000005</v>
      </c>
      <c r="ED13" s="176">
        <f t="shared" si="14"/>
        <v>9</v>
      </c>
      <c r="EE13" s="176">
        <f t="shared" si="14"/>
        <v>20.535</v>
      </c>
      <c r="EF13" s="176">
        <f t="shared" si="14"/>
        <v>23.5</v>
      </c>
      <c r="EG13" s="176">
        <f t="shared" si="14"/>
        <v>49.7</v>
      </c>
      <c r="EH13" s="176">
        <f t="shared" si="14"/>
        <v>346.4</v>
      </c>
      <c r="EI13" s="176">
        <f t="shared" si="14"/>
        <v>878.58677839999984</v>
      </c>
      <c r="EJ13" s="176">
        <f t="shared" si="14"/>
        <v>7861.9379999999992</v>
      </c>
      <c r="EK13" s="176">
        <f t="shared" si="14"/>
        <v>8402.4806191999996</v>
      </c>
      <c r="EL13" s="176">
        <f t="shared" si="14"/>
        <v>314.745</v>
      </c>
      <c r="EM13" s="176">
        <f t="shared" si="14"/>
        <v>334.89918920000002</v>
      </c>
      <c r="EN13" s="176">
        <f t="shared" si="14"/>
        <v>497.65999999999997</v>
      </c>
      <c r="EO13" s="176">
        <f t="shared" si="14"/>
        <v>560.66649999999993</v>
      </c>
      <c r="EP13" s="176">
        <f t="shared" si="14"/>
        <v>3747.76</v>
      </c>
      <c r="EQ13" s="176">
        <f t="shared" si="14"/>
        <v>3731.2787422000006</v>
      </c>
      <c r="ER13" s="176">
        <f t="shared" si="14"/>
        <v>264.20000000000005</v>
      </c>
      <c r="ES13" s="176">
        <f t="shared" si="14"/>
        <v>137.83370689999998</v>
      </c>
      <c r="ET13" s="176">
        <f t="shared" si="14"/>
        <v>65.193000000000012</v>
      </c>
      <c r="EU13" s="176">
        <f t="shared" si="14"/>
        <v>133.36928499999999</v>
      </c>
      <c r="EV13" s="176">
        <f t="shared" si="14"/>
        <v>547.9</v>
      </c>
      <c r="EW13" s="176">
        <f t="shared" si="14"/>
        <v>1405.0459098000006</v>
      </c>
      <c r="EX13" s="176">
        <f t="shared" si="14"/>
        <v>5437.4579999999996</v>
      </c>
      <c r="EY13" s="176">
        <f t="shared" si="14"/>
        <v>6303.0933331000006</v>
      </c>
      <c r="EZ13" s="176">
        <f t="shared" si="14"/>
        <v>845.71499999999992</v>
      </c>
      <c r="FA13" s="176">
        <f t="shared" si="14"/>
        <v>991.97786189999988</v>
      </c>
      <c r="FB13" s="176">
        <f t="shared" si="14"/>
        <v>489.17999999999995</v>
      </c>
      <c r="FC13" s="176">
        <f t="shared" si="14"/>
        <v>601.21714999999995</v>
      </c>
      <c r="FD13" s="176">
        <f t="shared" si="14"/>
        <v>5932.8599999999988</v>
      </c>
      <c r="FE13" s="176">
        <f t="shared" si="14"/>
        <v>5787.4630514999999</v>
      </c>
      <c r="FF13" s="176">
        <f t="shared" si="14"/>
        <v>167.88500000000002</v>
      </c>
      <c r="FG13" s="176">
        <f t="shared" si="14"/>
        <v>73.243936599999998</v>
      </c>
      <c r="FH13" s="176">
        <f t="shared" si="14"/>
        <v>86.051999999999992</v>
      </c>
      <c r="FI13" s="176">
        <f t="shared" si="14"/>
        <v>173.33736500000001</v>
      </c>
      <c r="FJ13" s="176">
        <f t="shared" si="14"/>
        <v>32.050000000000004</v>
      </c>
      <c r="FK13" s="176">
        <f t="shared" si="14"/>
        <v>81.275868799999998</v>
      </c>
      <c r="FL13" s="176">
        <f t="shared" si="14"/>
        <v>7553.7419999999993</v>
      </c>
      <c r="FM13" s="176">
        <f t="shared" si="14"/>
        <v>7708.5152337999998</v>
      </c>
      <c r="FN13" s="176">
        <f t="shared" si="14"/>
        <v>16448.598999999998</v>
      </c>
      <c r="FO13" s="176">
        <f t="shared" si="14"/>
        <v>13916.8215793</v>
      </c>
      <c r="FP13" s="176">
        <f t="shared" si="14"/>
        <v>9954.0339999999997</v>
      </c>
      <c r="FQ13" s="176">
        <f t="shared" si="14"/>
        <v>9861.2854449999995</v>
      </c>
      <c r="FR13" s="176">
        <f t="shared" si="14"/>
        <v>72148.972999999998</v>
      </c>
      <c r="FS13" s="176">
        <f t="shared" si="14"/>
        <v>67200.746675300004</v>
      </c>
      <c r="FT13" s="176">
        <f t="shared" si="6"/>
        <v>98551.606</v>
      </c>
      <c r="FU13" s="176">
        <f t="shared" si="7"/>
        <v>90978.853699600004</v>
      </c>
      <c r="FW13" s="232" t="s">
        <v>20</v>
      </c>
      <c r="FX13" s="44">
        <f t="shared" si="8"/>
        <v>84607.944903392694</v>
      </c>
      <c r="FY13" s="44">
        <f t="shared" si="9"/>
        <v>99068.231482834002</v>
      </c>
      <c r="FZ13" s="44">
        <f t="shared" si="10"/>
        <v>93141.653832411452</v>
      </c>
      <c r="GA13" s="44">
        <f t="shared" si="11"/>
        <v>92315.952415427921</v>
      </c>
    </row>
    <row r="14" spans="1:183" s="144" customFormat="1">
      <c r="A14" s="177" t="s">
        <v>51</v>
      </c>
      <c r="B14" s="178">
        <f>B13-B12</f>
        <v>1114.17</v>
      </c>
      <c r="C14" s="178">
        <f t="shared" ref="C14:BN14" si="15">C13-C12</f>
        <v>835.41875019999998</v>
      </c>
      <c r="D14" s="178">
        <f t="shared" si="15"/>
        <v>1626.8899999999999</v>
      </c>
      <c r="E14" s="178">
        <f t="shared" si="15"/>
        <v>1170.2968349000007</v>
      </c>
      <c r="F14" s="178">
        <f t="shared" si="15"/>
        <v>5999.0739999999987</v>
      </c>
      <c r="G14" s="178">
        <f t="shared" si="15"/>
        <v>4460.9511752999988</v>
      </c>
      <c r="H14" s="178">
        <f t="shared" si="15"/>
        <v>0</v>
      </c>
      <c r="I14" s="178">
        <f t="shared" si="15"/>
        <v>0</v>
      </c>
      <c r="J14" s="178">
        <f t="shared" si="15"/>
        <v>0</v>
      </c>
      <c r="K14" s="178">
        <f t="shared" si="15"/>
        <v>0</v>
      </c>
      <c r="L14" s="178">
        <f t="shared" si="15"/>
        <v>0</v>
      </c>
      <c r="M14" s="178">
        <f t="shared" si="15"/>
        <v>0</v>
      </c>
      <c r="N14" s="178">
        <f t="shared" si="15"/>
        <v>8740.134</v>
      </c>
      <c r="O14" s="178">
        <f t="shared" si="15"/>
        <v>6466.6667604000004</v>
      </c>
      <c r="P14" s="178">
        <f t="shared" si="15"/>
        <v>1313.8099999999997</v>
      </c>
      <c r="Q14" s="178">
        <f t="shared" si="15"/>
        <v>1055.1528415</v>
      </c>
      <c r="R14" s="178">
        <f t="shared" si="15"/>
        <v>958.7399999999999</v>
      </c>
      <c r="S14" s="178">
        <f t="shared" si="15"/>
        <v>727.25710800000002</v>
      </c>
      <c r="T14" s="178">
        <f t="shared" si="15"/>
        <v>5569.6600000000008</v>
      </c>
      <c r="U14" s="178">
        <f t="shared" si="15"/>
        <v>4083.1859126000004</v>
      </c>
      <c r="V14" s="178">
        <f t="shared" si="15"/>
        <v>0</v>
      </c>
      <c r="W14" s="178">
        <f t="shared" si="15"/>
        <v>0</v>
      </c>
      <c r="X14" s="178">
        <f t="shared" si="15"/>
        <v>0</v>
      </c>
      <c r="Y14" s="178">
        <f t="shared" si="15"/>
        <v>0</v>
      </c>
      <c r="Z14" s="178">
        <f t="shared" si="15"/>
        <v>0</v>
      </c>
      <c r="AA14" s="178">
        <f t="shared" si="15"/>
        <v>0</v>
      </c>
      <c r="AB14" s="178">
        <f t="shared" si="15"/>
        <v>7842.2100000000009</v>
      </c>
      <c r="AC14" s="178">
        <f t="shared" si="15"/>
        <v>5865.5958621000009</v>
      </c>
      <c r="AD14" s="178">
        <f t="shared" si="15"/>
        <v>936.46899999999971</v>
      </c>
      <c r="AE14" s="178">
        <f t="shared" si="15"/>
        <v>746.90492539999991</v>
      </c>
      <c r="AF14" s="178">
        <f t="shared" si="15"/>
        <v>1217.5899999999995</v>
      </c>
      <c r="AG14" s="178">
        <f t="shared" si="15"/>
        <v>989.75827200000003</v>
      </c>
      <c r="AH14" s="178">
        <f t="shared" si="15"/>
        <v>6797.9</v>
      </c>
      <c r="AI14" s="178">
        <f t="shared" si="15"/>
        <v>5241.0379251000004</v>
      </c>
      <c r="AJ14" s="178">
        <f t="shared" si="15"/>
        <v>0</v>
      </c>
      <c r="AK14" s="178">
        <f t="shared" si="15"/>
        <v>0</v>
      </c>
      <c r="AL14" s="178">
        <f t="shared" si="15"/>
        <v>0</v>
      </c>
      <c r="AM14" s="178">
        <f t="shared" si="15"/>
        <v>0</v>
      </c>
      <c r="AN14" s="178">
        <f t="shared" si="15"/>
        <v>0</v>
      </c>
      <c r="AO14" s="178">
        <f t="shared" si="15"/>
        <v>0</v>
      </c>
      <c r="AP14" s="178">
        <f t="shared" si="15"/>
        <v>8951.9589999999989</v>
      </c>
      <c r="AQ14" s="178">
        <f t="shared" si="15"/>
        <v>6977.7011225000006</v>
      </c>
      <c r="AR14" s="178">
        <f t="shared" si="15"/>
        <v>1023.3849999999998</v>
      </c>
      <c r="AS14" s="178">
        <f t="shared" si="15"/>
        <v>861.15487429999973</v>
      </c>
      <c r="AT14" s="178">
        <f t="shared" si="15"/>
        <v>354.51500000000004</v>
      </c>
      <c r="AU14" s="178">
        <f t="shared" si="15"/>
        <v>303.01656499999996</v>
      </c>
      <c r="AV14" s="178">
        <f t="shared" si="15"/>
        <v>7379.7999999999993</v>
      </c>
      <c r="AW14" s="178">
        <f t="shared" si="15"/>
        <v>6115.4038988999982</v>
      </c>
      <c r="AX14" s="178">
        <f t="shared" si="15"/>
        <v>0</v>
      </c>
      <c r="AY14" s="178">
        <f t="shared" si="15"/>
        <v>0</v>
      </c>
      <c r="AZ14" s="178">
        <f t="shared" si="15"/>
        <v>0</v>
      </c>
      <c r="BA14" s="178">
        <f t="shared" si="15"/>
        <v>0</v>
      </c>
      <c r="BB14" s="178">
        <f t="shared" si="15"/>
        <v>0</v>
      </c>
      <c r="BC14" s="178">
        <f t="shared" si="15"/>
        <v>0</v>
      </c>
      <c r="BD14" s="178">
        <f t="shared" si="15"/>
        <v>8757.7000000000007</v>
      </c>
      <c r="BE14" s="178">
        <f t="shared" si="15"/>
        <v>7279.5753381999984</v>
      </c>
      <c r="BF14" s="178">
        <f t="shared" si="15"/>
        <v>2227.8000000000002</v>
      </c>
      <c r="BG14" s="178">
        <f t="shared" si="15"/>
        <v>1892.7133837999997</v>
      </c>
      <c r="BH14" s="178">
        <f t="shared" si="15"/>
        <v>196.511</v>
      </c>
      <c r="BI14" s="178">
        <f t="shared" si="15"/>
        <v>176.49162519999999</v>
      </c>
      <c r="BJ14" s="178">
        <f t="shared" si="15"/>
        <v>4963.0799999999981</v>
      </c>
      <c r="BK14" s="178">
        <f t="shared" si="15"/>
        <v>4701.3468600000006</v>
      </c>
      <c r="BL14" s="178">
        <f t="shared" si="15"/>
        <v>0</v>
      </c>
      <c r="BM14" s="178">
        <f t="shared" si="15"/>
        <v>0</v>
      </c>
      <c r="BN14" s="178">
        <f t="shared" si="15"/>
        <v>0</v>
      </c>
      <c r="BO14" s="178">
        <f t="shared" ref="BO14:DZ14" si="16">BO13-BO12</f>
        <v>0</v>
      </c>
      <c r="BP14" s="178">
        <f t="shared" si="16"/>
        <v>0</v>
      </c>
      <c r="BQ14" s="178">
        <f t="shared" si="16"/>
        <v>0</v>
      </c>
      <c r="BR14" s="178">
        <f t="shared" si="16"/>
        <v>7387.3909999999996</v>
      </c>
      <c r="BS14" s="178">
        <f t="shared" si="16"/>
        <v>6770.5518689999999</v>
      </c>
      <c r="BT14" s="178">
        <f t="shared" si="16"/>
        <v>1638.5099999999993</v>
      </c>
      <c r="BU14" s="178">
        <f t="shared" si="16"/>
        <v>1418.5700266000001</v>
      </c>
      <c r="BV14" s="178">
        <f t="shared" si="16"/>
        <v>1001.6249999999999</v>
      </c>
      <c r="BW14" s="178">
        <f t="shared" si="16"/>
        <v>964.93822089999981</v>
      </c>
      <c r="BX14" s="178">
        <f t="shared" si="16"/>
        <v>5140.3349999999991</v>
      </c>
      <c r="BY14" s="178">
        <f t="shared" si="16"/>
        <v>4880.9742308000004</v>
      </c>
      <c r="BZ14" s="178">
        <f t="shared" si="16"/>
        <v>0</v>
      </c>
      <c r="CA14" s="178">
        <f t="shared" si="16"/>
        <v>0</v>
      </c>
      <c r="CB14" s="178">
        <f t="shared" si="16"/>
        <v>0</v>
      </c>
      <c r="CC14" s="178">
        <f t="shared" si="16"/>
        <v>0</v>
      </c>
      <c r="CD14" s="178">
        <f t="shared" si="16"/>
        <v>0</v>
      </c>
      <c r="CE14" s="178">
        <f t="shared" si="16"/>
        <v>0</v>
      </c>
      <c r="CF14" s="178">
        <f t="shared" si="16"/>
        <v>7780.4699999999984</v>
      </c>
      <c r="CG14" s="178">
        <f t="shared" si="16"/>
        <v>7264.4824782999995</v>
      </c>
      <c r="CH14" s="178">
        <f t="shared" si="16"/>
        <v>1234.9899999999998</v>
      </c>
      <c r="CI14" s="178">
        <f t="shared" si="16"/>
        <v>1125.4999217999998</v>
      </c>
      <c r="CJ14" s="178">
        <f t="shared" si="16"/>
        <v>766.84999999999991</v>
      </c>
      <c r="CK14" s="178">
        <f t="shared" si="16"/>
        <v>716.34391740000012</v>
      </c>
      <c r="CL14" s="178">
        <f t="shared" si="16"/>
        <v>5255.264000000001</v>
      </c>
      <c r="CM14" s="178">
        <f t="shared" si="16"/>
        <v>4703.1385428000003</v>
      </c>
      <c r="CN14" s="178">
        <f t="shared" si="16"/>
        <v>0</v>
      </c>
      <c r="CO14" s="178">
        <f t="shared" si="16"/>
        <v>0</v>
      </c>
      <c r="CP14" s="178">
        <f t="shared" si="16"/>
        <v>0</v>
      </c>
      <c r="CQ14" s="178">
        <f t="shared" si="16"/>
        <v>0</v>
      </c>
      <c r="CR14" s="178">
        <f t="shared" si="16"/>
        <v>0</v>
      </c>
      <c r="CS14" s="178">
        <f t="shared" si="16"/>
        <v>0</v>
      </c>
      <c r="CT14" s="178">
        <f t="shared" si="16"/>
        <v>7257.1040000000003</v>
      </c>
      <c r="CU14" s="178">
        <f t="shared" si="16"/>
        <v>6544.9823819999983</v>
      </c>
      <c r="CV14" s="178">
        <f t="shared" si="16"/>
        <v>1418.6299999999999</v>
      </c>
      <c r="CW14" s="178">
        <f t="shared" si="16"/>
        <v>1311.9243224000004</v>
      </c>
      <c r="CX14" s="178">
        <f t="shared" si="16"/>
        <v>314.90500000000003</v>
      </c>
      <c r="CY14" s="178">
        <f t="shared" si="16"/>
        <v>299.07068889999999</v>
      </c>
      <c r="CZ14" s="178">
        <f t="shared" si="16"/>
        <v>5784.2939999999981</v>
      </c>
      <c r="DA14" s="178">
        <f t="shared" si="16"/>
        <v>5524.6282304999995</v>
      </c>
      <c r="DB14" s="178">
        <f t="shared" si="16"/>
        <v>0</v>
      </c>
      <c r="DC14" s="178">
        <f t="shared" si="16"/>
        <v>0</v>
      </c>
      <c r="DD14" s="178">
        <f t="shared" si="16"/>
        <v>0</v>
      </c>
      <c r="DE14" s="178">
        <f t="shared" si="16"/>
        <v>0</v>
      </c>
      <c r="DF14" s="178">
        <f t="shared" si="16"/>
        <v>0</v>
      </c>
      <c r="DG14" s="178">
        <f t="shared" si="16"/>
        <v>0</v>
      </c>
      <c r="DH14" s="178">
        <f t="shared" si="16"/>
        <v>7517.8289999999979</v>
      </c>
      <c r="DI14" s="178">
        <f t="shared" si="16"/>
        <v>7135.6232418000009</v>
      </c>
      <c r="DJ14" s="178">
        <f t="shared" si="16"/>
        <v>903.39999999999975</v>
      </c>
      <c r="DK14" s="178">
        <f t="shared" si="16"/>
        <v>883.3088183000001</v>
      </c>
      <c r="DL14" s="178">
        <f t="shared" si="16"/>
        <v>1086.7350000000001</v>
      </c>
      <c r="DM14" s="178">
        <f t="shared" si="16"/>
        <v>1042.8455751999998</v>
      </c>
      <c r="DN14" s="178">
        <f t="shared" si="16"/>
        <v>8405.9180000000015</v>
      </c>
      <c r="DO14" s="178">
        <f t="shared" si="16"/>
        <v>7583.8134108999984</v>
      </c>
      <c r="DP14" s="178">
        <f t="shared" si="16"/>
        <v>0</v>
      </c>
      <c r="DQ14" s="178">
        <f t="shared" si="16"/>
        <v>0</v>
      </c>
      <c r="DR14" s="178">
        <f t="shared" si="16"/>
        <v>0</v>
      </c>
      <c r="DS14" s="178">
        <f t="shared" si="16"/>
        <v>0</v>
      </c>
      <c r="DT14" s="178">
        <f t="shared" si="16"/>
        <v>0</v>
      </c>
      <c r="DU14" s="178">
        <f t="shared" si="16"/>
        <v>0</v>
      </c>
      <c r="DV14" s="178">
        <f t="shared" si="16"/>
        <v>10396.053</v>
      </c>
      <c r="DW14" s="178">
        <f t="shared" si="16"/>
        <v>9509.9678043999993</v>
      </c>
      <c r="DX14" s="178">
        <f t="shared" si="16"/>
        <v>1804.7400000000002</v>
      </c>
      <c r="DY14" s="178">
        <f t="shared" si="16"/>
        <v>1750.8387917</v>
      </c>
      <c r="DZ14" s="178">
        <f t="shared" si="16"/>
        <v>660.255</v>
      </c>
      <c r="EA14" s="178">
        <f t="shared" ref="EA14:FU14" si="17">EA13-EA12</f>
        <v>698.20862749999992</v>
      </c>
      <c r="EB14" s="178">
        <f t="shared" si="17"/>
        <v>5018.0429999999988</v>
      </c>
      <c r="EC14" s="178">
        <f t="shared" si="17"/>
        <v>5004.6114216000005</v>
      </c>
      <c r="ED14" s="178">
        <f t="shared" si="17"/>
        <v>0</v>
      </c>
      <c r="EE14" s="178">
        <f t="shared" si="17"/>
        <v>0</v>
      </c>
      <c r="EF14" s="178">
        <f t="shared" si="17"/>
        <v>0</v>
      </c>
      <c r="EG14" s="178">
        <f t="shared" si="17"/>
        <v>0</v>
      </c>
      <c r="EH14" s="178">
        <f t="shared" si="17"/>
        <v>0</v>
      </c>
      <c r="EI14" s="178">
        <f t="shared" si="17"/>
        <v>0</v>
      </c>
      <c r="EJ14" s="178">
        <f t="shared" si="17"/>
        <v>7483.0379999999996</v>
      </c>
      <c r="EK14" s="178">
        <f t="shared" si="17"/>
        <v>7453.6588407999998</v>
      </c>
      <c r="EL14" s="178">
        <f t="shared" si="17"/>
        <v>314.745</v>
      </c>
      <c r="EM14" s="178">
        <f t="shared" si="17"/>
        <v>334.89918920000002</v>
      </c>
      <c r="EN14" s="178">
        <f t="shared" si="17"/>
        <v>497.65999999999997</v>
      </c>
      <c r="EO14" s="178">
        <f t="shared" si="17"/>
        <v>560.66649999999993</v>
      </c>
      <c r="EP14" s="178">
        <f t="shared" si="17"/>
        <v>3747.76</v>
      </c>
      <c r="EQ14" s="178">
        <f t="shared" si="17"/>
        <v>3731.2787422000006</v>
      </c>
      <c r="ER14" s="178">
        <f t="shared" si="17"/>
        <v>0</v>
      </c>
      <c r="ES14" s="178">
        <f t="shared" si="17"/>
        <v>0</v>
      </c>
      <c r="ET14" s="178">
        <f t="shared" si="17"/>
        <v>0</v>
      </c>
      <c r="EU14" s="178">
        <f t="shared" si="17"/>
        <v>0</v>
      </c>
      <c r="EV14" s="178">
        <f t="shared" si="17"/>
        <v>0</v>
      </c>
      <c r="EW14" s="178">
        <f t="shared" si="17"/>
        <v>0</v>
      </c>
      <c r="EX14" s="178">
        <f t="shared" si="17"/>
        <v>4560.165</v>
      </c>
      <c r="EY14" s="178">
        <f t="shared" si="17"/>
        <v>4626.8444313999998</v>
      </c>
      <c r="EZ14" s="178">
        <f t="shared" si="17"/>
        <v>845.71499999999992</v>
      </c>
      <c r="FA14" s="178">
        <f t="shared" si="17"/>
        <v>991.97786189999988</v>
      </c>
      <c r="FB14" s="178">
        <f t="shared" si="17"/>
        <v>489.17999999999995</v>
      </c>
      <c r="FC14" s="178">
        <f t="shared" si="17"/>
        <v>601.21714999999995</v>
      </c>
      <c r="FD14" s="178">
        <f t="shared" si="17"/>
        <v>5932.8599999999988</v>
      </c>
      <c r="FE14" s="178">
        <f t="shared" si="17"/>
        <v>5787.4630514999999</v>
      </c>
      <c r="FF14" s="178">
        <f t="shared" si="17"/>
        <v>0</v>
      </c>
      <c r="FG14" s="178">
        <f t="shared" si="17"/>
        <v>0</v>
      </c>
      <c r="FH14" s="178">
        <f t="shared" si="17"/>
        <v>0</v>
      </c>
      <c r="FI14" s="178">
        <f t="shared" si="17"/>
        <v>0</v>
      </c>
      <c r="FJ14" s="178">
        <f t="shared" si="17"/>
        <v>0</v>
      </c>
      <c r="FK14" s="178">
        <f t="shared" si="17"/>
        <v>0</v>
      </c>
      <c r="FL14" s="178">
        <f t="shared" si="17"/>
        <v>7267.7549999999992</v>
      </c>
      <c r="FM14" s="178">
        <f t="shared" si="17"/>
        <v>7380.6580634000002</v>
      </c>
      <c r="FN14" s="178">
        <f t="shared" si="17"/>
        <v>14776.363999999998</v>
      </c>
      <c r="FO14" s="178">
        <f t="shared" si="17"/>
        <v>13208.363707099999</v>
      </c>
      <c r="FP14" s="178">
        <f t="shared" si="17"/>
        <v>9171.4560000000001</v>
      </c>
      <c r="FQ14" s="178">
        <f t="shared" si="17"/>
        <v>8250.1110849999986</v>
      </c>
      <c r="FR14" s="178">
        <f t="shared" si="17"/>
        <v>69993.987999999998</v>
      </c>
      <c r="FS14" s="178">
        <f t="shared" si="17"/>
        <v>61817.833402200005</v>
      </c>
      <c r="FT14" s="178">
        <f t="shared" si="17"/>
        <v>93941.808000000005</v>
      </c>
      <c r="FU14" s="178">
        <f t="shared" si="17"/>
        <v>83276.3081943</v>
      </c>
      <c r="FW14" s="149" t="s">
        <v>51</v>
      </c>
      <c r="FX14" s="231">
        <f t="shared" si="8"/>
        <v>89388.456504590722</v>
      </c>
      <c r="FY14" s="231">
        <f t="shared" si="9"/>
        <v>89954.213213256415</v>
      </c>
      <c r="FZ14" s="231">
        <f t="shared" si="10"/>
        <v>88318.775895724073</v>
      </c>
      <c r="GA14" s="231">
        <f t="shared" si="11"/>
        <v>88646.6951906014</v>
      </c>
    </row>
    <row r="15" spans="1:183"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  <c r="EM15" s="134"/>
      <c r="EN15" s="134"/>
      <c r="EO15" s="134"/>
      <c r="EP15" s="134"/>
      <c r="EQ15" s="134"/>
      <c r="ER15" s="134"/>
      <c r="ES15" s="134"/>
      <c r="ET15" s="134"/>
      <c r="EU15" s="134"/>
      <c r="EV15" s="134"/>
      <c r="EW15" s="134"/>
      <c r="EX15" s="134"/>
      <c r="EY15" s="134"/>
      <c r="EZ15" s="134"/>
      <c r="FA15" s="134"/>
      <c r="FB15" s="134"/>
      <c r="FC15" s="134"/>
      <c r="FD15" s="134"/>
      <c r="FE15" s="134"/>
      <c r="FF15" s="134"/>
      <c r="FG15" s="134"/>
      <c r="FH15" s="134"/>
      <c r="FI15" s="134"/>
      <c r="FJ15" s="134"/>
      <c r="FK15" s="134"/>
      <c r="FL15" s="134"/>
      <c r="FM15" s="134"/>
      <c r="FN15" s="134"/>
      <c r="FO15" s="134"/>
      <c r="FP15" s="134"/>
      <c r="FQ15" s="134"/>
      <c r="FR15" s="134"/>
      <c r="FS15" s="134"/>
      <c r="FT15" s="134"/>
      <c r="FU15" s="134"/>
    </row>
    <row r="16" spans="1:183">
      <c r="A16" s="35" t="s">
        <v>115</v>
      </c>
    </row>
    <row r="17" spans="1:183">
      <c r="A17" s="153" t="s">
        <v>28</v>
      </c>
      <c r="B17" s="413">
        <v>41730</v>
      </c>
      <c r="C17" s="412"/>
      <c r="D17" s="412"/>
      <c r="E17" s="412"/>
      <c r="F17" s="412"/>
      <c r="G17" s="412"/>
      <c r="H17" s="412"/>
      <c r="I17" s="412"/>
      <c r="J17" s="412"/>
      <c r="K17" s="412"/>
      <c r="L17" s="412"/>
      <c r="M17" s="412"/>
      <c r="N17" s="412"/>
      <c r="O17" s="412"/>
      <c r="P17" s="411" t="s">
        <v>149</v>
      </c>
      <c r="Q17" s="412"/>
      <c r="R17" s="412"/>
      <c r="S17" s="412"/>
      <c r="T17" s="412"/>
      <c r="U17" s="412"/>
      <c r="V17" s="412"/>
      <c r="W17" s="412"/>
      <c r="X17" s="412"/>
      <c r="Y17" s="412"/>
      <c r="Z17" s="412"/>
      <c r="AA17" s="412"/>
      <c r="AB17" s="412"/>
      <c r="AC17" s="412"/>
      <c r="AD17" s="411" t="s">
        <v>150</v>
      </c>
      <c r="AE17" s="412"/>
      <c r="AF17" s="412"/>
      <c r="AG17" s="412"/>
      <c r="AH17" s="412"/>
      <c r="AI17" s="412"/>
      <c r="AJ17" s="412"/>
      <c r="AK17" s="412"/>
      <c r="AL17" s="412"/>
      <c r="AM17" s="412"/>
      <c r="AN17" s="412"/>
      <c r="AO17" s="412"/>
      <c r="AP17" s="412"/>
      <c r="AQ17" s="412"/>
      <c r="AR17" s="411" t="s">
        <v>151</v>
      </c>
      <c r="AS17" s="412"/>
      <c r="AT17" s="412"/>
      <c r="AU17" s="412"/>
      <c r="AV17" s="412"/>
      <c r="AW17" s="412"/>
      <c r="AX17" s="412"/>
      <c r="AY17" s="412"/>
      <c r="AZ17" s="412"/>
      <c r="BA17" s="412"/>
      <c r="BB17" s="412"/>
      <c r="BC17" s="412"/>
      <c r="BD17" s="412"/>
      <c r="BE17" s="412"/>
      <c r="BF17" s="411" t="s">
        <v>152</v>
      </c>
      <c r="BG17" s="412"/>
      <c r="BH17" s="412"/>
      <c r="BI17" s="412"/>
      <c r="BJ17" s="412"/>
      <c r="BK17" s="412"/>
      <c r="BL17" s="412"/>
      <c r="BM17" s="412"/>
      <c r="BN17" s="412"/>
      <c r="BO17" s="412"/>
      <c r="BP17" s="412"/>
      <c r="BQ17" s="412"/>
      <c r="BR17" s="412"/>
      <c r="BS17" s="412"/>
      <c r="BT17" s="411" t="s">
        <v>153</v>
      </c>
      <c r="BU17" s="412"/>
      <c r="BV17" s="412"/>
      <c r="BW17" s="412"/>
      <c r="BX17" s="412"/>
      <c r="BY17" s="412"/>
      <c r="BZ17" s="412"/>
      <c r="CA17" s="412"/>
      <c r="CB17" s="412"/>
      <c r="CC17" s="412"/>
      <c r="CD17" s="412"/>
      <c r="CE17" s="412"/>
      <c r="CF17" s="412"/>
      <c r="CG17" s="412"/>
      <c r="CH17" s="411" t="s">
        <v>154</v>
      </c>
      <c r="CI17" s="412"/>
      <c r="CJ17" s="412"/>
      <c r="CK17" s="412"/>
      <c r="CL17" s="412"/>
      <c r="CM17" s="412"/>
      <c r="CN17" s="412"/>
      <c r="CO17" s="412"/>
      <c r="CP17" s="412"/>
      <c r="CQ17" s="412"/>
      <c r="CR17" s="412"/>
      <c r="CS17" s="412"/>
      <c r="CT17" s="412"/>
      <c r="CU17" s="412"/>
      <c r="CV17" s="411" t="s">
        <v>155</v>
      </c>
      <c r="CW17" s="412"/>
      <c r="CX17" s="412"/>
      <c r="CY17" s="412"/>
      <c r="CZ17" s="412"/>
      <c r="DA17" s="412"/>
      <c r="DB17" s="412"/>
      <c r="DC17" s="412"/>
      <c r="DD17" s="412"/>
      <c r="DE17" s="412"/>
      <c r="DF17" s="412"/>
      <c r="DG17" s="412"/>
      <c r="DH17" s="412"/>
      <c r="DI17" s="412"/>
      <c r="DJ17" s="411" t="s">
        <v>156</v>
      </c>
      <c r="DK17" s="412"/>
      <c r="DL17" s="412"/>
      <c r="DM17" s="412"/>
      <c r="DN17" s="412"/>
      <c r="DO17" s="412"/>
      <c r="DP17" s="412"/>
      <c r="DQ17" s="412"/>
      <c r="DR17" s="412"/>
      <c r="DS17" s="412"/>
      <c r="DT17" s="412"/>
      <c r="DU17" s="412"/>
      <c r="DV17" s="412"/>
      <c r="DW17" s="412"/>
      <c r="DX17" s="411" t="s">
        <v>157</v>
      </c>
      <c r="DY17" s="412"/>
      <c r="DZ17" s="412"/>
      <c r="EA17" s="412"/>
      <c r="EB17" s="412"/>
      <c r="EC17" s="412"/>
      <c r="ED17" s="412"/>
      <c r="EE17" s="412"/>
      <c r="EF17" s="412"/>
      <c r="EG17" s="412"/>
      <c r="EH17" s="412"/>
      <c r="EI17" s="412"/>
      <c r="EJ17" s="412"/>
      <c r="EK17" s="412"/>
      <c r="EL17" s="411" t="s">
        <v>158</v>
      </c>
      <c r="EM17" s="412"/>
      <c r="EN17" s="412"/>
      <c r="EO17" s="412"/>
      <c r="EP17" s="412"/>
      <c r="EQ17" s="412"/>
      <c r="ER17" s="412"/>
      <c r="ES17" s="412"/>
      <c r="ET17" s="412"/>
      <c r="EU17" s="412"/>
      <c r="EV17" s="412"/>
      <c r="EW17" s="412"/>
      <c r="EX17" s="412"/>
      <c r="EY17" s="412"/>
      <c r="EZ17" s="411" t="s">
        <v>159</v>
      </c>
      <c r="FA17" s="412"/>
      <c r="FB17" s="412"/>
      <c r="FC17" s="412"/>
      <c r="FD17" s="412"/>
      <c r="FE17" s="412"/>
      <c r="FF17" s="412"/>
      <c r="FG17" s="412"/>
      <c r="FH17" s="412"/>
      <c r="FI17" s="412"/>
      <c r="FJ17" s="412"/>
      <c r="FK17" s="412"/>
      <c r="FL17" s="412"/>
      <c r="FM17" s="412"/>
      <c r="FN17" s="413" t="s">
        <v>20</v>
      </c>
      <c r="FO17" s="412"/>
      <c r="FP17" s="412"/>
      <c r="FQ17" s="412"/>
      <c r="FR17" s="412"/>
      <c r="FS17" s="412"/>
      <c r="FT17" s="412"/>
      <c r="FU17" s="412"/>
    </row>
    <row r="18" spans="1:183">
      <c r="A18" s="351"/>
      <c r="B18" s="412" t="s">
        <v>25</v>
      </c>
      <c r="C18" s="412"/>
      <c r="D18" s="412" t="s">
        <v>26</v>
      </c>
      <c r="E18" s="412"/>
      <c r="F18" s="412" t="s">
        <v>27</v>
      </c>
      <c r="G18" s="412"/>
      <c r="H18" s="412" t="s">
        <v>25</v>
      </c>
      <c r="I18" s="412"/>
      <c r="J18" s="412" t="s">
        <v>26</v>
      </c>
      <c r="K18" s="412"/>
      <c r="L18" s="412" t="s">
        <v>27</v>
      </c>
      <c r="M18" s="412"/>
      <c r="N18" s="412" t="s">
        <v>20</v>
      </c>
      <c r="O18" s="412"/>
      <c r="P18" s="412" t="s">
        <v>25</v>
      </c>
      <c r="Q18" s="412"/>
      <c r="R18" s="412" t="s">
        <v>26</v>
      </c>
      <c r="S18" s="412"/>
      <c r="T18" s="412" t="s">
        <v>27</v>
      </c>
      <c r="U18" s="412"/>
      <c r="V18" s="412" t="s">
        <v>25</v>
      </c>
      <c r="W18" s="412"/>
      <c r="X18" s="412" t="s">
        <v>26</v>
      </c>
      <c r="Y18" s="412"/>
      <c r="Z18" s="412" t="s">
        <v>27</v>
      </c>
      <c r="AA18" s="412"/>
      <c r="AB18" s="412" t="s">
        <v>20</v>
      </c>
      <c r="AC18" s="412"/>
      <c r="AD18" s="412" t="s">
        <v>25</v>
      </c>
      <c r="AE18" s="412"/>
      <c r="AF18" s="412" t="s">
        <v>26</v>
      </c>
      <c r="AG18" s="412"/>
      <c r="AH18" s="412" t="s">
        <v>27</v>
      </c>
      <c r="AI18" s="412"/>
      <c r="AJ18" s="412" t="s">
        <v>25</v>
      </c>
      <c r="AK18" s="412"/>
      <c r="AL18" s="412" t="s">
        <v>26</v>
      </c>
      <c r="AM18" s="412"/>
      <c r="AN18" s="412" t="s">
        <v>27</v>
      </c>
      <c r="AO18" s="412"/>
      <c r="AP18" s="412" t="s">
        <v>20</v>
      </c>
      <c r="AQ18" s="412"/>
      <c r="AR18" s="412" t="s">
        <v>25</v>
      </c>
      <c r="AS18" s="412"/>
      <c r="AT18" s="412" t="s">
        <v>26</v>
      </c>
      <c r="AU18" s="412"/>
      <c r="AV18" s="412" t="s">
        <v>27</v>
      </c>
      <c r="AW18" s="412"/>
      <c r="AX18" s="351" t="s">
        <v>25</v>
      </c>
      <c r="AY18" s="351"/>
      <c r="AZ18" s="351" t="s">
        <v>26</v>
      </c>
      <c r="BA18" s="351"/>
      <c r="BB18" s="351" t="s">
        <v>27</v>
      </c>
      <c r="BC18" s="351"/>
      <c r="BD18" s="412" t="s">
        <v>20</v>
      </c>
      <c r="BE18" s="412"/>
      <c r="BF18" s="412" t="s">
        <v>25</v>
      </c>
      <c r="BG18" s="412"/>
      <c r="BH18" s="412" t="s">
        <v>26</v>
      </c>
      <c r="BI18" s="412"/>
      <c r="BJ18" s="412" t="s">
        <v>27</v>
      </c>
      <c r="BK18" s="412"/>
      <c r="BL18" s="351" t="s">
        <v>25</v>
      </c>
      <c r="BM18" s="351"/>
      <c r="BN18" s="351" t="s">
        <v>26</v>
      </c>
      <c r="BO18" s="351"/>
      <c r="BP18" s="351" t="s">
        <v>27</v>
      </c>
      <c r="BQ18" s="351"/>
      <c r="BR18" s="412" t="s">
        <v>20</v>
      </c>
      <c r="BS18" s="412"/>
      <c r="BT18" s="412" t="s">
        <v>25</v>
      </c>
      <c r="BU18" s="412"/>
      <c r="BV18" s="412" t="s">
        <v>26</v>
      </c>
      <c r="BW18" s="412"/>
      <c r="BX18" s="412" t="s">
        <v>27</v>
      </c>
      <c r="BY18" s="412"/>
      <c r="BZ18" s="351" t="s">
        <v>25</v>
      </c>
      <c r="CA18" s="351"/>
      <c r="CB18" s="351" t="s">
        <v>26</v>
      </c>
      <c r="CC18" s="351"/>
      <c r="CD18" s="351" t="s">
        <v>27</v>
      </c>
      <c r="CE18" s="351"/>
      <c r="CF18" s="412" t="s">
        <v>20</v>
      </c>
      <c r="CG18" s="412"/>
      <c r="CH18" s="412" t="s">
        <v>25</v>
      </c>
      <c r="CI18" s="412"/>
      <c r="CJ18" s="412" t="s">
        <v>26</v>
      </c>
      <c r="CK18" s="412"/>
      <c r="CL18" s="412" t="s">
        <v>27</v>
      </c>
      <c r="CM18" s="412"/>
      <c r="CN18" s="412" t="s">
        <v>25</v>
      </c>
      <c r="CO18" s="412"/>
      <c r="CP18" s="412" t="s">
        <v>26</v>
      </c>
      <c r="CQ18" s="412"/>
      <c r="CR18" s="412" t="s">
        <v>27</v>
      </c>
      <c r="CS18" s="412"/>
      <c r="CT18" s="412" t="s">
        <v>20</v>
      </c>
      <c r="CU18" s="412"/>
      <c r="CV18" s="412" t="s">
        <v>25</v>
      </c>
      <c r="CW18" s="412"/>
      <c r="CX18" s="412" t="s">
        <v>26</v>
      </c>
      <c r="CY18" s="412"/>
      <c r="CZ18" s="412" t="s">
        <v>27</v>
      </c>
      <c r="DA18" s="412"/>
      <c r="DB18" s="412" t="s">
        <v>25</v>
      </c>
      <c r="DC18" s="412"/>
      <c r="DD18" s="412" t="s">
        <v>26</v>
      </c>
      <c r="DE18" s="412"/>
      <c r="DF18" s="412" t="s">
        <v>27</v>
      </c>
      <c r="DG18" s="412"/>
      <c r="DH18" s="412" t="s">
        <v>20</v>
      </c>
      <c r="DI18" s="412"/>
      <c r="DJ18" s="412" t="s">
        <v>25</v>
      </c>
      <c r="DK18" s="412"/>
      <c r="DL18" s="412" t="s">
        <v>26</v>
      </c>
      <c r="DM18" s="412"/>
      <c r="DN18" s="412" t="s">
        <v>27</v>
      </c>
      <c r="DO18" s="412"/>
      <c r="DP18" s="412" t="s">
        <v>25</v>
      </c>
      <c r="DQ18" s="412"/>
      <c r="DR18" s="412" t="s">
        <v>26</v>
      </c>
      <c r="DS18" s="412"/>
      <c r="DT18" s="412" t="s">
        <v>27</v>
      </c>
      <c r="DU18" s="412"/>
      <c r="DV18" s="412" t="s">
        <v>20</v>
      </c>
      <c r="DW18" s="412"/>
      <c r="DX18" s="412" t="s">
        <v>25</v>
      </c>
      <c r="DY18" s="412"/>
      <c r="DZ18" s="412" t="s">
        <v>26</v>
      </c>
      <c r="EA18" s="412"/>
      <c r="EB18" s="412" t="s">
        <v>27</v>
      </c>
      <c r="EC18" s="412"/>
      <c r="ED18" s="412" t="s">
        <v>25</v>
      </c>
      <c r="EE18" s="412"/>
      <c r="EF18" s="412" t="s">
        <v>26</v>
      </c>
      <c r="EG18" s="412"/>
      <c r="EH18" s="412" t="s">
        <v>27</v>
      </c>
      <c r="EI18" s="412"/>
      <c r="EJ18" s="412" t="s">
        <v>20</v>
      </c>
      <c r="EK18" s="412"/>
      <c r="EL18" s="412" t="s">
        <v>25</v>
      </c>
      <c r="EM18" s="412"/>
      <c r="EN18" s="412" t="s">
        <v>26</v>
      </c>
      <c r="EO18" s="412"/>
      <c r="EP18" s="412" t="s">
        <v>27</v>
      </c>
      <c r="EQ18" s="412"/>
      <c r="ER18" s="412" t="s">
        <v>25</v>
      </c>
      <c r="ES18" s="412"/>
      <c r="ET18" s="412" t="s">
        <v>26</v>
      </c>
      <c r="EU18" s="412"/>
      <c r="EV18" s="412" t="s">
        <v>27</v>
      </c>
      <c r="EW18" s="412"/>
      <c r="EX18" s="412" t="s">
        <v>20</v>
      </c>
      <c r="EY18" s="412"/>
      <c r="EZ18" s="412" t="s">
        <v>25</v>
      </c>
      <c r="FA18" s="412"/>
      <c r="FB18" s="412" t="s">
        <v>26</v>
      </c>
      <c r="FC18" s="412"/>
      <c r="FD18" s="412" t="s">
        <v>27</v>
      </c>
      <c r="FE18" s="412"/>
      <c r="FF18" s="412" t="s">
        <v>25</v>
      </c>
      <c r="FG18" s="412"/>
      <c r="FH18" s="412" t="s">
        <v>26</v>
      </c>
      <c r="FI18" s="412"/>
      <c r="FJ18" s="412" t="s">
        <v>27</v>
      </c>
      <c r="FK18" s="412"/>
      <c r="FL18" s="412" t="s">
        <v>20</v>
      </c>
      <c r="FM18" s="412"/>
      <c r="FN18" s="412" t="s">
        <v>25</v>
      </c>
      <c r="FO18" s="412"/>
      <c r="FP18" s="412" t="s">
        <v>26</v>
      </c>
      <c r="FQ18" s="412"/>
      <c r="FR18" s="412" t="s">
        <v>27</v>
      </c>
      <c r="FS18" s="412"/>
      <c r="FT18" s="412" t="s">
        <v>20</v>
      </c>
      <c r="FU18" s="412"/>
    </row>
    <row r="19" spans="1:183" ht="36">
      <c r="A19" s="175" t="s">
        <v>29</v>
      </c>
      <c r="B19" s="175" t="s">
        <v>30</v>
      </c>
      <c r="C19" s="175" t="s">
        <v>31</v>
      </c>
      <c r="D19" s="175" t="s">
        <v>30</v>
      </c>
      <c r="E19" s="175" t="s">
        <v>31</v>
      </c>
      <c r="F19" s="175" t="s">
        <v>30</v>
      </c>
      <c r="G19" s="175" t="s">
        <v>31</v>
      </c>
      <c r="H19" s="175" t="s">
        <v>30</v>
      </c>
      <c r="I19" s="175" t="s">
        <v>31</v>
      </c>
      <c r="J19" s="175" t="s">
        <v>30</v>
      </c>
      <c r="K19" s="175" t="s">
        <v>31</v>
      </c>
      <c r="L19" s="175" t="s">
        <v>30</v>
      </c>
      <c r="M19" s="175" t="s">
        <v>31</v>
      </c>
      <c r="N19" s="175" t="s">
        <v>30</v>
      </c>
      <c r="O19" s="175" t="s">
        <v>31</v>
      </c>
      <c r="P19" s="175" t="s">
        <v>30</v>
      </c>
      <c r="Q19" s="175" t="s">
        <v>31</v>
      </c>
      <c r="R19" s="175" t="s">
        <v>30</v>
      </c>
      <c r="S19" s="175" t="s">
        <v>31</v>
      </c>
      <c r="T19" s="175" t="s">
        <v>30</v>
      </c>
      <c r="U19" s="175" t="s">
        <v>31</v>
      </c>
      <c r="V19" s="175" t="s">
        <v>30</v>
      </c>
      <c r="W19" s="175" t="s">
        <v>31</v>
      </c>
      <c r="X19" s="175" t="s">
        <v>30</v>
      </c>
      <c r="Y19" s="175" t="s">
        <v>31</v>
      </c>
      <c r="Z19" s="175" t="s">
        <v>30</v>
      </c>
      <c r="AA19" s="175" t="s">
        <v>31</v>
      </c>
      <c r="AB19" s="175" t="s">
        <v>30</v>
      </c>
      <c r="AC19" s="175" t="s">
        <v>31</v>
      </c>
      <c r="AD19" s="175" t="s">
        <v>30</v>
      </c>
      <c r="AE19" s="175" t="s">
        <v>31</v>
      </c>
      <c r="AF19" s="175" t="s">
        <v>30</v>
      </c>
      <c r="AG19" s="175" t="s">
        <v>31</v>
      </c>
      <c r="AH19" s="175" t="s">
        <v>30</v>
      </c>
      <c r="AI19" s="175" t="s">
        <v>31</v>
      </c>
      <c r="AJ19" s="175" t="s">
        <v>30</v>
      </c>
      <c r="AK19" s="175" t="s">
        <v>31</v>
      </c>
      <c r="AL19" s="175" t="s">
        <v>30</v>
      </c>
      <c r="AM19" s="175" t="s">
        <v>31</v>
      </c>
      <c r="AN19" s="175" t="s">
        <v>30</v>
      </c>
      <c r="AO19" s="175" t="s">
        <v>31</v>
      </c>
      <c r="AP19" s="175" t="s">
        <v>30</v>
      </c>
      <c r="AQ19" s="175" t="s">
        <v>31</v>
      </c>
      <c r="AR19" s="175" t="s">
        <v>30</v>
      </c>
      <c r="AS19" s="175" t="s">
        <v>31</v>
      </c>
      <c r="AT19" s="175" t="s">
        <v>30</v>
      </c>
      <c r="AU19" s="175" t="s">
        <v>31</v>
      </c>
      <c r="AV19" s="175" t="s">
        <v>30</v>
      </c>
      <c r="AW19" s="175" t="s">
        <v>31</v>
      </c>
      <c r="AX19" s="175" t="s">
        <v>30</v>
      </c>
      <c r="AY19" s="175" t="s">
        <v>31</v>
      </c>
      <c r="AZ19" s="175" t="s">
        <v>30</v>
      </c>
      <c r="BA19" s="175" t="s">
        <v>31</v>
      </c>
      <c r="BB19" s="175" t="s">
        <v>30</v>
      </c>
      <c r="BC19" s="175" t="s">
        <v>31</v>
      </c>
      <c r="BD19" s="175" t="s">
        <v>30</v>
      </c>
      <c r="BE19" s="175" t="s">
        <v>31</v>
      </c>
      <c r="BF19" s="175" t="s">
        <v>30</v>
      </c>
      <c r="BG19" s="175" t="s">
        <v>31</v>
      </c>
      <c r="BH19" s="175" t="s">
        <v>30</v>
      </c>
      <c r="BI19" s="175" t="s">
        <v>31</v>
      </c>
      <c r="BJ19" s="175" t="s">
        <v>30</v>
      </c>
      <c r="BK19" s="175" t="s">
        <v>31</v>
      </c>
      <c r="BL19" s="175" t="s">
        <v>30</v>
      </c>
      <c r="BM19" s="175" t="s">
        <v>31</v>
      </c>
      <c r="BN19" s="175" t="s">
        <v>30</v>
      </c>
      <c r="BO19" s="175" t="s">
        <v>31</v>
      </c>
      <c r="BP19" s="175" t="s">
        <v>30</v>
      </c>
      <c r="BQ19" s="175" t="s">
        <v>31</v>
      </c>
      <c r="BR19" s="175" t="s">
        <v>30</v>
      </c>
      <c r="BS19" s="175" t="s">
        <v>31</v>
      </c>
      <c r="BT19" s="175" t="s">
        <v>30</v>
      </c>
      <c r="BU19" s="175" t="s">
        <v>31</v>
      </c>
      <c r="BV19" s="175" t="s">
        <v>30</v>
      </c>
      <c r="BW19" s="175" t="s">
        <v>31</v>
      </c>
      <c r="BX19" s="175" t="s">
        <v>30</v>
      </c>
      <c r="BY19" s="175" t="s">
        <v>31</v>
      </c>
      <c r="BZ19" s="175" t="s">
        <v>30</v>
      </c>
      <c r="CA19" s="175" t="s">
        <v>31</v>
      </c>
      <c r="CB19" s="175" t="s">
        <v>30</v>
      </c>
      <c r="CC19" s="175" t="s">
        <v>31</v>
      </c>
      <c r="CD19" s="175" t="s">
        <v>30</v>
      </c>
      <c r="CE19" s="175" t="s">
        <v>31</v>
      </c>
      <c r="CF19" s="175" t="s">
        <v>30</v>
      </c>
      <c r="CG19" s="175" t="s">
        <v>31</v>
      </c>
      <c r="CH19" s="175" t="s">
        <v>30</v>
      </c>
      <c r="CI19" s="175" t="s">
        <v>31</v>
      </c>
      <c r="CJ19" s="175" t="s">
        <v>30</v>
      </c>
      <c r="CK19" s="175" t="s">
        <v>31</v>
      </c>
      <c r="CL19" s="175" t="s">
        <v>30</v>
      </c>
      <c r="CM19" s="175" t="s">
        <v>31</v>
      </c>
      <c r="CN19" s="175" t="s">
        <v>30</v>
      </c>
      <c r="CO19" s="175" t="s">
        <v>31</v>
      </c>
      <c r="CP19" s="175" t="s">
        <v>30</v>
      </c>
      <c r="CQ19" s="175" t="s">
        <v>31</v>
      </c>
      <c r="CR19" s="175" t="s">
        <v>30</v>
      </c>
      <c r="CS19" s="175" t="s">
        <v>31</v>
      </c>
      <c r="CT19" s="175" t="s">
        <v>30</v>
      </c>
      <c r="CU19" s="175" t="s">
        <v>31</v>
      </c>
      <c r="CV19" s="175" t="s">
        <v>30</v>
      </c>
      <c r="CW19" s="175" t="s">
        <v>31</v>
      </c>
      <c r="CX19" s="175" t="s">
        <v>30</v>
      </c>
      <c r="CY19" s="175" t="s">
        <v>31</v>
      </c>
      <c r="CZ19" s="175" t="s">
        <v>30</v>
      </c>
      <c r="DA19" s="175" t="s">
        <v>31</v>
      </c>
      <c r="DB19" s="175" t="s">
        <v>30</v>
      </c>
      <c r="DC19" s="175" t="s">
        <v>31</v>
      </c>
      <c r="DD19" s="175" t="s">
        <v>30</v>
      </c>
      <c r="DE19" s="175" t="s">
        <v>31</v>
      </c>
      <c r="DF19" s="175" t="s">
        <v>30</v>
      </c>
      <c r="DG19" s="175" t="s">
        <v>31</v>
      </c>
      <c r="DH19" s="175" t="s">
        <v>30</v>
      </c>
      <c r="DI19" s="175" t="s">
        <v>31</v>
      </c>
      <c r="DJ19" s="175" t="s">
        <v>30</v>
      </c>
      <c r="DK19" s="175" t="s">
        <v>31</v>
      </c>
      <c r="DL19" s="175" t="s">
        <v>30</v>
      </c>
      <c r="DM19" s="175" t="s">
        <v>31</v>
      </c>
      <c r="DN19" s="175" t="s">
        <v>30</v>
      </c>
      <c r="DO19" s="175" t="s">
        <v>31</v>
      </c>
      <c r="DP19" s="175" t="s">
        <v>30</v>
      </c>
      <c r="DQ19" s="175" t="s">
        <v>31</v>
      </c>
      <c r="DR19" s="175" t="s">
        <v>30</v>
      </c>
      <c r="DS19" s="175" t="s">
        <v>31</v>
      </c>
      <c r="DT19" s="175" t="s">
        <v>30</v>
      </c>
      <c r="DU19" s="175" t="s">
        <v>31</v>
      </c>
      <c r="DV19" s="175" t="s">
        <v>30</v>
      </c>
      <c r="DW19" s="175" t="s">
        <v>31</v>
      </c>
      <c r="DX19" s="175" t="s">
        <v>30</v>
      </c>
      <c r="DY19" s="175" t="s">
        <v>31</v>
      </c>
      <c r="DZ19" s="175" t="s">
        <v>30</v>
      </c>
      <c r="EA19" s="175" t="s">
        <v>31</v>
      </c>
      <c r="EB19" s="175" t="s">
        <v>30</v>
      </c>
      <c r="EC19" s="175" t="s">
        <v>31</v>
      </c>
      <c r="ED19" s="175" t="s">
        <v>30</v>
      </c>
      <c r="EE19" s="175" t="s">
        <v>31</v>
      </c>
      <c r="EF19" s="175" t="s">
        <v>30</v>
      </c>
      <c r="EG19" s="175" t="s">
        <v>31</v>
      </c>
      <c r="EH19" s="175" t="s">
        <v>30</v>
      </c>
      <c r="EI19" s="175" t="s">
        <v>31</v>
      </c>
      <c r="EJ19" s="175" t="s">
        <v>30</v>
      </c>
      <c r="EK19" s="175" t="s">
        <v>31</v>
      </c>
      <c r="EL19" s="175" t="s">
        <v>30</v>
      </c>
      <c r="EM19" s="175" t="s">
        <v>31</v>
      </c>
      <c r="EN19" s="175" t="s">
        <v>30</v>
      </c>
      <c r="EO19" s="175" t="s">
        <v>31</v>
      </c>
      <c r="EP19" s="175" t="s">
        <v>30</v>
      </c>
      <c r="EQ19" s="175" t="s">
        <v>31</v>
      </c>
      <c r="ER19" s="175" t="s">
        <v>30</v>
      </c>
      <c r="ES19" s="175" t="s">
        <v>31</v>
      </c>
      <c r="ET19" s="175" t="s">
        <v>30</v>
      </c>
      <c r="EU19" s="175" t="s">
        <v>31</v>
      </c>
      <c r="EV19" s="175" t="s">
        <v>30</v>
      </c>
      <c r="EW19" s="175" t="s">
        <v>31</v>
      </c>
      <c r="EX19" s="175" t="s">
        <v>30</v>
      </c>
      <c r="EY19" s="175" t="s">
        <v>31</v>
      </c>
      <c r="EZ19" s="175" t="s">
        <v>30</v>
      </c>
      <c r="FA19" s="175" t="s">
        <v>31</v>
      </c>
      <c r="FB19" s="175" t="s">
        <v>30</v>
      </c>
      <c r="FC19" s="175" t="s">
        <v>31</v>
      </c>
      <c r="FD19" s="175" t="s">
        <v>30</v>
      </c>
      <c r="FE19" s="175" t="s">
        <v>31</v>
      </c>
      <c r="FF19" s="175" t="s">
        <v>30</v>
      </c>
      <c r="FG19" s="175" t="s">
        <v>31</v>
      </c>
      <c r="FH19" s="175" t="s">
        <v>30</v>
      </c>
      <c r="FI19" s="175" t="s">
        <v>31</v>
      </c>
      <c r="FJ19" s="175" t="s">
        <v>30</v>
      </c>
      <c r="FK19" s="175" t="s">
        <v>31</v>
      </c>
      <c r="FL19" s="175" t="s">
        <v>30</v>
      </c>
      <c r="FM19" s="175" t="s">
        <v>31</v>
      </c>
      <c r="FN19" s="175" t="s">
        <v>30</v>
      </c>
      <c r="FO19" s="175" t="s">
        <v>31</v>
      </c>
      <c r="FP19" s="175" t="s">
        <v>30</v>
      </c>
      <c r="FQ19" s="175" t="s">
        <v>31</v>
      </c>
      <c r="FR19" s="175" t="s">
        <v>30</v>
      </c>
      <c r="FS19" s="175" t="s">
        <v>31</v>
      </c>
      <c r="FT19" s="175" t="s">
        <v>30</v>
      </c>
      <c r="FU19" s="175" t="s">
        <v>31</v>
      </c>
      <c r="FW19" s="234" t="s">
        <v>185</v>
      </c>
      <c r="FX19" s="233" t="s">
        <v>25</v>
      </c>
      <c r="FY19" s="233" t="s">
        <v>26</v>
      </c>
      <c r="FZ19" s="233" t="s">
        <v>27</v>
      </c>
      <c r="GA19" s="233" t="s">
        <v>20</v>
      </c>
    </row>
    <row r="20" spans="1:183">
      <c r="A20" s="146" t="s">
        <v>17</v>
      </c>
      <c r="B20" s="171">
        <v>0</v>
      </c>
      <c r="C20" s="171">
        <v>0</v>
      </c>
      <c r="D20" s="171">
        <v>0</v>
      </c>
      <c r="E20" s="171">
        <v>0</v>
      </c>
      <c r="F20" s="171">
        <v>0</v>
      </c>
      <c r="G20" s="171">
        <v>0</v>
      </c>
      <c r="H20" s="171">
        <v>0</v>
      </c>
      <c r="I20" s="171">
        <v>0</v>
      </c>
      <c r="J20" s="171">
        <v>0</v>
      </c>
      <c r="K20" s="171">
        <v>0</v>
      </c>
      <c r="L20" s="171">
        <v>0</v>
      </c>
      <c r="M20" s="171">
        <v>0</v>
      </c>
      <c r="N20" s="171">
        <v>0</v>
      </c>
      <c r="O20" s="171">
        <v>0</v>
      </c>
      <c r="P20" s="171">
        <v>0</v>
      </c>
      <c r="Q20" s="171">
        <v>0</v>
      </c>
      <c r="R20" s="171">
        <v>0</v>
      </c>
      <c r="S20" s="171">
        <v>0</v>
      </c>
      <c r="T20" s="171">
        <v>0</v>
      </c>
      <c r="U20" s="171">
        <v>0</v>
      </c>
      <c r="V20" s="171">
        <v>0</v>
      </c>
      <c r="W20" s="171">
        <v>0</v>
      </c>
      <c r="X20" s="171">
        <v>0</v>
      </c>
      <c r="Y20" s="171">
        <v>0</v>
      </c>
      <c r="Z20" s="171">
        <v>0</v>
      </c>
      <c r="AA20" s="171">
        <v>0</v>
      </c>
      <c r="AB20" s="171">
        <v>0</v>
      </c>
      <c r="AC20" s="171">
        <v>0</v>
      </c>
      <c r="AD20" s="171">
        <v>0</v>
      </c>
      <c r="AE20" s="171">
        <v>0</v>
      </c>
      <c r="AF20" s="171">
        <v>0</v>
      </c>
      <c r="AG20" s="171">
        <v>0</v>
      </c>
      <c r="AH20" s="171">
        <v>0</v>
      </c>
      <c r="AI20" s="171">
        <v>0</v>
      </c>
      <c r="AJ20" s="171">
        <v>0</v>
      </c>
      <c r="AK20" s="171">
        <v>0</v>
      </c>
      <c r="AL20" s="171">
        <v>0</v>
      </c>
      <c r="AM20" s="171">
        <v>0</v>
      </c>
      <c r="AN20" s="171">
        <v>0</v>
      </c>
      <c r="AO20" s="171">
        <v>0</v>
      </c>
      <c r="AP20" s="171">
        <v>0</v>
      </c>
      <c r="AQ20" s="171">
        <v>0</v>
      </c>
      <c r="AR20" s="171">
        <v>14.62</v>
      </c>
      <c r="AS20" s="171">
        <v>23.687324</v>
      </c>
      <c r="AT20" s="171">
        <v>0</v>
      </c>
      <c r="AU20" s="171">
        <v>0</v>
      </c>
      <c r="AV20" s="171">
        <v>0</v>
      </c>
      <c r="AW20" s="171">
        <v>0</v>
      </c>
      <c r="AX20" s="171">
        <v>0</v>
      </c>
      <c r="AY20" s="171">
        <v>0</v>
      </c>
      <c r="AZ20" s="171">
        <v>0</v>
      </c>
      <c r="BA20" s="171">
        <v>0</v>
      </c>
      <c r="BB20" s="171">
        <v>0</v>
      </c>
      <c r="BC20" s="171">
        <v>0</v>
      </c>
      <c r="BD20" s="171">
        <v>14.62</v>
      </c>
      <c r="BE20" s="171">
        <v>23.687324</v>
      </c>
      <c r="BF20" s="171">
        <v>0</v>
      </c>
      <c r="BG20" s="171">
        <v>0</v>
      </c>
      <c r="BH20" s="171">
        <v>0</v>
      </c>
      <c r="BI20" s="171">
        <v>0</v>
      </c>
      <c r="BJ20" s="171">
        <v>0</v>
      </c>
      <c r="BK20" s="171">
        <v>0</v>
      </c>
      <c r="BL20" s="171">
        <v>0</v>
      </c>
      <c r="BM20" s="171">
        <v>0</v>
      </c>
      <c r="BN20" s="171">
        <v>0</v>
      </c>
      <c r="BO20" s="171">
        <v>0</v>
      </c>
      <c r="BP20" s="171">
        <v>0</v>
      </c>
      <c r="BQ20" s="171">
        <v>0</v>
      </c>
      <c r="BR20" s="171">
        <v>0</v>
      </c>
      <c r="BS20" s="171">
        <v>0</v>
      </c>
      <c r="BT20" s="171">
        <v>0</v>
      </c>
      <c r="BU20" s="171">
        <v>0</v>
      </c>
      <c r="BV20" s="171">
        <v>0</v>
      </c>
      <c r="BW20" s="171">
        <v>0</v>
      </c>
      <c r="BX20" s="171">
        <v>0</v>
      </c>
      <c r="BY20" s="171">
        <v>0</v>
      </c>
      <c r="BZ20" s="171">
        <v>0</v>
      </c>
      <c r="CA20" s="171">
        <v>0</v>
      </c>
      <c r="CB20" s="171">
        <v>0</v>
      </c>
      <c r="CC20" s="171">
        <v>0</v>
      </c>
      <c r="CD20" s="171">
        <v>0</v>
      </c>
      <c r="CE20" s="171">
        <v>0</v>
      </c>
      <c r="CF20" s="171">
        <v>0</v>
      </c>
      <c r="CG20" s="171">
        <v>0</v>
      </c>
      <c r="CH20" s="171">
        <v>0</v>
      </c>
      <c r="CI20" s="171">
        <v>0</v>
      </c>
      <c r="CJ20" s="171">
        <v>0</v>
      </c>
      <c r="CK20" s="171">
        <v>0</v>
      </c>
      <c r="CL20" s="171">
        <v>0</v>
      </c>
      <c r="CM20" s="171">
        <v>0</v>
      </c>
      <c r="CN20" s="171">
        <v>0</v>
      </c>
      <c r="CO20" s="171">
        <v>0</v>
      </c>
      <c r="CP20" s="171">
        <v>0</v>
      </c>
      <c r="CQ20" s="171">
        <v>0</v>
      </c>
      <c r="CR20" s="171">
        <v>0</v>
      </c>
      <c r="CS20" s="171">
        <v>0</v>
      </c>
      <c r="CT20" s="171">
        <v>0</v>
      </c>
      <c r="CU20" s="171">
        <v>0</v>
      </c>
      <c r="CV20" s="171">
        <v>0</v>
      </c>
      <c r="CW20" s="171">
        <v>0</v>
      </c>
      <c r="CX20" s="171">
        <v>0</v>
      </c>
      <c r="CY20" s="171">
        <v>0</v>
      </c>
      <c r="CZ20" s="171">
        <v>0</v>
      </c>
      <c r="DA20" s="171">
        <v>0</v>
      </c>
      <c r="DB20" s="171">
        <v>0</v>
      </c>
      <c r="DC20" s="171">
        <v>0</v>
      </c>
      <c r="DD20" s="171">
        <v>0</v>
      </c>
      <c r="DE20" s="171">
        <v>0</v>
      </c>
      <c r="DF20" s="171">
        <v>0</v>
      </c>
      <c r="DG20" s="171">
        <v>0</v>
      </c>
      <c r="DH20" s="171">
        <v>0</v>
      </c>
      <c r="DI20" s="171">
        <v>0</v>
      </c>
      <c r="DJ20" s="171">
        <v>0</v>
      </c>
      <c r="DK20" s="171">
        <v>0</v>
      </c>
      <c r="DL20" s="171">
        <v>0</v>
      </c>
      <c r="DM20" s="171">
        <v>0</v>
      </c>
      <c r="DN20" s="171">
        <v>0</v>
      </c>
      <c r="DO20" s="171">
        <v>0</v>
      </c>
      <c r="DP20" s="171">
        <v>0</v>
      </c>
      <c r="DQ20" s="171">
        <v>0</v>
      </c>
      <c r="DR20" s="171">
        <v>0</v>
      </c>
      <c r="DS20" s="171">
        <v>0</v>
      </c>
      <c r="DT20" s="171">
        <v>0</v>
      </c>
      <c r="DU20" s="171">
        <v>0</v>
      </c>
      <c r="DV20" s="171">
        <v>0</v>
      </c>
      <c r="DW20" s="171">
        <v>0</v>
      </c>
      <c r="DX20" s="171">
        <v>0</v>
      </c>
      <c r="DY20" s="171">
        <v>0</v>
      </c>
      <c r="DZ20" s="171">
        <v>0</v>
      </c>
      <c r="EA20" s="171">
        <v>0</v>
      </c>
      <c r="EB20" s="171">
        <v>0</v>
      </c>
      <c r="EC20" s="171">
        <v>0</v>
      </c>
      <c r="ED20" s="171">
        <v>0</v>
      </c>
      <c r="EE20" s="171">
        <v>0</v>
      </c>
      <c r="EF20" s="171">
        <v>0</v>
      </c>
      <c r="EG20" s="171">
        <v>0</v>
      </c>
      <c r="EH20" s="171">
        <v>0</v>
      </c>
      <c r="EI20" s="171">
        <v>0</v>
      </c>
      <c r="EJ20" s="171">
        <v>0</v>
      </c>
      <c r="EK20" s="171">
        <v>0</v>
      </c>
      <c r="EL20" s="171">
        <v>0</v>
      </c>
      <c r="EM20" s="171">
        <v>0</v>
      </c>
      <c r="EN20" s="171">
        <v>0</v>
      </c>
      <c r="EO20" s="171">
        <v>0</v>
      </c>
      <c r="EP20" s="171">
        <v>0</v>
      </c>
      <c r="EQ20" s="171">
        <v>0</v>
      </c>
      <c r="ER20" s="171">
        <v>0</v>
      </c>
      <c r="ES20" s="171">
        <v>0</v>
      </c>
      <c r="ET20" s="171">
        <v>0</v>
      </c>
      <c r="EU20" s="171">
        <v>0</v>
      </c>
      <c r="EV20" s="171">
        <v>0</v>
      </c>
      <c r="EW20" s="171">
        <v>0</v>
      </c>
      <c r="EX20" s="171">
        <v>0</v>
      </c>
      <c r="EY20" s="171">
        <v>0</v>
      </c>
      <c r="EZ20" s="171">
        <v>0</v>
      </c>
      <c r="FA20" s="171">
        <v>0</v>
      </c>
      <c r="FB20" s="171">
        <v>0</v>
      </c>
      <c r="FC20" s="171">
        <v>0</v>
      </c>
      <c r="FD20" s="171">
        <v>0</v>
      </c>
      <c r="FE20" s="171">
        <v>0</v>
      </c>
      <c r="FF20" s="171">
        <v>0</v>
      </c>
      <c r="FG20" s="171">
        <v>0</v>
      </c>
      <c r="FH20" s="171">
        <v>0</v>
      </c>
      <c r="FI20" s="171">
        <v>0</v>
      </c>
      <c r="FJ20" s="171">
        <v>0</v>
      </c>
      <c r="FK20" s="171">
        <v>0</v>
      </c>
      <c r="FL20" s="171">
        <v>0</v>
      </c>
      <c r="FM20" s="171">
        <v>0</v>
      </c>
      <c r="FN20" s="171">
        <f>B20+P20+AD20+AR20+BF20+BT20+CH20+CV20+DJ20+DX20+EL20+EZ20+(H20+V20+AJ20+AX20+BL20+BZ20+CN20+DB20+DP20+ED20+ER20+FF20)</f>
        <v>14.62</v>
      </c>
      <c r="FO20" s="171">
        <f t="shared" ref="FO20:FO27" si="18">C20+Q20+AE20+AS20+BG20+BU20+CI20+CW20+DK20+DY20+EM20+FA20+(I20+W20+AK20+AY20+BM20+CA20+CO20+DC20+DQ20+EE20+ES20+FG20)</f>
        <v>23.687324</v>
      </c>
      <c r="FP20" s="171">
        <f t="shared" ref="FP20:FP27" si="19">D20+R20+AF20+AT20+BH20+BV20+CJ20+CX20+DL20+DZ20+EN20+FB20+(J20+X20+AL20+AZ20+BN20+CB20+CP20+DD20+DR20+EF20+ET20+FH20)</f>
        <v>0</v>
      </c>
      <c r="FQ20" s="171">
        <f t="shared" ref="FQ20:FQ27" si="20">E20+S20+AG20+AU20+BI20+BW20+CK20+CY20+DM20+EA20+EO20+FC20+(K20+Y20+AM20+BA20+BO20+CC20+CQ20+DE20+DS20+EG20+EU20+FI20)</f>
        <v>0</v>
      </c>
      <c r="FR20" s="171">
        <f t="shared" ref="FR20:FR27" si="21">F20+T20+AH20+AV20+BJ20+BX20+CL20+CZ20+DN20+EB20+EP20+FD20+(L20+Z20+AN20+BB20+BP20+CD20+CR20+DF20+DT20+EH20+EV20+FJ20)</f>
        <v>0</v>
      </c>
      <c r="FS20" s="171">
        <f t="shared" ref="FS20:FS27" si="22">G20+U20+AI20+AW20+BK20+BY20+CM20+DA20+DO20+EC20+EQ20+FE20+(M20+AA20+AO20+BC20+BQ20+CE20+CS20+DG20+DU20+EI20+EW20+FK20)</f>
        <v>0</v>
      </c>
      <c r="FT20" s="171">
        <f>FN20+FP20+FR20</f>
        <v>14.62</v>
      </c>
      <c r="FU20" s="171">
        <f>FO20+FQ20+FS20</f>
        <v>23.687324</v>
      </c>
      <c r="FW20" s="135" t="s">
        <v>17</v>
      </c>
      <c r="FX20" s="44">
        <f>IF(FN20&lt;=0,0,FO20*10^5/FN20)</f>
        <v>162020</v>
      </c>
      <c r="FY20" s="44">
        <f>IF(FP20&lt;=0,0,FQ20*10^5/FP20)</f>
        <v>0</v>
      </c>
      <c r="FZ20" s="44">
        <f>IF(FR20&lt;=0,0,FS20*10^5/FR20)</f>
        <v>0</v>
      </c>
      <c r="GA20" s="44">
        <f>IF(FT20&lt;=0,0,FU20*10^5/FT20)</f>
        <v>162020</v>
      </c>
    </row>
    <row r="21" spans="1:183">
      <c r="A21" s="146" t="s">
        <v>11</v>
      </c>
      <c r="B21" s="171">
        <v>506.29000000000008</v>
      </c>
      <c r="C21" s="171">
        <v>570.28071859999989</v>
      </c>
      <c r="D21" s="171">
        <v>189.8</v>
      </c>
      <c r="E21" s="171">
        <v>235.46600000000001</v>
      </c>
      <c r="F21" s="171">
        <v>1342.7099999999998</v>
      </c>
      <c r="G21" s="171">
        <v>1501.0659028000007</v>
      </c>
      <c r="H21" s="171">
        <v>0</v>
      </c>
      <c r="I21" s="171">
        <v>0</v>
      </c>
      <c r="J21" s="171">
        <v>0</v>
      </c>
      <c r="K21" s="171">
        <v>0</v>
      </c>
      <c r="L21" s="171">
        <v>0</v>
      </c>
      <c r="M21" s="171">
        <v>0</v>
      </c>
      <c r="N21" s="171">
        <v>2038.8</v>
      </c>
      <c r="O21" s="171">
        <v>2306.8126214000004</v>
      </c>
      <c r="P21" s="171">
        <v>656.4300000000004</v>
      </c>
      <c r="Q21" s="171">
        <v>764.35472089999985</v>
      </c>
      <c r="R21" s="171">
        <v>226.06</v>
      </c>
      <c r="S21" s="171">
        <v>283.58224999999999</v>
      </c>
      <c r="T21" s="171">
        <v>1013.2000000000003</v>
      </c>
      <c r="U21" s="171">
        <v>1146.8987130000003</v>
      </c>
      <c r="V21" s="171">
        <v>0</v>
      </c>
      <c r="W21" s="171">
        <v>0</v>
      </c>
      <c r="X21" s="171">
        <v>0</v>
      </c>
      <c r="Y21" s="171">
        <v>0</v>
      </c>
      <c r="Z21" s="171">
        <v>0</v>
      </c>
      <c r="AA21" s="171">
        <v>0</v>
      </c>
      <c r="AB21" s="171">
        <v>1895.6900000000007</v>
      </c>
      <c r="AC21" s="171">
        <v>2194.8356838999998</v>
      </c>
      <c r="AD21" s="171">
        <v>384.78</v>
      </c>
      <c r="AE21" s="171">
        <v>438.5292786</v>
      </c>
      <c r="AF21" s="171">
        <v>83.990000000000009</v>
      </c>
      <c r="AG21" s="171">
        <v>118.4259</v>
      </c>
      <c r="AH21" s="171">
        <v>342.03000000000009</v>
      </c>
      <c r="AI21" s="171">
        <v>314.6930863</v>
      </c>
      <c r="AJ21" s="171">
        <v>0</v>
      </c>
      <c r="AK21" s="171">
        <v>0</v>
      </c>
      <c r="AL21" s="171">
        <v>0</v>
      </c>
      <c r="AM21" s="171">
        <v>0</v>
      </c>
      <c r="AN21" s="171">
        <v>0</v>
      </c>
      <c r="AO21" s="171">
        <v>0</v>
      </c>
      <c r="AP21" s="171">
        <v>810.80000000000007</v>
      </c>
      <c r="AQ21" s="171">
        <v>871.64826489999996</v>
      </c>
      <c r="AR21" s="171">
        <v>631.2399999999999</v>
      </c>
      <c r="AS21" s="171">
        <v>707.42374230000019</v>
      </c>
      <c r="AT21" s="171">
        <v>174.92</v>
      </c>
      <c r="AU21" s="171">
        <v>207.0872</v>
      </c>
      <c r="AV21" s="171">
        <v>437.56</v>
      </c>
      <c r="AW21" s="171">
        <v>474.41179799999998</v>
      </c>
      <c r="AX21" s="171">
        <v>0</v>
      </c>
      <c r="AY21" s="171">
        <v>0</v>
      </c>
      <c r="AZ21" s="171">
        <v>0</v>
      </c>
      <c r="BA21" s="171">
        <v>0</v>
      </c>
      <c r="BB21" s="171">
        <v>0</v>
      </c>
      <c r="BC21" s="171">
        <v>0</v>
      </c>
      <c r="BD21" s="171">
        <v>1243.7199999999998</v>
      </c>
      <c r="BE21" s="171">
        <v>1388.9227403</v>
      </c>
      <c r="BF21" s="171">
        <v>530.21999999999991</v>
      </c>
      <c r="BG21" s="171">
        <v>584.04082110000013</v>
      </c>
      <c r="BH21" s="171">
        <v>111.31</v>
      </c>
      <c r="BI21" s="171">
        <v>138.28105200000002</v>
      </c>
      <c r="BJ21" s="171">
        <v>618.20999999999992</v>
      </c>
      <c r="BK21" s="171">
        <v>684.03954999999996</v>
      </c>
      <c r="BL21" s="171">
        <v>0</v>
      </c>
      <c r="BM21" s="171">
        <v>0</v>
      </c>
      <c r="BN21" s="171">
        <v>0</v>
      </c>
      <c r="BO21" s="171">
        <v>0</v>
      </c>
      <c r="BP21" s="171">
        <v>0</v>
      </c>
      <c r="BQ21" s="171">
        <v>0</v>
      </c>
      <c r="BR21" s="171">
        <v>1259.7399999999998</v>
      </c>
      <c r="BS21" s="171">
        <v>1406.3614231000001</v>
      </c>
      <c r="BT21" s="171">
        <v>513.78000000000009</v>
      </c>
      <c r="BU21" s="171">
        <v>487.78690840000002</v>
      </c>
      <c r="BV21" s="171">
        <v>275.59999999999997</v>
      </c>
      <c r="BW21" s="171">
        <v>275.3082</v>
      </c>
      <c r="BX21" s="171">
        <v>969.18</v>
      </c>
      <c r="BY21" s="171">
        <v>917.52941550000014</v>
      </c>
      <c r="BZ21" s="171">
        <v>0</v>
      </c>
      <c r="CA21" s="171">
        <v>0</v>
      </c>
      <c r="CB21" s="171">
        <v>0</v>
      </c>
      <c r="CC21" s="171">
        <v>0</v>
      </c>
      <c r="CD21" s="171">
        <v>0</v>
      </c>
      <c r="CE21" s="171">
        <v>0</v>
      </c>
      <c r="CF21" s="171">
        <v>1758.56</v>
      </c>
      <c r="CG21" s="171">
        <v>1680.6245239000002</v>
      </c>
      <c r="CH21" s="171">
        <v>334.21</v>
      </c>
      <c r="CI21" s="171">
        <v>304.21342820000007</v>
      </c>
      <c r="CJ21" s="171">
        <v>390.3</v>
      </c>
      <c r="CK21" s="171">
        <v>332.75757299999998</v>
      </c>
      <c r="CL21" s="171">
        <v>2261.4799999999991</v>
      </c>
      <c r="CM21" s="171">
        <v>1929.3651361000004</v>
      </c>
      <c r="CN21" s="171">
        <v>0</v>
      </c>
      <c r="CO21" s="171">
        <v>0</v>
      </c>
      <c r="CP21" s="171">
        <v>0</v>
      </c>
      <c r="CQ21" s="171">
        <v>0</v>
      </c>
      <c r="CR21" s="171">
        <v>0</v>
      </c>
      <c r="CS21" s="171">
        <v>0</v>
      </c>
      <c r="CT21" s="171">
        <v>2985.9899999999989</v>
      </c>
      <c r="CU21" s="171">
        <v>2566.3361373000007</v>
      </c>
      <c r="CV21" s="171">
        <v>420.49</v>
      </c>
      <c r="CW21" s="171">
        <v>374.18271359999994</v>
      </c>
      <c r="CX21" s="171">
        <v>153.98000000000002</v>
      </c>
      <c r="CY21" s="171">
        <v>133.64840000000001</v>
      </c>
      <c r="CZ21" s="171">
        <v>2225.8599999999992</v>
      </c>
      <c r="DA21" s="171">
        <v>1748.0094310000002</v>
      </c>
      <c r="DB21" s="171">
        <v>0</v>
      </c>
      <c r="DC21" s="171">
        <v>0</v>
      </c>
      <c r="DD21" s="171">
        <v>0</v>
      </c>
      <c r="DE21" s="171">
        <v>0</v>
      </c>
      <c r="DF21" s="171">
        <v>0</v>
      </c>
      <c r="DG21" s="171">
        <v>0</v>
      </c>
      <c r="DH21" s="171">
        <v>2800.329999999999</v>
      </c>
      <c r="DI21" s="171">
        <v>2255.8405446000002</v>
      </c>
      <c r="DJ21" s="171">
        <v>664.94999999999993</v>
      </c>
      <c r="DK21" s="171">
        <v>578.50786919999996</v>
      </c>
      <c r="DL21" s="171">
        <v>159.41</v>
      </c>
      <c r="DM21" s="171">
        <v>144.6867</v>
      </c>
      <c r="DN21" s="171">
        <v>1771.2000000000005</v>
      </c>
      <c r="DO21" s="171">
        <v>1368.6502086999997</v>
      </c>
      <c r="DP21" s="171">
        <v>0</v>
      </c>
      <c r="DQ21" s="171">
        <v>0</v>
      </c>
      <c r="DR21" s="171">
        <v>0</v>
      </c>
      <c r="DS21" s="171">
        <v>0</v>
      </c>
      <c r="DT21" s="171">
        <v>0</v>
      </c>
      <c r="DU21" s="171">
        <v>0</v>
      </c>
      <c r="DV21" s="171">
        <v>2595.5600000000004</v>
      </c>
      <c r="DW21" s="171">
        <v>2091.8447778999998</v>
      </c>
      <c r="DX21" s="171">
        <v>788.53000000000009</v>
      </c>
      <c r="DY21" s="171">
        <v>708.64454880000005</v>
      </c>
      <c r="DZ21" s="171">
        <v>216.94000000000003</v>
      </c>
      <c r="EA21" s="171">
        <v>198.81354999999999</v>
      </c>
      <c r="EB21" s="171">
        <v>2395.7399999999993</v>
      </c>
      <c r="EC21" s="171">
        <v>1867.5970671</v>
      </c>
      <c r="ED21" s="171">
        <v>0</v>
      </c>
      <c r="EE21" s="171">
        <v>0</v>
      </c>
      <c r="EF21" s="171">
        <v>0</v>
      </c>
      <c r="EG21" s="171">
        <v>0</v>
      </c>
      <c r="EH21" s="171">
        <v>0</v>
      </c>
      <c r="EI21" s="171">
        <v>0</v>
      </c>
      <c r="EJ21" s="171">
        <v>3401.2099999999996</v>
      </c>
      <c r="EK21" s="171">
        <v>2775.0551659000002</v>
      </c>
      <c r="EL21" s="171">
        <v>781.46999999999991</v>
      </c>
      <c r="EM21" s="171">
        <v>770.98923410000009</v>
      </c>
      <c r="EN21" s="171">
        <v>297.29999999999995</v>
      </c>
      <c r="EO21" s="171">
        <v>279.36104999999998</v>
      </c>
      <c r="EP21" s="171">
        <v>798.25</v>
      </c>
      <c r="EQ21" s="171">
        <v>670.6670992999999</v>
      </c>
      <c r="ER21" s="171">
        <v>0</v>
      </c>
      <c r="ES21" s="171">
        <v>0</v>
      </c>
      <c r="ET21" s="171">
        <v>0</v>
      </c>
      <c r="EU21" s="171">
        <v>0</v>
      </c>
      <c r="EV21" s="171">
        <v>0</v>
      </c>
      <c r="EW21" s="171">
        <v>0</v>
      </c>
      <c r="EX21" s="171">
        <v>1877.02</v>
      </c>
      <c r="EY21" s="171">
        <v>1721.0173833999997</v>
      </c>
      <c r="EZ21" s="171">
        <v>408.02</v>
      </c>
      <c r="FA21" s="171">
        <v>387.80785279999992</v>
      </c>
      <c r="FB21" s="171">
        <v>40.22</v>
      </c>
      <c r="FC21" s="171">
        <v>42.633200000000002</v>
      </c>
      <c r="FD21" s="171">
        <v>2084.8800000000006</v>
      </c>
      <c r="FE21" s="171">
        <v>1670.479366</v>
      </c>
      <c r="FF21" s="171">
        <v>0</v>
      </c>
      <c r="FG21" s="171">
        <v>0</v>
      </c>
      <c r="FH21" s="171">
        <v>0</v>
      </c>
      <c r="FI21" s="171">
        <v>0</v>
      </c>
      <c r="FJ21" s="171">
        <v>0</v>
      </c>
      <c r="FK21" s="171">
        <v>0</v>
      </c>
      <c r="FL21" s="171">
        <v>2533.1200000000008</v>
      </c>
      <c r="FM21" s="171">
        <v>2100.9204187999999</v>
      </c>
      <c r="FN21" s="171">
        <f t="shared" ref="FN21:FN27" si="23">B21+P21+AD21+AR21+BF21+BT21+CH21+CV21+DJ21+DX21+EL21+EZ21+(H21+V21+AJ21+AX21+BL21+BZ21+CN21+DB21+DP21+ED21+ER21+FF21)</f>
        <v>6620.41</v>
      </c>
      <c r="FO21" s="171">
        <f t="shared" si="18"/>
        <v>6676.7618366000006</v>
      </c>
      <c r="FP21" s="171">
        <f t="shared" si="19"/>
        <v>2319.8299999999995</v>
      </c>
      <c r="FQ21" s="171">
        <f t="shared" si="20"/>
        <v>2390.0510750000003</v>
      </c>
      <c r="FR21" s="171">
        <f t="shared" si="21"/>
        <v>16260.3</v>
      </c>
      <c r="FS21" s="171">
        <f t="shared" si="22"/>
        <v>14293.406773800001</v>
      </c>
      <c r="FT21" s="171">
        <f t="shared" ref="FT21:FT28" si="24">FN21+FP21+FR21</f>
        <v>25200.54</v>
      </c>
      <c r="FU21" s="171">
        <f t="shared" ref="FU21:FU28" si="25">FO21+FQ21+FS21</f>
        <v>23360.219685400003</v>
      </c>
      <c r="FW21" s="135" t="s">
        <v>11</v>
      </c>
      <c r="FX21" s="44">
        <f t="shared" ref="FX21:FX29" si="26">IF(FN21&lt;=0,0,FO21*10^5/FN21)</f>
        <v>100851.18348561495</v>
      </c>
      <c r="FY21" s="44">
        <f t="shared" ref="FY21:FY29" si="27">IF(FP21&lt;=0,0,FQ21*10^5/FP21)</f>
        <v>103026.99227960673</v>
      </c>
      <c r="FZ21" s="44">
        <f t="shared" ref="FZ21:FZ29" si="28">IF(FR21&lt;=0,0,FS21*10^5/FR21)</f>
        <v>87903.708872530042</v>
      </c>
      <c r="GA21" s="44">
        <f t="shared" ref="GA21:GA29" si="29">IF(FT21&lt;=0,0,FU21*10^5/FT21)</f>
        <v>92697.298095199556</v>
      </c>
    </row>
    <row r="22" spans="1:183">
      <c r="A22" s="146" t="s">
        <v>12</v>
      </c>
      <c r="B22" s="171">
        <v>0</v>
      </c>
      <c r="C22" s="171">
        <v>0</v>
      </c>
      <c r="D22" s="171">
        <v>0</v>
      </c>
      <c r="E22" s="171">
        <v>0</v>
      </c>
      <c r="F22" s="171">
        <v>0</v>
      </c>
      <c r="G22" s="171">
        <v>0</v>
      </c>
      <c r="H22" s="171">
        <v>0</v>
      </c>
      <c r="I22" s="171">
        <v>0</v>
      </c>
      <c r="J22" s="171">
        <v>0</v>
      </c>
      <c r="K22" s="171">
        <v>0</v>
      </c>
      <c r="L22" s="171">
        <v>0</v>
      </c>
      <c r="M22" s="171">
        <v>0</v>
      </c>
      <c r="N22" s="171">
        <v>0</v>
      </c>
      <c r="O22" s="171">
        <v>0</v>
      </c>
      <c r="P22" s="171">
        <v>0</v>
      </c>
      <c r="Q22" s="171">
        <v>0</v>
      </c>
      <c r="R22" s="171">
        <v>0</v>
      </c>
      <c r="S22" s="171">
        <v>0</v>
      </c>
      <c r="T22" s="171">
        <v>75.11</v>
      </c>
      <c r="U22" s="171">
        <v>79.336740300000002</v>
      </c>
      <c r="V22" s="171">
        <v>0</v>
      </c>
      <c r="W22" s="171">
        <v>0</v>
      </c>
      <c r="X22" s="171">
        <v>0</v>
      </c>
      <c r="Y22" s="171">
        <v>0</v>
      </c>
      <c r="Z22" s="171">
        <v>0</v>
      </c>
      <c r="AA22" s="171">
        <v>0</v>
      </c>
      <c r="AB22" s="171">
        <v>75.11</v>
      </c>
      <c r="AC22" s="171">
        <v>79.336740300000002</v>
      </c>
      <c r="AD22" s="171">
        <v>0</v>
      </c>
      <c r="AE22" s="171">
        <v>0</v>
      </c>
      <c r="AF22" s="171">
        <v>0</v>
      </c>
      <c r="AG22" s="171">
        <v>0</v>
      </c>
      <c r="AH22" s="171">
        <v>4042.3500000000008</v>
      </c>
      <c r="AI22" s="171">
        <v>4327.0547509999997</v>
      </c>
      <c r="AJ22" s="171">
        <v>0</v>
      </c>
      <c r="AK22" s="171">
        <v>0</v>
      </c>
      <c r="AL22" s="171">
        <v>0</v>
      </c>
      <c r="AM22" s="171">
        <v>0</v>
      </c>
      <c r="AN22" s="171">
        <v>0</v>
      </c>
      <c r="AO22" s="171">
        <v>0</v>
      </c>
      <c r="AP22" s="171">
        <v>4042.3500000000008</v>
      </c>
      <c r="AQ22" s="171">
        <v>4327.0547509999997</v>
      </c>
      <c r="AR22" s="171">
        <v>0</v>
      </c>
      <c r="AS22" s="171">
        <v>0</v>
      </c>
      <c r="AT22" s="171">
        <v>0</v>
      </c>
      <c r="AU22" s="171">
        <v>0</v>
      </c>
      <c r="AV22" s="171">
        <v>0</v>
      </c>
      <c r="AW22" s="171">
        <v>0</v>
      </c>
      <c r="AX22" s="171">
        <v>0</v>
      </c>
      <c r="AY22" s="171">
        <v>0</v>
      </c>
      <c r="AZ22" s="171">
        <v>0</v>
      </c>
      <c r="BA22" s="171">
        <v>0</v>
      </c>
      <c r="BB22" s="171">
        <v>0</v>
      </c>
      <c r="BC22" s="171">
        <v>0</v>
      </c>
      <c r="BD22" s="171">
        <v>0</v>
      </c>
      <c r="BE22" s="171">
        <v>0</v>
      </c>
      <c r="BF22" s="171">
        <v>9.65</v>
      </c>
      <c r="BG22" s="171">
        <v>10.6963852</v>
      </c>
      <c r="BH22" s="171">
        <v>0</v>
      </c>
      <c r="BI22" s="171">
        <v>0</v>
      </c>
      <c r="BJ22" s="171">
        <v>1508.0500000000002</v>
      </c>
      <c r="BK22" s="171">
        <v>1411.9068449000004</v>
      </c>
      <c r="BL22" s="171">
        <v>0</v>
      </c>
      <c r="BM22" s="171">
        <v>0</v>
      </c>
      <c r="BN22" s="171">
        <v>0</v>
      </c>
      <c r="BO22" s="171">
        <v>0</v>
      </c>
      <c r="BP22" s="171">
        <v>0</v>
      </c>
      <c r="BQ22" s="171">
        <v>0</v>
      </c>
      <c r="BR22" s="171">
        <v>1517.7000000000003</v>
      </c>
      <c r="BS22" s="171">
        <v>1422.6032301000002</v>
      </c>
      <c r="BT22" s="171">
        <v>0</v>
      </c>
      <c r="BU22" s="171">
        <v>0</v>
      </c>
      <c r="BV22" s="171">
        <v>0</v>
      </c>
      <c r="BW22" s="171">
        <v>0</v>
      </c>
      <c r="BX22" s="171">
        <v>0</v>
      </c>
      <c r="BY22" s="171">
        <v>0</v>
      </c>
      <c r="BZ22" s="171">
        <v>0</v>
      </c>
      <c r="CA22" s="171">
        <v>0</v>
      </c>
      <c r="CB22" s="171">
        <v>0</v>
      </c>
      <c r="CC22" s="171">
        <v>0</v>
      </c>
      <c r="CD22" s="171">
        <v>0</v>
      </c>
      <c r="CE22" s="171">
        <v>0</v>
      </c>
      <c r="CF22" s="171">
        <v>0</v>
      </c>
      <c r="CG22" s="171">
        <v>0</v>
      </c>
      <c r="CH22" s="171">
        <v>0</v>
      </c>
      <c r="CI22" s="171">
        <v>0</v>
      </c>
      <c r="CJ22" s="171">
        <v>0</v>
      </c>
      <c r="CK22" s="171">
        <v>0</v>
      </c>
      <c r="CL22" s="171">
        <v>326.08999999999997</v>
      </c>
      <c r="CM22" s="171">
        <v>263.93667840000006</v>
      </c>
      <c r="CN22" s="171">
        <v>0</v>
      </c>
      <c r="CO22" s="171">
        <v>0</v>
      </c>
      <c r="CP22" s="171">
        <v>0</v>
      </c>
      <c r="CQ22" s="171">
        <v>0</v>
      </c>
      <c r="CR22" s="171">
        <v>0</v>
      </c>
      <c r="CS22" s="171">
        <v>0</v>
      </c>
      <c r="CT22" s="171">
        <v>326.08999999999997</v>
      </c>
      <c r="CU22" s="171">
        <v>263.93667840000006</v>
      </c>
      <c r="CV22" s="171">
        <v>0</v>
      </c>
      <c r="CW22" s="171">
        <v>0</v>
      </c>
      <c r="CX22" s="171">
        <v>0</v>
      </c>
      <c r="CY22" s="171">
        <v>0</v>
      </c>
      <c r="CZ22" s="171">
        <v>260.14</v>
      </c>
      <c r="DA22" s="171">
        <v>197.21902180000001</v>
      </c>
      <c r="DB22" s="171">
        <v>0</v>
      </c>
      <c r="DC22" s="171">
        <v>0</v>
      </c>
      <c r="DD22" s="171">
        <v>0</v>
      </c>
      <c r="DE22" s="171">
        <v>0</v>
      </c>
      <c r="DF22" s="171">
        <v>0</v>
      </c>
      <c r="DG22" s="171">
        <v>0</v>
      </c>
      <c r="DH22" s="171">
        <v>260.14</v>
      </c>
      <c r="DI22" s="171">
        <v>197.21902180000001</v>
      </c>
      <c r="DJ22" s="171">
        <v>0</v>
      </c>
      <c r="DK22" s="171">
        <v>0</v>
      </c>
      <c r="DL22" s="171">
        <v>0</v>
      </c>
      <c r="DM22" s="171">
        <v>0</v>
      </c>
      <c r="DN22" s="171">
        <v>2006.8499999999997</v>
      </c>
      <c r="DO22" s="171">
        <v>1435.1564621999994</v>
      </c>
      <c r="DP22" s="171">
        <v>0</v>
      </c>
      <c r="DQ22" s="171">
        <v>0</v>
      </c>
      <c r="DR22" s="171">
        <v>0</v>
      </c>
      <c r="DS22" s="171">
        <v>0</v>
      </c>
      <c r="DT22" s="171">
        <v>0</v>
      </c>
      <c r="DU22" s="171">
        <v>0</v>
      </c>
      <c r="DV22" s="171">
        <v>2006.8499999999997</v>
      </c>
      <c r="DW22" s="171">
        <v>1435.1564621999994</v>
      </c>
      <c r="DX22" s="171">
        <v>15.75</v>
      </c>
      <c r="DY22" s="171">
        <v>13.662649399999999</v>
      </c>
      <c r="DZ22" s="171">
        <v>0</v>
      </c>
      <c r="EA22" s="171">
        <v>0</v>
      </c>
      <c r="EB22" s="171">
        <v>0</v>
      </c>
      <c r="EC22" s="171">
        <v>0</v>
      </c>
      <c r="ED22" s="171">
        <v>0</v>
      </c>
      <c r="EE22" s="171">
        <v>0</v>
      </c>
      <c r="EF22" s="171">
        <v>0</v>
      </c>
      <c r="EG22" s="171">
        <v>0</v>
      </c>
      <c r="EH22" s="171">
        <v>0</v>
      </c>
      <c r="EI22" s="171">
        <v>0</v>
      </c>
      <c r="EJ22" s="171">
        <v>15.75</v>
      </c>
      <c r="EK22" s="171">
        <v>13.662649399999999</v>
      </c>
      <c r="EL22" s="171">
        <v>0</v>
      </c>
      <c r="EM22" s="171">
        <v>0</v>
      </c>
      <c r="EN22" s="171">
        <v>0</v>
      </c>
      <c r="EO22" s="171">
        <v>0</v>
      </c>
      <c r="EP22" s="171">
        <v>0</v>
      </c>
      <c r="EQ22" s="171">
        <v>0</v>
      </c>
      <c r="ER22" s="171">
        <v>0</v>
      </c>
      <c r="ES22" s="171">
        <v>0</v>
      </c>
      <c r="ET22" s="171">
        <v>0</v>
      </c>
      <c r="EU22" s="171">
        <v>0</v>
      </c>
      <c r="EV22" s="171">
        <v>0</v>
      </c>
      <c r="EW22" s="171">
        <v>0</v>
      </c>
      <c r="EX22" s="171">
        <v>0</v>
      </c>
      <c r="EY22" s="171">
        <v>0</v>
      </c>
      <c r="EZ22" s="171">
        <v>0</v>
      </c>
      <c r="FA22" s="171">
        <v>0</v>
      </c>
      <c r="FB22" s="171">
        <v>0</v>
      </c>
      <c r="FC22" s="171">
        <v>0</v>
      </c>
      <c r="FD22" s="171">
        <v>0</v>
      </c>
      <c r="FE22" s="171">
        <v>0</v>
      </c>
      <c r="FF22" s="171">
        <v>0</v>
      </c>
      <c r="FG22" s="171">
        <v>0</v>
      </c>
      <c r="FH22" s="171">
        <v>0</v>
      </c>
      <c r="FI22" s="171">
        <v>0</v>
      </c>
      <c r="FJ22" s="171">
        <v>0</v>
      </c>
      <c r="FK22" s="171">
        <v>0</v>
      </c>
      <c r="FL22" s="171">
        <v>0</v>
      </c>
      <c r="FM22" s="171">
        <v>0</v>
      </c>
      <c r="FN22" s="171">
        <f t="shared" si="23"/>
        <v>25.4</v>
      </c>
      <c r="FO22" s="171">
        <f t="shared" si="18"/>
        <v>24.359034600000001</v>
      </c>
      <c r="FP22" s="171">
        <f t="shared" si="19"/>
        <v>0</v>
      </c>
      <c r="FQ22" s="171">
        <f t="shared" si="20"/>
        <v>0</v>
      </c>
      <c r="FR22" s="171">
        <f t="shared" si="21"/>
        <v>8218.590000000002</v>
      </c>
      <c r="FS22" s="171">
        <f t="shared" si="22"/>
        <v>7714.6104986</v>
      </c>
      <c r="FT22" s="171">
        <f t="shared" si="24"/>
        <v>8243.9900000000016</v>
      </c>
      <c r="FU22" s="171">
        <f t="shared" si="25"/>
        <v>7738.9695332000001</v>
      </c>
      <c r="FW22" s="135" t="s">
        <v>12</v>
      </c>
      <c r="FX22" s="44">
        <f t="shared" si="26"/>
        <v>95901.711023622047</v>
      </c>
      <c r="FY22" s="44">
        <f t="shared" si="27"/>
        <v>0</v>
      </c>
      <c r="FZ22" s="44">
        <f t="shared" si="28"/>
        <v>93867.810641484713</v>
      </c>
      <c r="GA22" s="44">
        <f t="shared" si="29"/>
        <v>93874.077154387604</v>
      </c>
    </row>
    <row r="23" spans="1:183">
      <c r="A23" s="146" t="s">
        <v>13</v>
      </c>
      <c r="B23" s="171">
        <v>0</v>
      </c>
      <c r="C23" s="171">
        <v>0</v>
      </c>
      <c r="D23" s="171">
        <v>45.41</v>
      </c>
      <c r="E23" s="171">
        <v>57.8125</v>
      </c>
      <c r="F23" s="171">
        <v>0</v>
      </c>
      <c r="G23" s="171">
        <v>0</v>
      </c>
      <c r="H23" s="171">
        <v>0</v>
      </c>
      <c r="I23" s="171">
        <v>0</v>
      </c>
      <c r="J23" s="171">
        <v>0</v>
      </c>
      <c r="K23" s="171">
        <v>0</v>
      </c>
      <c r="L23" s="171">
        <v>0</v>
      </c>
      <c r="M23" s="171">
        <v>0</v>
      </c>
      <c r="N23" s="171">
        <v>45.41</v>
      </c>
      <c r="O23" s="171">
        <v>57.8125</v>
      </c>
      <c r="P23" s="171">
        <v>0</v>
      </c>
      <c r="Q23" s="171">
        <v>0</v>
      </c>
      <c r="R23" s="171">
        <v>98.07</v>
      </c>
      <c r="S23" s="171">
        <v>116.7033</v>
      </c>
      <c r="T23" s="171">
        <v>0</v>
      </c>
      <c r="U23" s="171">
        <v>0</v>
      </c>
      <c r="V23" s="171">
        <v>0</v>
      </c>
      <c r="W23" s="171">
        <v>0</v>
      </c>
      <c r="X23" s="171">
        <v>0</v>
      </c>
      <c r="Y23" s="171">
        <v>0</v>
      </c>
      <c r="Z23" s="171">
        <v>0</v>
      </c>
      <c r="AA23" s="171">
        <v>0</v>
      </c>
      <c r="AB23" s="171">
        <v>98.07</v>
      </c>
      <c r="AC23" s="171">
        <v>116.7033</v>
      </c>
      <c r="AD23" s="171">
        <v>126.15</v>
      </c>
      <c r="AE23" s="171">
        <v>140.99061780000002</v>
      </c>
      <c r="AF23" s="171">
        <v>0</v>
      </c>
      <c r="AG23" s="171">
        <v>0</v>
      </c>
      <c r="AH23" s="171">
        <v>282.04000000000002</v>
      </c>
      <c r="AI23" s="171">
        <v>261.22880509999999</v>
      </c>
      <c r="AJ23" s="171">
        <v>0</v>
      </c>
      <c r="AK23" s="171">
        <v>0</v>
      </c>
      <c r="AL23" s="171">
        <v>0</v>
      </c>
      <c r="AM23" s="171">
        <v>0</v>
      </c>
      <c r="AN23" s="171">
        <v>0</v>
      </c>
      <c r="AO23" s="171">
        <v>0</v>
      </c>
      <c r="AP23" s="171">
        <v>408.19000000000005</v>
      </c>
      <c r="AQ23" s="171">
        <v>402.21942290000004</v>
      </c>
      <c r="AR23" s="171">
        <v>112.88999999999999</v>
      </c>
      <c r="AS23" s="171">
        <v>122.9961617</v>
      </c>
      <c r="AT23" s="171">
        <v>0</v>
      </c>
      <c r="AU23" s="171">
        <v>0</v>
      </c>
      <c r="AV23" s="171">
        <v>287.17</v>
      </c>
      <c r="AW23" s="171">
        <v>271.81643120000007</v>
      </c>
      <c r="AX23" s="171">
        <v>0</v>
      </c>
      <c r="AY23" s="171">
        <v>0</v>
      </c>
      <c r="AZ23" s="171">
        <v>0</v>
      </c>
      <c r="BA23" s="171">
        <v>0</v>
      </c>
      <c r="BB23" s="171">
        <v>0</v>
      </c>
      <c r="BC23" s="171">
        <v>0</v>
      </c>
      <c r="BD23" s="171">
        <v>400.06</v>
      </c>
      <c r="BE23" s="171">
        <v>394.81259290000008</v>
      </c>
      <c r="BF23" s="171">
        <v>57.28</v>
      </c>
      <c r="BG23" s="171">
        <v>65.517644199999992</v>
      </c>
      <c r="BH23" s="171">
        <v>69.050000000000011</v>
      </c>
      <c r="BI23" s="171">
        <v>76.798900000000003</v>
      </c>
      <c r="BJ23" s="171">
        <v>226.51</v>
      </c>
      <c r="BK23" s="171">
        <v>216.2936273</v>
      </c>
      <c r="BL23" s="171">
        <v>0</v>
      </c>
      <c r="BM23" s="171">
        <v>0</v>
      </c>
      <c r="BN23" s="171">
        <v>0</v>
      </c>
      <c r="BO23" s="171">
        <v>0</v>
      </c>
      <c r="BP23" s="171">
        <v>0</v>
      </c>
      <c r="BQ23" s="171">
        <v>0</v>
      </c>
      <c r="BR23" s="171">
        <v>352.84000000000003</v>
      </c>
      <c r="BS23" s="171">
        <v>358.61017149999998</v>
      </c>
      <c r="BT23" s="171">
        <v>3.4089999999999998</v>
      </c>
      <c r="BU23" s="171">
        <v>3.1871923999999998</v>
      </c>
      <c r="BV23" s="171">
        <v>96.640999999999991</v>
      </c>
      <c r="BW23" s="171">
        <v>84.077669999999998</v>
      </c>
      <c r="BX23" s="171">
        <v>0</v>
      </c>
      <c r="BY23" s="171">
        <v>0</v>
      </c>
      <c r="BZ23" s="171">
        <v>0</v>
      </c>
      <c r="CA23" s="171">
        <v>0</v>
      </c>
      <c r="CB23" s="171">
        <v>0</v>
      </c>
      <c r="CC23" s="171">
        <v>0</v>
      </c>
      <c r="CD23" s="171">
        <v>0</v>
      </c>
      <c r="CE23" s="171">
        <v>0</v>
      </c>
      <c r="CF23" s="171">
        <v>100.05</v>
      </c>
      <c r="CG23" s="171">
        <v>87.264862399999998</v>
      </c>
      <c r="CH23" s="171">
        <v>20.43</v>
      </c>
      <c r="CI23" s="171">
        <v>19.100715900000001</v>
      </c>
      <c r="CJ23" s="171">
        <v>0</v>
      </c>
      <c r="CK23" s="171">
        <v>0</v>
      </c>
      <c r="CL23" s="171">
        <v>0</v>
      </c>
      <c r="CM23" s="171">
        <v>0</v>
      </c>
      <c r="CN23" s="171">
        <v>0</v>
      </c>
      <c r="CO23" s="171">
        <v>0</v>
      </c>
      <c r="CP23" s="171">
        <v>0</v>
      </c>
      <c r="CQ23" s="171">
        <v>0</v>
      </c>
      <c r="CR23" s="171">
        <v>0</v>
      </c>
      <c r="CS23" s="171">
        <v>0</v>
      </c>
      <c r="CT23" s="171">
        <v>20.43</v>
      </c>
      <c r="CU23" s="171">
        <v>19.100715900000001</v>
      </c>
      <c r="CV23" s="171">
        <v>19.78</v>
      </c>
      <c r="CW23" s="171">
        <v>21.4481918</v>
      </c>
      <c r="CX23" s="171">
        <v>0</v>
      </c>
      <c r="CY23" s="171">
        <v>0</v>
      </c>
      <c r="CZ23" s="171">
        <v>0</v>
      </c>
      <c r="DA23" s="171">
        <v>0</v>
      </c>
      <c r="DB23" s="171">
        <v>0</v>
      </c>
      <c r="DC23" s="171">
        <v>0</v>
      </c>
      <c r="DD23" s="171">
        <v>0</v>
      </c>
      <c r="DE23" s="171">
        <v>0</v>
      </c>
      <c r="DF23" s="171">
        <v>0</v>
      </c>
      <c r="DG23" s="171">
        <v>0</v>
      </c>
      <c r="DH23" s="171">
        <v>19.78</v>
      </c>
      <c r="DI23" s="171">
        <v>21.4481918</v>
      </c>
      <c r="DJ23" s="171">
        <v>0</v>
      </c>
      <c r="DK23" s="171">
        <v>0</v>
      </c>
      <c r="DL23" s="171">
        <v>0</v>
      </c>
      <c r="DM23" s="171">
        <v>0</v>
      </c>
      <c r="DN23" s="171">
        <v>264.51</v>
      </c>
      <c r="DO23" s="171">
        <v>197.47381199999998</v>
      </c>
      <c r="DP23" s="171">
        <v>0</v>
      </c>
      <c r="DQ23" s="171">
        <v>0</v>
      </c>
      <c r="DR23" s="171">
        <v>0</v>
      </c>
      <c r="DS23" s="171">
        <v>0</v>
      </c>
      <c r="DT23" s="171">
        <v>0</v>
      </c>
      <c r="DU23" s="171">
        <v>0</v>
      </c>
      <c r="DV23" s="171">
        <v>264.51</v>
      </c>
      <c r="DW23" s="171">
        <v>197.47381199999998</v>
      </c>
      <c r="DX23" s="171">
        <v>55.39</v>
      </c>
      <c r="DY23" s="171">
        <v>54.455709200000001</v>
      </c>
      <c r="DZ23" s="171">
        <v>0</v>
      </c>
      <c r="EA23" s="171">
        <v>0</v>
      </c>
      <c r="EB23" s="171">
        <v>240.66</v>
      </c>
      <c r="EC23" s="171">
        <v>167.1784289</v>
      </c>
      <c r="ED23" s="171">
        <v>0</v>
      </c>
      <c r="EE23" s="171">
        <v>0</v>
      </c>
      <c r="EF23" s="171">
        <v>0</v>
      </c>
      <c r="EG23" s="171">
        <v>0</v>
      </c>
      <c r="EH23" s="171">
        <v>0</v>
      </c>
      <c r="EI23" s="171">
        <v>0</v>
      </c>
      <c r="EJ23" s="171">
        <v>296.05</v>
      </c>
      <c r="EK23" s="171">
        <v>221.6341381</v>
      </c>
      <c r="EL23" s="171">
        <v>60.78</v>
      </c>
      <c r="EM23" s="171">
        <v>62.893173899999994</v>
      </c>
      <c r="EN23" s="171">
        <v>0</v>
      </c>
      <c r="EO23" s="171">
        <v>0</v>
      </c>
      <c r="EP23" s="171">
        <v>0</v>
      </c>
      <c r="EQ23" s="171">
        <v>0</v>
      </c>
      <c r="ER23" s="171">
        <v>0</v>
      </c>
      <c r="ES23" s="171">
        <v>0</v>
      </c>
      <c r="ET23" s="171">
        <v>0</v>
      </c>
      <c r="EU23" s="171">
        <v>0</v>
      </c>
      <c r="EV23" s="171">
        <v>0</v>
      </c>
      <c r="EW23" s="171">
        <v>0</v>
      </c>
      <c r="EX23" s="171">
        <v>60.78</v>
      </c>
      <c r="EY23" s="171">
        <v>62.893173899999994</v>
      </c>
      <c r="EZ23" s="171">
        <v>79.11</v>
      </c>
      <c r="FA23" s="171">
        <v>82.335108999999989</v>
      </c>
      <c r="FB23" s="171">
        <v>0</v>
      </c>
      <c r="FC23" s="171">
        <v>0</v>
      </c>
      <c r="FD23" s="171">
        <v>0</v>
      </c>
      <c r="FE23" s="171">
        <v>0</v>
      </c>
      <c r="FF23" s="171">
        <v>0</v>
      </c>
      <c r="FG23" s="171">
        <v>0</v>
      </c>
      <c r="FH23" s="171">
        <v>0</v>
      </c>
      <c r="FI23" s="171">
        <v>0</v>
      </c>
      <c r="FJ23" s="171">
        <v>0</v>
      </c>
      <c r="FK23" s="171">
        <v>0</v>
      </c>
      <c r="FL23" s="171">
        <v>79.11</v>
      </c>
      <c r="FM23" s="171">
        <v>82.335108999999989</v>
      </c>
      <c r="FN23" s="171">
        <f t="shared" si="23"/>
        <v>535.21899999999994</v>
      </c>
      <c r="FO23" s="171">
        <f t="shared" si="18"/>
        <v>572.92451590000007</v>
      </c>
      <c r="FP23" s="171">
        <f t="shared" si="19"/>
        <v>309.17099999999999</v>
      </c>
      <c r="FQ23" s="171">
        <f t="shared" si="20"/>
        <v>335.39237000000003</v>
      </c>
      <c r="FR23" s="171">
        <f t="shared" si="21"/>
        <v>1300.8900000000001</v>
      </c>
      <c r="FS23" s="171">
        <f t="shared" si="22"/>
        <v>1113.9911045000001</v>
      </c>
      <c r="FT23" s="171">
        <f t="shared" si="24"/>
        <v>2145.2799999999997</v>
      </c>
      <c r="FU23" s="171">
        <f t="shared" si="25"/>
        <v>2022.3079904000001</v>
      </c>
      <c r="FW23" s="135" t="s">
        <v>13</v>
      </c>
      <c r="FX23" s="44">
        <f t="shared" si="26"/>
        <v>107044.8761908677</v>
      </c>
      <c r="FY23" s="44">
        <f t="shared" si="27"/>
        <v>108481.18678660032</v>
      </c>
      <c r="FZ23" s="44">
        <f t="shared" si="28"/>
        <v>85632.997755382865</v>
      </c>
      <c r="GA23" s="44">
        <f t="shared" si="29"/>
        <v>94267.787440334156</v>
      </c>
    </row>
    <row r="24" spans="1:183">
      <c r="A24" s="146" t="s">
        <v>18</v>
      </c>
      <c r="B24" s="171">
        <v>4.5</v>
      </c>
      <c r="C24" s="171">
        <v>5.1371925999999997</v>
      </c>
      <c r="D24" s="171">
        <v>0</v>
      </c>
      <c r="E24" s="171">
        <v>0</v>
      </c>
      <c r="F24" s="171">
        <v>333.9199999999999</v>
      </c>
      <c r="G24" s="171">
        <v>367.5685671</v>
      </c>
      <c r="H24" s="171">
        <v>0</v>
      </c>
      <c r="I24" s="171">
        <v>0</v>
      </c>
      <c r="J24" s="171">
        <v>0</v>
      </c>
      <c r="K24" s="171">
        <v>0</v>
      </c>
      <c r="L24" s="171">
        <v>0</v>
      </c>
      <c r="M24" s="171">
        <v>0</v>
      </c>
      <c r="N24" s="171">
        <v>338.4199999999999</v>
      </c>
      <c r="O24" s="171">
        <v>372.70575969999999</v>
      </c>
      <c r="P24" s="171">
        <v>13</v>
      </c>
      <c r="Q24" s="171">
        <v>14.607328500000001</v>
      </c>
      <c r="R24" s="171">
        <v>0</v>
      </c>
      <c r="S24" s="171">
        <v>0</v>
      </c>
      <c r="T24" s="171">
        <v>303.86699999999996</v>
      </c>
      <c r="U24" s="171">
        <v>329.0514258</v>
      </c>
      <c r="V24" s="171">
        <v>0</v>
      </c>
      <c r="W24" s="171">
        <v>0</v>
      </c>
      <c r="X24" s="171">
        <v>0</v>
      </c>
      <c r="Y24" s="171">
        <v>0</v>
      </c>
      <c r="Z24" s="171">
        <v>0</v>
      </c>
      <c r="AA24" s="171">
        <v>0</v>
      </c>
      <c r="AB24" s="171">
        <v>316.86699999999996</v>
      </c>
      <c r="AC24" s="171">
        <v>343.6587543</v>
      </c>
      <c r="AD24" s="171">
        <v>13.799999999999999</v>
      </c>
      <c r="AE24" s="171">
        <v>15.4164607</v>
      </c>
      <c r="AF24" s="171">
        <v>0</v>
      </c>
      <c r="AG24" s="171">
        <v>0</v>
      </c>
      <c r="AH24" s="171">
        <v>202.11999999999995</v>
      </c>
      <c r="AI24" s="171">
        <v>216.89903469999996</v>
      </c>
      <c r="AJ24" s="171">
        <v>0</v>
      </c>
      <c r="AK24" s="171">
        <v>0</v>
      </c>
      <c r="AL24" s="171">
        <v>0</v>
      </c>
      <c r="AM24" s="171">
        <v>0</v>
      </c>
      <c r="AN24" s="171">
        <v>0</v>
      </c>
      <c r="AO24" s="171">
        <v>0</v>
      </c>
      <c r="AP24" s="171">
        <v>215.91999999999996</v>
      </c>
      <c r="AQ24" s="171">
        <v>232.31549539999995</v>
      </c>
      <c r="AR24" s="171">
        <v>10</v>
      </c>
      <c r="AS24" s="171">
        <v>10.924818700000001</v>
      </c>
      <c r="AT24" s="171">
        <v>0</v>
      </c>
      <c r="AU24" s="171">
        <v>0</v>
      </c>
      <c r="AV24" s="171">
        <v>30.8</v>
      </c>
      <c r="AW24" s="171">
        <v>32.7278156</v>
      </c>
      <c r="AX24" s="171">
        <v>0</v>
      </c>
      <c r="AY24" s="171">
        <v>0</v>
      </c>
      <c r="AZ24" s="171">
        <v>0</v>
      </c>
      <c r="BA24" s="171">
        <v>0</v>
      </c>
      <c r="BB24" s="171">
        <v>0</v>
      </c>
      <c r="BC24" s="171">
        <v>0</v>
      </c>
      <c r="BD24" s="171">
        <v>40.799999999999997</v>
      </c>
      <c r="BE24" s="171">
        <v>43.652634300000003</v>
      </c>
      <c r="BF24" s="171">
        <v>10</v>
      </c>
      <c r="BG24" s="171">
        <v>10.9012046</v>
      </c>
      <c r="BH24" s="171">
        <v>0</v>
      </c>
      <c r="BI24" s="171">
        <v>0</v>
      </c>
      <c r="BJ24" s="171">
        <v>327.63999999999987</v>
      </c>
      <c r="BK24" s="171">
        <v>347.09560210000001</v>
      </c>
      <c r="BL24" s="171">
        <v>0</v>
      </c>
      <c r="BM24" s="171">
        <v>0</v>
      </c>
      <c r="BN24" s="171">
        <v>0</v>
      </c>
      <c r="BO24" s="171">
        <v>0</v>
      </c>
      <c r="BP24" s="171">
        <v>0</v>
      </c>
      <c r="BQ24" s="171">
        <v>0</v>
      </c>
      <c r="BR24" s="171">
        <v>337.63999999999987</v>
      </c>
      <c r="BS24" s="171">
        <v>357.99680669999998</v>
      </c>
      <c r="BT24" s="171">
        <v>11</v>
      </c>
      <c r="BU24" s="171">
        <v>11.957108299999998</v>
      </c>
      <c r="BV24" s="171">
        <v>0</v>
      </c>
      <c r="BW24" s="171">
        <v>0</v>
      </c>
      <c r="BX24" s="171">
        <v>221.93999999999994</v>
      </c>
      <c r="BY24" s="171">
        <v>215.35301260000003</v>
      </c>
      <c r="BZ24" s="171">
        <v>0</v>
      </c>
      <c r="CA24" s="171">
        <v>0</v>
      </c>
      <c r="CB24" s="171">
        <v>0</v>
      </c>
      <c r="CC24" s="171">
        <v>0</v>
      </c>
      <c r="CD24" s="171">
        <v>0</v>
      </c>
      <c r="CE24" s="171">
        <v>0</v>
      </c>
      <c r="CF24" s="171">
        <v>232.93999999999994</v>
      </c>
      <c r="CG24" s="171">
        <v>227.31012090000002</v>
      </c>
      <c r="CH24" s="171">
        <v>2.5</v>
      </c>
      <c r="CI24" s="171">
        <v>2.7614550000000002</v>
      </c>
      <c r="CJ24" s="171">
        <v>0</v>
      </c>
      <c r="CK24" s="171">
        <v>0</v>
      </c>
      <c r="CL24" s="171">
        <v>411.37999999999988</v>
      </c>
      <c r="CM24" s="171">
        <v>389.24175670000011</v>
      </c>
      <c r="CN24" s="171">
        <v>0</v>
      </c>
      <c r="CO24" s="171">
        <v>0</v>
      </c>
      <c r="CP24" s="171">
        <v>0</v>
      </c>
      <c r="CQ24" s="171">
        <v>0</v>
      </c>
      <c r="CR24" s="171">
        <v>0</v>
      </c>
      <c r="CS24" s="171">
        <v>0</v>
      </c>
      <c r="CT24" s="171">
        <v>413.87999999999988</v>
      </c>
      <c r="CU24" s="171">
        <v>392.00321170000012</v>
      </c>
      <c r="CV24" s="171">
        <v>18.774999999999999</v>
      </c>
      <c r="CW24" s="171">
        <v>19.7464309</v>
      </c>
      <c r="CX24" s="171">
        <v>0</v>
      </c>
      <c r="CY24" s="171">
        <v>0</v>
      </c>
      <c r="CZ24" s="171">
        <v>325.7399999999999</v>
      </c>
      <c r="DA24" s="171">
        <v>323.6525878999999</v>
      </c>
      <c r="DB24" s="171">
        <v>0</v>
      </c>
      <c r="DC24" s="171">
        <v>0</v>
      </c>
      <c r="DD24" s="171">
        <v>0</v>
      </c>
      <c r="DE24" s="171">
        <v>0</v>
      </c>
      <c r="DF24" s="171">
        <v>0</v>
      </c>
      <c r="DG24" s="171">
        <v>0</v>
      </c>
      <c r="DH24" s="171">
        <v>344.51499999999987</v>
      </c>
      <c r="DI24" s="171">
        <v>343.39901879999991</v>
      </c>
      <c r="DJ24" s="171">
        <v>4.2249999999999996</v>
      </c>
      <c r="DK24" s="171">
        <v>4.4415963999999999</v>
      </c>
      <c r="DL24" s="171">
        <v>0</v>
      </c>
      <c r="DM24" s="171">
        <v>0</v>
      </c>
      <c r="DN24" s="171">
        <v>214.75999999999993</v>
      </c>
      <c r="DO24" s="171">
        <v>214.46326809999999</v>
      </c>
      <c r="DP24" s="171">
        <v>0</v>
      </c>
      <c r="DQ24" s="171">
        <v>0</v>
      </c>
      <c r="DR24" s="171">
        <v>0</v>
      </c>
      <c r="DS24" s="171">
        <v>0</v>
      </c>
      <c r="DT24" s="171">
        <v>0</v>
      </c>
      <c r="DU24" s="171">
        <v>0</v>
      </c>
      <c r="DV24" s="171">
        <v>218.98499999999993</v>
      </c>
      <c r="DW24" s="171">
        <v>218.9048645</v>
      </c>
      <c r="DX24" s="171">
        <v>3.7749999999999999</v>
      </c>
      <c r="DY24" s="171">
        <v>3.9684062000000004</v>
      </c>
      <c r="DZ24" s="171">
        <v>0</v>
      </c>
      <c r="EA24" s="171">
        <v>0</v>
      </c>
      <c r="EB24" s="171">
        <v>159.51999999999998</v>
      </c>
      <c r="EC24" s="171">
        <v>152.48932709999997</v>
      </c>
      <c r="ED24" s="171">
        <v>0</v>
      </c>
      <c r="EE24" s="171">
        <v>0</v>
      </c>
      <c r="EF24" s="171">
        <v>0</v>
      </c>
      <c r="EG24" s="171">
        <v>0</v>
      </c>
      <c r="EH24" s="171">
        <v>0</v>
      </c>
      <c r="EI24" s="171">
        <v>0</v>
      </c>
      <c r="EJ24" s="171">
        <v>163.29499999999999</v>
      </c>
      <c r="EK24" s="171">
        <v>156.45773329999997</v>
      </c>
      <c r="EL24" s="171">
        <v>14</v>
      </c>
      <c r="EM24" s="171">
        <v>14.855</v>
      </c>
      <c r="EN24" s="171">
        <v>0</v>
      </c>
      <c r="EO24" s="171">
        <v>0</v>
      </c>
      <c r="EP24" s="171">
        <v>514.75999999999976</v>
      </c>
      <c r="EQ24" s="171">
        <v>502.6588089</v>
      </c>
      <c r="ER24" s="171">
        <v>0</v>
      </c>
      <c r="ES24" s="171">
        <v>0</v>
      </c>
      <c r="ET24" s="171">
        <v>0</v>
      </c>
      <c r="EU24" s="171">
        <v>0</v>
      </c>
      <c r="EV24" s="171">
        <v>0</v>
      </c>
      <c r="EW24" s="171">
        <v>0</v>
      </c>
      <c r="EX24" s="171">
        <v>528.75999999999976</v>
      </c>
      <c r="EY24" s="171">
        <v>517.51380889999996</v>
      </c>
      <c r="EZ24" s="171">
        <v>6.6</v>
      </c>
      <c r="FA24" s="171">
        <v>6.8849999999999998</v>
      </c>
      <c r="FB24" s="171">
        <v>0</v>
      </c>
      <c r="FC24" s="171">
        <v>0</v>
      </c>
      <c r="FD24" s="171">
        <v>506.5899999999998</v>
      </c>
      <c r="FE24" s="171">
        <v>512.6821212000001</v>
      </c>
      <c r="FF24" s="171">
        <v>0</v>
      </c>
      <c r="FG24" s="171">
        <v>0</v>
      </c>
      <c r="FH24" s="171">
        <v>0</v>
      </c>
      <c r="FI24" s="171">
        <v>0</v>
      </c>
      <c r="FJ24" s="171">
        <v>0</v>
      </c>
      <c r="FK24" s="171">
        <v>0</v>
      </c>
      <c r="FL24" s="171">
        <v>513.18999999999983</v>
      </c>
      <c r="FM24" s="171">
        <v>519.56712120000009</v>
      </c>
      <c r="FN24" s="171">
        <f t="shared" si="23"/>
        <v>112.17499999999998</v>
      </c>
      <c r="FO24" s="171">
        <f t="shared" si="18"/>
        <v>121.60200190000002</v>
      </c>
      <c r="FP24" s="171">
        <f t="shared" si="19"/>
        <v>0</v>
      </c>
      <c r="FQ24" s="171">
        <f t="shared" si="20"/>
        <v>0</v>
      </c>
      <c r="FR24" s="171">
        <f t="shared" si="21"/>
        <v>3553.0369999999984</v>
      </c>
      <c r="FS24" s="171">
        <f t="shared" si="22"/>
        <v>3603.8833278000002</v>
      </c>
      <c r="FT24" s="171">
        <f t="shared" si="24"/>
        <v>3665.2119999999986</v>
      </c>
      <c r="FU24" s="171">
        <f t="shared" si="25"/>
        <v>3725.4853297000004</v>
      </c>
      <c r="FW24" s="135" t="s">
        <v>18</v>
      </c>
      <c r="FX24" s="44">
        <f t="shared" si="26"/>
        <v>108403.83498997106</v>
      </c>
      <c r="FY24" s="44">
        <f t="shared" si="27"/>
        <v>0</v>
      </c>
      <c r="FZ24" s="44">
        <f t="shared" si="28"/>
        <v>101431.06665649702</v>
      </c>
      <c r="GA24" s="44">
        <f t="shared" si="29"/>
        <v>101644.47048901951</v>
      </c>
    </row>
    <row r="25" spans="1:183">
      <c r="A25" s="146" t="s">
        <v>15</v>
      </c>
      <c r="B25" s="171">
        <v>227.85000000000002</v>
      </c>
      <c r="C25" s="171">
        <v>235.68180000000001</v>
      </c>
      <c r="D25" s="171">
        <v>25.1</v>
      </c>
      <c r="E25" s="171">
        <v>25.094000000000001</v>
      </c>
      <c r="F25" s="171">
        <v>869.9649999999998</v>
      </c>
      <c r="G25" s="171">
        <v>769.62559650000026</v>
      </c>
      <c r="H25" s="171">
        <v>0</v>
      </c>
      <c r="I25" s="171">
        <v>0</v>
      </c>
      <c r="J25" s="171">
        <v>0</v>
      </c>
      <c r="K25" s="171">
        <v>0</v>
      </c>
      <c r="L25" s="171">
        <v>0</v>
      </c>
      <c r="M25" s="171">
        <v>0</v>
      </c>
      <c r="N25" s="171">
        <v>1122.9149999999997</v>
      </c>
      <c r="O25" s="171">
        <v>1030.4013965000004</v>
      </c>
      <c r="P25" s="171">
        <v>316.82499999999999</v>
      </c>
      <c r="Q25" s="171">
        <v>326.66125</v>
      </c>
      <c r="R25" s="171">
        <v>0</v>
      </c>
      <c r="S25" s="171">
        <v>0</v>
      </c>
      <c r="T25" s="171">
        <v>1561.89</v>
      </c>
      <c r="U25" s="171">
        <v>1437.4802328999997</v>
      </c>
      <c r="V25" s="171">
        <v>0</v>
      </c>
      <c r="W25" s="171">
        <v>0</v>
      </c>
      <c r="X25" s="171">
        <v>0</v>
      </c>
      <c r="Y25" s="171">
        <v>0</v>
      </c>
      <c r="Z25" s="171">
        <v>0</v>
      </c>
      <c r="AA25" s="171">
        <v>0</v>
      </c>
      <c r="AB25" s="171">
        <v>1878.7150000000001</v>
      </c>
      <c r="AC25" s="171">
        <v>1764.1414828999996</v>
      </c>
      <c r="AD25" s="171">
        <v>341.8</v>
      </c>
      <c r="AE25" s="171">
        <v>346.89660799999996</v>
      </c>
      <c r="AF25" s="171">
        <v>4.5</v>
      </c>
      <c r="AG25" s="171">
        <v>4.6574999999999998</v>
      </c>
      <c r="AH25" s="171">
        <v>1387.6999999999998</v>
      </c>
      <c r="AI25" s="171">
        <v>1215.6033500000003</v>
      </c>
      <c r="AJ25" s="171">
        <v>0</v>
      </c>
      <c r="AK25" s="171">
        <v>0</v>
      </c>
      <c r="AL25" s="171">
        <v>0</v>
      </c>
      <c r="AM25" s="171">
        <v>0</v>
      </c>
      <c r="AN25" s="171">
        <v>0</v>
      </c>
      <c r="AO25" s="171">
        <v>0</v>
      </c>
      <c r="AP25" s="171">
        <v>1733.9999999999998</v>
      </c>
      <c r="AQ25" s="171">
        <v>1567.1574580000004</v>
      </c>
      <c r="AR25" s="171">
        <v>281.92499999999995</v>
      </c>
      <c r="AS25" s="171">
        <v>281.88263380000001</v>
      </c>
      <c r="AT25" s="171">
        <v>6.35</v>
      </c>
      <c r="AU25" s="171">
        <v>6.4682500000000003</v>
      </c>
      <c r="AV25" s="171">
        <v>1106.4900000000002</v>
      </c>
      <c r="AW25" s="171">
        <v>996.99977019999994</v>
      </c>
      <c r="AX25" s="171">
        <v>0</v>
      </c>
      <c r="AY25" s="171">
        <v>0</v>
      </c>
      <c r="AZ25" s="171">
        <v>0</v>
      </c>
      <c r="BA25" s="171">
        <v>0</v>
      </c>
      <c r="BB25" s="171">
        <v>0</v>
      </c>
      <c r="BC25" s="171">
        <v>0</v>
      </c>
      <c r="BD25" s="171">
        <v>1394.7650000000003</v>
      </c>
      <c r="BE25" s="171">
        <v>1285.3506539999998</v>
      </c>
      <c r="BF25" s="171">
        <v>185.3</v>
      </c>
      <c r="BG25" s="171">
        <v>191.25313370000001</v>
      </c>
      <c r="BH25" s="171">
        <v>0</v>
      </c>
      <c r="BI25" s="171">
        <v>0</v>
      </c>
      <c r="BJ25" s="171">
        <v>694.04000000000008</v>
      </c>
      <c r="BK25" s="171">
        <v>624.22254839999994</v>
      </c>
      <c r="BL25" s="171">
        <v>0</v>
      </c>
      <c r="BM25" s="171">
        <v>0</v>
      </c>
      <c r="BN25" s="171">
        <v>0</v>
      </c>
      <c r="BO25" s="171">
        <v>0</v>
      </c>
      <c r="BP25" s="171">
        <v>0</v>
      </c>
      <c r="BQ25" s="171">
        <v>0</v>
      </c>
      <c r="BR25" s="171">
        <v>879.34000000000015</v>
      </c>
      <c r="BS25" s="171">
        <v>815.47568209999997</v>
      </c>
      <c r="BT25" s="171">
        <v>252.7</v>
      </c>
      <c r="BU25" s="171">
        <v>257.9406568</v>
      </c>
      <c r="BV25" s="171">
        <v>0</v>
      </c>
      <c r="BW25" s="171">
        <v>0</v>
      </c>
      <c r="BX25" s="171">
        <v>1642.3099999999997</v>
      </c>
      <c r="BY25" s="171">
        <v>1431.825231300001</v>
      </c>
      <c r="BZ25" s="171">
        <v>0</v>
      </c>
      <c r="CA25" s="171">
        <v>0</v>
      </c>
      <c r="CB25" s="171">
        <v>0</v>
      </c>
      <c r="CC25" s="171">
        <v>0</v>
      </c>
      <c r="CD25" s="171">
        <v>0</v>
      </c>
      <c r="CE25" s="171">
        <v>0</v>
      </c>
      <c r="CF25" s="171">
        <v>1895.0099999999998</v>
      </c>
      <c r="CG25" s="171">
        <v>1689.7658881000009</v>
      </c>
      <c r="CH25" s="171">
        <v>246.50000000000003</v>
      </c>
      <c r="CI25" s="171">
        <v>251.67124260000003</v>
      </c>
      <c r="CJ25" s="171">
        <v>0</v>
      </c>
      <c r="CK25" s="171">
        <v>0</v>
      </c>
      <c r="CL25" s="171">
        <v>740.2399999999999</v>
      </c>
      <c r="CM25" s="171">
        <v>701.29880689999982</v>
      </c>
      <c r="CN25" s="171">
        <v>0</v>
      </c>
      <c r="CO25" s="171">
        <v>0</v>
      </c>
      <c r="CP25" s="171">
        <v>0</v>
      </c>
      <c r="CQ25" s="171">
        <v>0</v>
      </c>
      <c r="CR25" s="171">
        <v>0</v>
      </c>
      <c r="CS25" s="171">
        <v>0</v>
      </c>
      <c r="CT25" s="171">
        <v>986.7399999999999</v>
      </c>
      <c r="CU25" s="171">
        <v>952.97004949999985</v>
      </c>
      <c r="CV25" s="171">
        <v>223.52500000000003</v>
      </c>
      <c r="CW25" s="171">
        <v>229.97729800000002</v>
      </c>
      <c r="CX25" s="171">
        <v>3.3</v>
      </c>
      <c r="CY25" s="171">
        <v>3.234</v>
      </c>
      <c r="CZ25" s="171">
        <v>1368.0500000000002</v>
      </c>
      <c r="DA25" s="171">
        <v>1125.5082616999998</v>
      </c>
      <c r="DB25" s="171">
        <v>0</v>
      </c>
      <c r="DC25" s="171">
        <v>0</v>
      </c>
      <c r="DD25" s="171">
        <v>0</v>
      </c>
      <c r="DE25" s="171">
        <v>0</v>
      </c>
      <c r="DF25" s="171">
        <v>0</v>
      </c>
      <c r="DG25" s="171">
        <v>0</v>
      </c>
      <c r="DH25" s="171">
        <v>1594.8750000000002</v>
      </c>
      <c r="DI25" s="171">
        <v>1358.7195596999998</v>
      </c>
      <c r="DJ25" s="171">
        <v>199.875</v>
      </c>
      <c r="DK25" s="171">
        <v>202.97430600000001</v>
      </c>
      <c r="DL25" s="171">
        <v>0</v>
      </c>
      <c r="DM25" s="171">
        <v>0</v>
      </c>
      <c r="DN25" s="171">
        <v>1135.4749999999999</v>
      </c>
      <c r="DO25" s="171">
        <v>986.61742889999971</v>
      </c>
      <c r="DP25" s="171">
        <v>0</v>
      </c>
      <c r="DQ25" s="171">
        <v>0</v>
      </c>
      <c r="DR25" s="171">
        <v>0</v>
      </c>
      <c r="DS25" s="171">
        <v>0</v>
      </c>
      <c r="DT25" s="171">
        <v>0</v>
      </c>
      <c r="DU25" s="171">
        <v>0</v>
      </c>
      <c r="DV25" s="171">
        <v>1335.35</v>
      </c>
      <c r="DW25" s="171">
        <v>1189.5917348999997</v>
      </c>
      <c r="DX25" s="171">
        <v>247.17500000000001</v>
      </c>
      <c r="DY25" s="171">
        <v>251.97003259999997</v>
      </c>
      <c r="DZ25" s="171">
        <v>0</v>
      </c>
      <c r="EA25" s="171">
        <v>0</v>
      </c>
      <c r="EB25" s="171">
        <v>1194.4500000000005</v>
      </c>
      <c r="EC25" s="171">
        <v>1032.1397913999999</v>
      </c>
      <c r="ED25" s="171">
        <v>0</v>
      </c>
      <c r="EE25" s="171">
        <v>0</v>
      </c>
      <c r="EF25" s="171">
        <v>0</v>
      </c>
      <c r="EG25" s="171">
        <v>0</v>
      </c>
      <c r="EH25" s="171">
        <v>0</v>
      </c>
      <c r="EI25" s="171">
        <v>0</v>
      </c>
      <c r="EJ25" s="171">
        <v>1441.6250000000005</v>
      </c>
      <c r="EK25" s="171">
        <v>1284.1098239999999</v>
      </c>
      <c r="EL25" s="171">
        <v>198.95</v>
      </c>
      <c r="EM25" s="171">
        <v>201.51689999999999</v>
      </c>
      <c r="EN25" s="171">
        <v>0</v>
      </c>
      <c r="EO25" s="171">
        <v>0</v>
      </c>
      <c r="EP25" s="171">
        <v>1255.21</v>
      </c>
      <c r="EQ25" s="171">
        <v>1086.2997532000002</v>
      </c>
      <c r="ER25" s="171">
        <v>0</v>
      </c>
      <c r="ES25" s="171">
        <v>0</v>
      </c>
      <c r="ET25" s="171">
        <v>0</v>
      </c>
      <c r="EU25" s="171">
        <v>0</v>
      </c>
      <c r="EV25" s="171">
        <v>0</v>
      </c>
      <c r="EW25" s="171">
        <v>0</v>
      </c>
      <c r="EX25" s="171">
        <v>1454.16</v>
      </c>
      <c r="EY25" s="171">
        <v>1287.8166532000002</v>
      </c>
      <c r="EZ25" s="171">
        <v>143.30000000000001</v>
      </c>
      <c r="FA25" s="171">
        <v>144.10201000000001</v>
      </c>
      <c r="FB25" s="171">
        <v>0</v>
      </c>
      <c r="FC25" s="171">
        <v>0</v>
      </c>
      <c r="FD25" s="171">
        <v>865.81</v>
      </c>
      <c r="FE25" s="171">
        <v>779.21342570000024</v>
      </c>
      <c r="FF25" s="171">
        <v>0</v>
      </c>
      <c r="FG25" s="171">
        <v>0</v>
      </c>
      <c r="FH25" s="171">
        <v>0</v>
      </c>
      <c r="FI25" s="171">
        <v>0</v>
      </c>
      <c r="FJ25" s="171">
        <v>0</v>
      </c>
      <c r="FK25" s="171">
        <v>0</v>
      </c>
      <c r="FL25" s="171">
        <v>1009.1099999999999</v>
      </c>
      <c r="FM25" s="171">
        <v>923.31543570000031</v>
      </c>
      <c r="FN25" s="171">
        <f t="shared" si="23"/>
        <v>2865.7249999999999</v>
      </c>
      <c r="FO25" s="171">
        <f t="shared" si="18"/>
        <v>2922.5278715000004</v>
      </c>
      <c r="FP25" s="171">
        <f t="shared" si="19"/>
        <v>39.25</v>
      </c>
      <c r="FQ25" s="171">
        <f t="shared" si="20"/>
        <v>39.453749999999999</v>
      </c>
      <c r="FR25" s="171">
        <f t="shared" si="21"/>
        <v>13821.63</v>
      </c>
      <c r="FS25" s="171">
        <f t="shared" si="22"/>
        <v>12186.834197100001</v>
      </c>
      <c r="FT25" s="171">
        <f t="shared" si="24"/>
        <v>16726.605</v>
      </c>
      <c r="FU25" s="171">
        <f t="shared" si="25"/>
        <v>15148.815818600002</v>
      </c>
      <c r="FW25" s="135" t="s">
        <v>15</v>
      </c>
      <c r="FX25" s="44">
        <f t="shared" si="26"/>
        <v>101982.14662956147</v>
      </c>
      <c r="FY25" s="44">
        <f t="shared" si="27"/>
        <v>100519.10828025478</v>
      </c>
      <c r="FZ25" s="44">
        <f t="shared" si="28"/>
        <v>88172.192404947898</v>
      </c>
      <c r="GA25" s="44">
        <f t="shared" si="29"/>
        <v>90567.188132917596</v>
      </c>
    </row>
    <row r="26" spans="1:183">
      <c r="A26" s="146" t="s">
        <v>16</v>
      </c>
      <c r="B26" s="171">
        <v>0</v>
      </c>
      <c r="C26" s="171">
        <v>0</v>
      </c>
      <c r="D26" s="171">
        <v>0</v>
      </c>
      <c r="E26" s="171">
        <v>0</v>
      </c>
      <c r="F26" s="171">
        <v>105.42</v>
      </c>
      <c r="G26" s="171">
        <v>111.72638200000002</v>
      </c>
      <c r="H26" s="171">
        <v>0</v>
      </c>
      <c r="I26" s="171">
        <v>0</v>
      </c>
      <c r="J26" s="171">
        <v>0</v>
      </c>
      <c r="K26" s="171">
        <v>0</v>
      </c>
      <c r="L26" s="171">
        <v>0</v>
      </c>
      <c r="M26" s="171">
        <v>0</v>
      </c>
      <c r="N26" s="171">
        <v>105.42</v>
      </c>
      <c r="O26" s="171">
        <v>111.72638200000002</v>
      </c>
      <c r="P26" s="171">
        <v>0</v>
      </c>
      <c r="Q26" s="171">
        <v>0</v>
      </c>
      <c r="R26" s="171">
        <v>0</v>
      </c>
      <c r="S26" s="171">
        <v>0</v>
      </c>
      <c r="T26" s="171">
        <v>38.799999999999997</v>
      </c>
      <c r="U26" s="171">
        <v>36.074977300000008</v>
      </c>
      <c r="V26" s="171">
        <v>0</v>
      </c>
      <c r="W26" s="171">
        <v>0</v>
      </c>
      <c r="X26" s="171">
        <v>0</v>
      </c>
      <c r="Y26" s="171">
        <v>0</v>
      </c>
      <c r="Z26" s="171">
        <v>0</v>
      </c>
      <c r="AA26" s="171">
        <v>0</v>
      </c>
      <c r="AB26" s="171">
        <v>38.799999999999997</v>
      </c>
      <c r="AC26" s="171">
        <v>36.074977300000008</v>
      </c>
      <c r="AD26" s="171">
        <v>0</v>
      </c>
      <c r="AE26" s="171">
        <v>0</v>
      </c>
      <c r="AF26" s="171">
        <v>0</v>
      </c>
      <c r="AG26" s="171">
        <v>0</v>
      </c>
      <c r="AH26" s="171">
        <v>14.6</v>
      </c>
      <c r="AI26" s="171">
        <v>14.171614999999999</v>
      </c>
      <c r="AJ26" s="171">
        <v>0</v>
      </c>
      <c r="AK26" s="171">
        <v>0</v>
      </c>
      <c r="AL26" s="171">
        <v>0</v>
      </c>
      <c r="AM26" s="171">
        <v>0</v>
      </c>
      <c r="AN26" s="171">
        <v>0</v>
      </c>
      <c r="AO26" s="171">
        <v>0</v>
      </c>
      <c r="AP26" s="171">
        <v>14.6</v>
      </c>
      <c r="AQ26" s="171">
        <v>14.171614999999999</v>
      </c>
      <c r="AR26" s="171">
        <v>0</v>
      </c>
      <c r="AS26" s="171">
        <v>0</v>
      </c>
      <c r="AT26" s="171">
        <v>0</v>
      </c>
      <c r="AU26" s="171">
        <v>0</v>
      </c>
      <c r="AV26" s="171">
        <v>83.960000000000008</v>
      </c>
      <c r="AW26" s="171">
        <v>85.309191200000015</v>
      </c>
      <c r="AX26" s="171">
        <v>0</v>
      </c>
      <c r="AY26" s="171">
        <v>0</v>
      </c>
      <c r="AZ26" s="171">
        <v>0</v>
      </c>
      <c r="BA26" s="171">
        <v>0</v>
      </c>
      <c r="BB26" s="171">
        <v>0</v>
      </c>
      <c r="BC26" s="171">
        <v>0</v>
      </c>
      <c r="BD26" s="171">
        <v>83.960000000000008</v>
      </c>
      <c r="BE26" s="171">
        <v>85.309191200000015</v>
      </c>
      <c r="BF26" s="171">
        <v>2.5</v>
      </c>
      <c r="BG26" s="171">
        <v>2.6024096000000001</v>
      </c>
      <c r="BH26" s="171">
        <v>0</v>
      </c>
      <c r="BI26" s="171">
        <v>0</v>
      </c>
      <c r="BJ26" s="171">
        <v>150.46</v>
      </c>
      <c r="BK26" s="171">
        <v>167.72397400000003</v>
      </c>
      <c r="BL26" s="171">
        <v>0</v>
      </c>
      <c r="BM26" s="171">
        <v>0</v>
      </c>
      <c r="BN26" s="171">
        <v>0</v>
      </c>
      <c r="BO26" s="171">
        <v>0</v>
      </c>
      <c r="BP26" s="171">
        <v>0</v>
      </c>
      <c r="BQ26" s="171">
        <v>0</v>
      </c>
      <c r="BR26" s="171">
        <v>152.96</v>
      </c>
      <c r="BS26" s="171">
        <v>170.32638360000001</v>
      </c>
      <c r="BT26" s="171">
        <v>5</v>
      </c>
      <c r="BU26" s="171">
        <v>5.1084334999999994</v>
      </c>
      <c r="BV26" s="171">
        <v>0</v>
      </c>
      <c r="BW26" s="171">
        <v>0</v>
      </c>
      <c r="BX26" s="171">
        <v>51.61</v>
      </c>
      <c r="BY26" s="171">
        <v>56.451723999999992</v>
      </c>
      <c r="BZ26" s="171">
        <v>0</v>
      </c>
      <c r="CA26" s="171">
        <v>0</v>
      </c>
      <c r="CB26" s="171">
        <v>0</v>
      </c>
      <c r="CC26" s="171">
        <v>0</v>
      </c>
      <c r="CD26" s="171">
        <v>0</v>
      </c>
      <c r="CE26" s="171">
        <v>0</v>
      </c>
      <c r="CF26" s="171">
        <v>56.61</v>
      </c>
      <c r="CG26" s="171">
        <v>61.560157499999988</v>
      </c>
      <c r="CH26" s="171">
        <v>34.299999999999997</v>
      </c>
      <c r="CI26" s="171">
        <v>35.199995399999999</v>
      </c>
      <c r="CJ26" s="171">
        <v>0</v>
      </c>
      <c r="CK26" s="171">
        <v>0</v>
      </c>
      <c r="CL26" s="171">
        <v>91.25</v>
      </c>
      <c r="CM26" s="171">
        <v>96.584663299999988</v>
      </c>
      <c r="CN26" s="171">
        <v>0</v>
      </c>
      <c r="CO26" s="171">
        <v>0</v>
      </c>
      <c r="CP26" s="171">
        <v>0</v>
      </c>
      <c r="CQ26" s="171">
        <v>0</v>
      </c>
      <c r="CR26" s="171">
        <v>0</v>
      </c>
      <c r="CS26" s="171">
        <v>0</v>
      </c>
      <c r="CT26" s="171">
        <v>125.55</v>
      </c>
      <c r="CU26" s="171">
        <v>131.78465869999999</v>
      </c>
      <c r="CV26" s="171">
        <v>43.45</v>
      </c>
      <c r="CW26" s="171">
        <v>44.421444600000008</v>
      </c>
      <c r="CX26" s="171">
        <v>0</v>
      </c>
      <c r="CY26" s="171">
        <v>0</v>
      </c>
      <c r="CZ26" s="171">
        <v>11</v>
      </c>
      <c r="DA26" s="171">
        <v>10.962</v>
      </c>
      <c r="DB26" s="171">
        <v>0</v>
      </c>
      <c r="DC26" s="171">
        <v>0</v>
      </c>
      <c r="DD26" s="171">
        <v>0</v>
      </c>
      <c r="DE26" s="171">
        <v>0</v>
      </c>
      <c r="DF26" s="171">
        <v>0</v>
      </c>
      <c r="DG26" s="171">
        <v>0</v>
      </c>
      <c r="DH26" s="171">
        <v>54.45</v>
      </c>
      <c r="DI26" s="171">
        <v>55.383444600000004</v>
      </c>
      <c r="DJ26" s="171">
        <v>16.55</v>
      </c>
      <c r="DK26" s="171">
        <v>16.990601899999998</v>
      </c>
      <c r="DL26" s="171">
        <v>0</v>
      </c>
      <c r="DM26" s="171">
        <v>0</v>
      </c>
      <c r="DN26" s="171">
        <v>100.985</v>
      </c>
      <c r="DO26" s="171">
        <v>109.2691543</v>
      </c>
      <c r="DP26" s="171">
        <v>0</v>
      </c>
      <c r="DQ26" s="171">
        <v>0</v>
      </c>
      <c r="DR26" s="171">
        <v>0</v>
      </c>
      <c r="DS26" s="171">
        <v>0</v>
      </c>
      <c r="DT26" s="171">
        <v>0</v>
      </c>
      <c r="DU26" s="171">
        <v>0</v>
      </c>
      <c r="DV26" s="171">
        <v>117.535</v>
      </c>
      <c r="DW26" s="171">
        <v>126.2597562</v>
      </c>
      <c r="DX26" s="171">
        <v>0.45</v>
      </c>
      <c r="DY26" s="171">
        <v>0.45900000000000002</v>
      </c>
      <c r="DZ26" s="171">
        <v>0</v>
      </c>
      <c r="EA26" s="171">
        <v>0</v>
      </c>
      <c r="EB26" s="171">
        <v>85.32</v>
      </c>
      <c r="EC26" s="171">
        <v>93.096486999999996</v>
      </c>
      <c r="ED26" s="171">
        <v>0</v>
      </c>
      <c r="EE26" s="171">
        <v>0</v>
      </c>
      <c r="EF26" s="171">
        <v>0</v>
      </c>
      <c r="EG26" s="171">
        <v>0</v>
      </c>
      <c r="EH26" s="171">
        <v>0</v>
      </c>
      <c r="EI26" s="171">
        <v>0</v>
      </c>
      <c r="EJ26" s="171">
        <v>85.77</v>
      </c>
      <c r="EK26" s="171">
        <v>93.555486999999999</v>
      </c>
      <c r="EL26" s="171">
        <v>11.75</v>
      </c>
      <c r="EM26" s="171">
        <v>12.072289000000001</v>
      </c>
      <c r="EN26" s="171">
        <v>0</v>
      </c>
      <c r="EO26" s="171">
        <v>0</v>
      </c>
      <c r="EP26" s="171">
        <v>202.49</v>
      </c>
      <c r="EQ26" s="171">
        <v>206.9789284</v>
      </c>
      <c r="ER26" s="171">
        <v>0</v>
      </c>
      <c r="ES26" s="171">
        <v>0</v>
      </c>
      <c r="ET26" s="171">
        <v>0</v>
      </c>
      <c r="EU26" s="171">
        <v>0</v>
      </c>
      <c r="EV26" s="171">
        <v>0</v>
      </c>
      <c r="EW26" s="171">
        <v>0</v>
      </c>
      <c r="EX26" s="171">
        <v>214.24</v>
      </c>
      <c r="EY26" s="171">
        <v>219.05121740000001</v>
      </c>
      <c r="EZ26" s="171">
        <v>8</v>
      </c>
      <c r="FA26" s="171">
        <v>8.1726615999999996</v>
      </c>
      <c r="FB26" s="171">
        <v>0</v>
      </c>
      <c r="FC26" s="171">
        <v>0</v>
      </c>
      <c r="FD26" s="171">
        <v>175.65</v>
      </c>
      <c r="FE26" s="171">
        <v>174.42819840000004</v>
      </c>
      <c r="FF26" s="171">
        <v>0</v>
      </c>
      <c r="FG26" s="171">
        <v>0</v>
      </c>
      <c r="FH26" s="171">
        <v>0</v>
      </c>
      <c r="FI26" s="171">
        <v>0</v>
      </c>
      <c r="FJ26" s="171">
        <v>0</v>
      </c>
      <c r="FK26" s="171">
        <v>0</v>
      </c>
      <c r="FL26" s="171">
        <v>183.65</v>
      </c>
      <c r="FM26" s="171">
        <v>182.60086000000004</v>
      </c>
      <c r="FN26" s="171">
        <f t="shared" si="23"/>
        <v>122</v>
      </c>
      <c r="FO26" s="171">
        <f t="shared" si="18"/>
        <v>125.02683560000001</v>
      </c>
      <c r="FP26" s="171">
        <f t="shared" si="19"/>
        <v>0</v>
      </c>
      <c r="FQ26" s="171">
        <f t="shared" si="20"/>
        <v>0</v>
      </c>
      <c r="FR26" s="171">
        <f t="shared" si="21"/>
        <v>1111.5450000000001</v>
      </c>
      <c r="FS26" s="171">
        <f t="shared" si="22"/>
        <v>1162.7772949</v>
      </c>
      <c r="FT26" s="171">
        <f t="shared" si="24"/>
        <v>1233.5450000000001</v>
      </c>
      <c r="FU26" s="171">
        <f t="shared" si="25"/>
        <v>1287.8041304999999</v>
      </c>
      <c r="FW26" s="135" t="s">
        <v>16</v>
      </c>
      <c r="FX26" s="44">
        <f t="shared" si="26"/>
        <v>102481.01278688524</v>
      </c>
      <c r="FY26" s="44">
        <f t="shared" si="27"/>
        <v>0</v>
      </c>
      <c r="FZ26" s="44">
        <f t="shared" si="28"/>
        <v>104609.10668483956</v>
      </c>
      <c r="GA26" s="44">
        <f t="shared" si="29"/>
        <v>104398.63405874936</v>
      </c>
    </row>
    <row r="27" spans="1:183">
      <c r="A27" s="146" t="s">
        <v>148</v>
      </c>
      <c r="B27" s="171"/>
      <c r="C27" s="171"/>
      <c r="D27" s="171"/>
      <c r="E27" s="171"/>
      <c r="F27" s="171"/>
      <c r="G27" s="171"/>
      <c r="H27" s="171">
        <v>386.54</v>
      </c>
      <c r="I27" s="171">
        <v>125.85249740000002</v>
      </c>
      <c r="J27" s="171">
        <v>50</v>
      </c>
      <c r="K27" s="171">
        <v>100.6</v>
      </c>
      <c r="L27" s="171">
        <v>410.79999999999995</v>
      </c>
      <c r="M27" s="171">
        <v>1016.2924719999997</v>
      </c>
      <c r="N27" s="171">
        <v>847.33999999999992</v>
      </c>
      <c r="O27" s="171">
        <v>1242.7449693999997</v>
      </c>
      <c r="P27" s="171"/>
      <c r="Q27" s="171"/>
      <c r="R27" s="171"/>
      <c r="S27" s="171"/>
      <c r="T27" s="171"/>
      <c r="U27" s="171"/>
      <c r="V27" s="171">
        <v>311.27000000000004</v>
      </c>
      <c r="W27" s="171">
        <v>107.9120585</v>
      </c>
      <c r="X27" s="171">
        <v>72.5</v>
      </c>
      <c r="Y27" s="171">
        <v>152.9</v>
      </c>
      <c r="Z27" s="171">
        <v>171.83</v>
      </c>
      <c r="AA27" s="171">
        <v>410.40326800000003</v>
      </c>
      <c r="AB27" s="171">
        <v>555.6</v>
      </c>
      <c r="AC27" s="171">
        <v>671.21532650000006</v>
      </c>
      <c r="AD27" s="171"/>
      <c r="AE27" s="171"/>
      <c r="AF27" s="171"/>
      <c r="AG27" s="171"/>
      <c r="AH27" s="171"/>
      <c r="AI27" s="171"/>
      <c r="AJ27" s="171">
        <v>158.51500000000001</v>
      </c>
      <c r="AK27" s="171">
        <v>77.707150099999993</v>
      </c>
      <c r="AL27" s="171">
        <v>77.7</v>
      </c>
      <c r="AM27" s="171">
        <v>154.261</v>
      </c>
      <c r="AN27" s="171">
        <v>285.93</v>
      </c>
      <c r="AO27" s="171">
        <v>671.3124451000001</v>
      </c>
      <c r="AP27" s="171">
        <v>522.14499999999998</v>
      </c>
      <c r="AQ27" s="171">
        <v>903.28059520000011</v>
      </c>
      <c r="AR27" s="171"/>
      <c r="AS27" s="171"/>
      <c r="AT27" s="171"/>
      <c r="AU27" s="171"/>
      <c r="AV27" s="171"/>
      <c r="AW27" s="171"/>
      <c r="AX27" s="171">
        <v>198.37</v>
      </c>
      <c r="AY27" s="171">
        <v>53.698747900000001</v>
      </c>
      <c r="AZ27" s="171">
        <v>80</v>
      </c>
      <c r="BA27" s="171">
        <v>163.4</v>
      </c>
      <c r="BB27" s="171">
        <v>365.6</v>
      </c>
      <c r="BC27" s="171">
        <v>852.59304429999997</v>
      </c>
      <c r="BD27" s="171">
        <v>643.97</v>
      </c>
      <c r="BE27" s="171">
        <v>1069.6917922</v>
      </c>
      <c r="BF27" s="171"/>
      <c r="BG27" s="171"/>
      <c r="BH27" s="171"/>
      <c r="BI27" s="171"/>
      <c r="BJ27" s="171"/>
      <c r="BK27" s="171"/>
      <c r="BL27" s="171">
        <v>186.48999999999998</v>
      </c>
      <c r="BM27" s="171">
        <v>92.562993300000016</v>
      </c>
      <c r="BN27" s="171">
        <v>64.924999999999997</v>
      </c>
      <c r="BO27" s="171">
        <v>138.3015</v>
      </c>
      <c r="BP27" s="171">
        <v>215.8</v>
      </c>
      <c r="BQ27" s="171">
        <v>491.82087919999992</v>
      </c>
      <c r="BR27" s="171">
        <v>467.21499999999997</v>
      </c>
      <c r="BS27" s="171">
        <v>722.68537249999997</v>
      </c>
      <c r="BT27" s="171"/>
      <c r="BU27" s="171"/>
      <c r="BV27" s="171"/>
      <c r="BW27" s="171"/>
      <c r="BX27" s="171"/>
      <c r="BY27" s="171"/>
      <c r="BZ27" s="171">
        <v>260.33499999999998</v>
      </c>
      <c r="CA27" s="171">
        <v>68.928934499999997</v>
      </c>
      <c r="CB27" s="171">
        <v>57</v>
      </c>
      <c r="CC27" s="171">
        <v>110.41</v>
      </c>
      <c r="CD27" s="171">
        <v>285.8</v>
      </c>
      <c r="CE27" s="171">
        <v>667.06168350000007</v>
      </c>
      <c r="CF27" s="171">
        <v>603.13499999999999</v>
      </c>
      <c r="CG27" s="171">
        <v>846.40061800000012</v>
      </c>
      <c r="CH27" s="171"/>
      <c r="CI27" s="171"/>
      <c r="CJ27" s="171"/>
      <c r="CK27" s="171"/>
      <c r="CL27" s="171"/>
      <c r="CM27" s="171"/>
      <c r="CN27" s="171">
        <v>100.85</v>
      </c>
      <c r="CO27" s="171">
        <v>33.271603800000001</v>
      </c>
      <c r="CP27" s="171">
        <v>58</v>
      </c>
      <c r="CQ27" s="171">
        <v>111.58</v>
      </c>
      <c r="CR27" s="171">
        <v>208.83</v>
      </c>
      <c r="CS27" s="171">
        <v>495.70438490000026</v>
      </c>
      <c r="CT27" s="171">
        <v>367.68</v>
      </c>
      <c r="CU27" s="171">
        <v>640.55598870000028</v>
      </c>
      <c r="CV27" s="171"/>
      <c r="CW27" s="171"/>
      <c r="CX27" s="171"/>
      <c r="CY27" s="171"/>
      <c r="CZ27" s="171"/>
      <c r="DA27" s="171"/>
      <c r="DB27" s="171">
        <v>193.82999999999998</v>
      </c>
      <c r="DC27" s="171">
        <v>63.376970200000017</v>
      </c>
      <c r="DD27" s="171">
        <v>19</v>
      </c>
      <c r="DE27" s="171">
        <v>40.72</v>
      </c>
      <c r="DF27" s="171">
        <v>54</v>
      </c>
      <c r="DG27" s="171">
        <v>130.65029000000001</v>
      </c>
      <c r="DH27" s="171">
        <v>266.83</v>
      </c>
      <c r="DI27" s="171">
        <v>234.74726020000003</v>
      </c>
      <c r="DJ27" s="171"/>
      <c r="DK27" s="171"/>
      <c r="DL27" s="171"/>
      <c r="DM27" s="171"/>
      <c r="DN27" s="171"/>
      <c r="DO27" s="171"/>
      <c r="DP27" s="171">
        <v>100.50999999999999</v>
      </c>
      <c r="DQ27" s="171">
        <v>25.057315599999999</v>
      </c>
      <c r="DR27" s="171">
        <v>0</v>
      </c>
      <c r="DS27" s="171">
        <v>0</v>
      </c>
      <c r="DT27" s="171">
        <v>63.1</v>
      </c>
      <c r="DU27" s="171">
        <v>151.53072739999999</v>
      </c>
      <c r="DV27" s="171">
        <v>163.60999999999999</v>
      </c>
      <c r="DW27" s="171">
        <v>176.588043</v>
      </c>
      <c r="DX27" s="171"/>
      <c r="DY27" s="171"/>
      <c r="DZ27" s="171"/>
      <c r="EA27" s="171"/>
      <c r="EB27" s="171"/>
      <c r="EC27" s="171"/>
      <c r="ED27" s="171">
        <v>82.210000000000008</v>
      </c>
      <c r="EE27" s="171">
        <v>67.303880399999997</v>
      </c>
      <c r="EF27" s="171">
        <v>17.3</v>
      </c>
      <c r="EG27" s="171">
        <v>33.389000000000003</v>
      </c>
      <c r="EH27" s="171">
        <v>250</v>
      </c>
      <c r="EI27" s="171">
        <v>571.37129080000011</v>
      </c>
      <c r="EJ27" s="171">
        <v>349.51</v>
      </c>
      <c r="EK27" s="171">
        <v>672.06417120000015</v>
      </c>
      <c r="EL27" s="171"/>
      <c r="EM27" s="171"/>
      <c r="EN27" s="171"/>
      <c r="EO27" s="171"/>
      <c r="EP27" s="171"/>
      <c r="EQ27" s="171"/>
      <c r="ER27" s="171">
        <v>83.47</v>
      </c>
      <c r="ES27" s="171">
        <v>67.251813799999994</v>
      </c>
      <c r="ET27" s="171">
        <v>0</v>
      </c>
      <c r="EU27" s="171">
        <v>0</v>
      </c>
      <c r="EV27" s="171">
        <v>633</v>
      </c>
      <c r="EW27" s="171">
        <v>1474.8769272</v>
      </c>
      <c r="EX27" s="171">
        <v>716.47</v>
      </c>
      <c r="EY27" s="171">
        <v>1542.128741</v>
      </c>
      <c r="EZ27" s="171"/>
      <c r="FA27" s="171"/>
      <c r="FB27" s="171"/>
      <c r="FC27" s="171"/>
      <c r="FD27" s="171"/>
      <c r="FE27" s="171"/>
      <c r="FF27" s="171">
        <v>200.33</v>
      </c>
      <c r="FG27" s="171">
        <v>70.611277200000004</v>
      </c>
      <c r="FH27" s="171">
        <v>0</v>
      </c>
      <c r="FI27" s="171">
        <v>0</v>
      </c>
      <c r="FJ27" s="171">
        <v>427.74999999999994</v>
      </c>
      <c r="FK27" s="171">
        <v>977.73908129999995</v>
      </c>
      <c r="FL27" s="171">
        <v>628.07999999999993</v>
      </c>
      <c r="FM27" s="171">
        <v>1048.3503584999999</v>
      </c>
      <c r="FN27" s="171">
        <f t="shared" si="23"/>
        <v>2262.7199999999998</v>
      </c>
      <c r="FO27" s="171">
        <f t="shared" si="18"/>
        <v>853.53524270000014</v>
      </c>
      <c r="FP27" s="171">
        <f t="shared" si="19"/>
        <v>496.42500000000001</v>
      </c>
      <c r="FQ27" s="171">
        <f t="shared" si="20"/>
        <v>1005.5615</v>
      </c>
      <c r="FR27" s="171">
        <f t="shared" si="21"/>
        <v>3372.4399999999996</v>
      </c>
      <c r="FS27" s="171">
        <f t="shared" si="22"/>
        <v>7911.3564936999992</v>
      </c>
      <c r="FT27" s="171">
        <f t="shared" si="24"/>
        <v>6131.5849999999991</v>
      </c>
      <c r="FU27" s="171">
        <f t="shared" si="25"/>
        <v>9770.4532363999988</v>
      </c>
      <c r="FW27" s="135" t="s">
        <v>148</v>
      </c>
      <c r="FX27" s="44">
        <f t="shared" si="26"/>
        <v>37721.646633255557</v>
      </c>
      <c r="FY27" s="44">
        <f t="shared" si="27"/>
        <v>202560.60834970034</v>
      </c>
      <c r="FZ27" s="44">
        <f t="shared" si="28"/>
        <v>234588.50249967381</v>
      </c>
      <c r="GA27" s="44">
        <f t="shared" si="29"/>
        <v>159346.29033765331</v>
      </c>
    </row>
    <row r="28" spans="1:183">
      <c r="A28" s="166" t="s">
        <v>20</v>
      </c>
      <c r="B28" s="176">
        <v>738.6400000000001</v>
      </c>
      <c r="C28" s="176">
        <v>811.0997112</v>
      </c>
      <c r="D28" s="176">
        <v>260.31</v>
      </c>
      <c r="E28" s="176">
        <v>318.3725</v>
      </c>
      <c r="F28" s="176">
        <v>2652.0149999999994</v>
      </c>
      <c r="G28" s="176">
        <v>2749.9864484000009</v>
      </c>
      <c r="H28" s="176">
        <v>386.54</v>
      </c>
      <c r="I28" s="176">
        <v>125.85249740000002</v>
      </c>
      <c r="J28" s="176">
        <v>50</v>
      </c>
      <c r="K28" s="176">
        <v>100.6</v>
      </c>
      <c r="L28" s="176">
        <v>410.79999999999995</v>
      </c>
      <c r="M28" s="176">
        <v>1016.2924719999997</v>
      </c>
      <c r="N28" s="176">
        <v>4498.3050000000003</v>
      </c>
      <c r="O28" s="176">
        <v>5122.2036289999996</v>
      </c>
      <c r="P28" s="176">
        <v>986.25500000000034</v>
      </c>
      <c r="Q28" s="176">
        <v>1105.6232993999997</v>
      </c>
      <c r="R28" s="176">
        <v>324.13</v>
      </c>
      <c r="S28" s="176">
        <v>400.28555</v>
      </c>
      <c r="T28" s="176">
        <v>2992.8670000000002</v>
      </c>
      <c r="U28" s="176">
        <v>3028.8420893000002</v>
      </c>
      <c r="V28" s="176">
        <v>311.27000000000004</v>
      </c>
      <c r="W28" s="176">
        <v>107.9120585</v>
      </c>
      <c r="X28" s="176">
        <v>72.5</v>
      </c>
      <c r="Y28" s="176">
        <v>152.9</v>
      </c>
      <c r="Z28" s="176">
        <v>171.83</v>
      </c>
      <c r="AA28" s="176">
        <v>410.40326800000003</v>
      </c>
      <c r="AB28" s="176">
        <v>4858.8520000000017</v>
      </c>
      <c r="AC28" s="176">
        <v>5205.9662651999997</v>
      </c>
      <c r="AD28" s="176">
        <v>866.53</v>
      </c>
      <c r="AE28" s="176">
        <v>941.83296509999991</v>
      </c>
      <c r="AF28" s="176">
        <v>88.490000000000009</v>
      </c>
      <c r="AG28" s="176">
        <v>123.0834</v>
      </c>
      <c r="AH28" s="176">
        <v>6270.8400000000011</v>
      </c>
      <c r="AI28" s="176">
        <v>6349.6506420999995</v>
      </c>
      <c r="AJ28" s="176">
        <v>158.51500000000001</v>
      </c>
      <c r="AK28" s="176">
        <v>77.707150099999993</v>
      </c>
      <c r="AL28" s="176">
        <v>77.7</v>
      </c>
      <c r="AM28" s="176">
        <v>154.261</v>
      </c>
      <c r="AN28" s="176">
        <v>285.93</v>
      </c>
      <c r="AO28" s="176">
        <v>671.3124451000001</v>
      </c>
      <c r="AP28" s="176">
        <v>7748.005000000001</v>
      </c>
      <c r="AQ28" s="176">
        <v>8317.8476024000011</v>
      </c>
      <c r="AR28" s="176">
        <v>1050.6749999999997</v>
      </c>
      <c r="AS28" s="176">
        <v>1146.9146805</v>
      </c>
      <c r="AT28" s="176">
        <v>181.26999999999998</v>
      </c>
      <c r="AU28" s="176">
        <v>213.55545000000001</v>
      </c>
      <c r="AV28" s="176">
        <v>1945.9800000000002</v>
      </c>
      <c r="AW28" s="176">
        <v>1861.2650061999998</v>
      </c>
      <c r="AX28" s="176">
        <v>198.37</v>
      </c>
      <c r="AY28" s="176">
        <v>53.698747900000001</v>
      </c>
      <c r="AZ28" s="176">
        <v>80</v>
      </c>
      <c r="BA28" s="176">
        <v>163.4</v>
      </c>
      <c r="BB28" s="176">
        <v>365.6</v>
      </c>
      <c r="BC28" s="176">
        <v>852.59304429999997</v>
      </c>
      <c r="BD28" s="176">
        <v>3821.8950000000004</v>
      </c>
      <c r="BE28" s="176">
        <v>4291.4269289000003</v>
      </c>
      <c r="BF28" s="176">
        <v>794.94999999999982</v>
      </c>
      <c r="BG28" s="176">
        <v>865.01159840000014</v>
      </c>
      <c r="BH28" s="176">
        <v>180.36</v>
      </c>
      <c r="BI28" s="176">
        <v>215.07995200000002</v>
      </c>
      <c r="BJ28" s="176">
        <v>3524.9100000000003</v>
      </c>
      <c r="BK28" s="176">
        <v>3451.2821467000003</v>
      </c>
      <c r="BL28" s="176">
        <v>186.48999999999998</v>
      </c>
      <c r="BM28" s="176">
        <v>92.562993300000016</v>
      </c>
      <c r="BN28" s="176">
        <v>64.924999999999997</v>
      </c>
      <c r="BO28" s="176">
        <v>138.3015</v>
      </c>
      <c r="BP28" s="176">
        <v>215.8</v>
      </c>
      <c r="BQ28" s="176">
        <v>491.82087919999992</v>
      </c>
      <c r="BR28" s="176">
        <v>4967.4350000000004</v>
      </c>
      <c r="BS28" s="176">
        <v>5254.0590695999999</v>
      </c>
      <c r="BT28" s="176">
        <v>785.88900000000012</v>
      </c>
      <c r="BU28" s="176">
        <v>765.98029940000015</v>
      </c>
      <c r="BV28" s="176">
        <v>372.24099999999999</v>
      </c>
      <c r="BW28" s="176">
        <v>359.38587000000001</v>
      </c>
      <c r="BX28" s="176">
        <v>2885.0399999999995</v>
      </c>
      <c r="BY28" s="176">
        <v>2621.1593834000009</v>
      </c>
      <c r="BZ28" s="176">
        <v>260.33499999999998</v>
      </c>
      <c r="CA28" s="176">
        <v>68.928934499999997</v>
      </c>
      <c r="CB28" s="176">
        <v>57</v>
      </c>
      <c r="CC28" s="176">
        <v>110.41</v>
      </c>
      <c r="CD28" s="176">
        <v>285.8</v>
      </c>
      <c r="CE28" s="176">
        <v>667.06168350000007</v>
      </c>
      <c r="CF28" s="176">
        <v>4646.3049999999994</v>
      </c>
      <c r="CG28" s="176">
        <v>4592.9261708000013</v>
      </c>
      <c r="CH28" s="176">
        <v>637.93999999999994</v>
      </c>
      <c r="CI28" s="176">
        <v>612.94683710000015</v>
      </c>
      <c r="CJ28" s="176">
        <v>390.3</v>
      </c>
      <c r="CK28" s="176">
        <v>332.75757299999998</v>
      </c>
      <c r="CL28" s="176">
        <v>3830.4399999999987</v>
      </c>
      <c r="CM28" s="176">
        <v>3380.4270414000007</v>
      </c>
      <c r="CN28" s="176">
        <v>100.85</v>
      </c>
      <c r="CO28" s="176">
        <v>33.271603800000001</v>
      </c>
      <c r="CP28" s="176">
        <v>58</v>
      </c>
      <c r="CQ28" s="176">
        <v>111.58</v>
      </c>
      <c r="CR28" s="176">
        <v>208.83</v>
      </c>
      <c r="CS28" s="176">
        <v>495.70438490000026</v>
      </c>
      <c r="CT28" s="176">
        <v>5226.3599999999988</v>
      </c>
      <c r="CU28" s="176">
        <v>4966.6874402000012</v>
      </c>
      <c r="CV28" s="176">
        <v>726.02</v>
      </c>
      <c r="CW28" s="176">
        <v>689.77607890000002</v>
      </c>
      <c r="CX28" s="176">
        <v>157.28000000000003</v>
      </c>
      <c r="CY28" s="176">
        <v>136.88240000000002</v>
      </c>
      <c r="CZ28" s="176">
        <v>4190.7899999999991</v>
      </c>
      <c r="DA28" s="176">
        <v>3405.3513023999999</v>
      </c>
      <c r="DB28" s="176">
        <v>193.82999999999998</v>
      </c>
      <c r="DC28" s="176">
        <v>63.376970200000017</v>
      </c>
      <c r="DD28" s="176">
        <v>19</v>
      </c>
      <c r="DE28" s="176">
        <v>40.72</v>
      </c>
      <c r="DF28" s="176">
        <v>54</v>
      </c>
      <c r="DG28" s="176">
        <v>130.65029000000001</v>
      </c>
      <c r="DH28" s="176">
        <v>5340.9199999999992</v>
      </c>
      <c r="DI28" s="176">
        <v>4466.7570415</v>
      </c>
      <c r="DJ28" s="176">
        <v>885.59999999999991</v>
      </c>
      <c r="DK28" s="176">
        <v>802.91437350000001</v>
      </c>
      <c r="DL28" s="176">
        <v>159.41</v>
      </c>
      <c r="DM28" s="176">
        <v>144.6867</v>
      </c>
      <c r="DN28" s="176">
        <v>5493.78</v>
      </c>
      <c r="DO28" s="176">
        <v>4311.6303341999992</v>
      </c>
      <c r="DP28" s="176">
        <v>100.50999999999999</v>
      </c>
      <c r="DQ28" s="176">
        <v>25.057315599999999</v>
      </c>
      <c r="DR28" s="176">
        <v>0</v>
      </c>
      <c r="DS28" s="176">
        <v>0</v>
      </c>
      <c r="DT28" s="176">
        <v>63.1</v>
      </c>
      <c r="DU28" s="176">
        <v>151.53072739999999</v>
      </c>
      <c r="DV28" s="176">
        <v>6702.3999999999987</v>
      </c>
      <c r="DW28" s="176">
        <v>5435.8194506999989</v>
      </c>
      <c r="DX28" s="176">
        <v>1111.0700000000002</v>
      </c>
      <c r="DY28" s="176">
        <v>1033.1603462</v>
      </c>
      <c r="DZ28" s="176">
        <v>216.94000000000003</v>
      </c>
      <c r="EA28" s="176">
        <v>198.81354999999999</v>
      </c>
      <c r="EB28" s="176">
        <v>4075.69</v>
      </c>
      <c r="EC28" s="176">
        <v>3312.5011014999995</v>
      </c>
      <c r="ED28" s="176">
        <v>82.210000000000008</v>
      </c>
      <c r="EE28" s="176">
        <v>67.303880399999997</v>
      </c>
      <c r="EF28" s="176">
        <v>17.3</v>
      </c>
      <c r="EG28" s="176">
        <v>33.389000000000003</v>
      </c>
      <c r="EH28" s="176">
        <v>250</v>
      </c>
      <c r="EI28" s="176">
        <v>571.37129080000011</v>
      </c>
      <c r="EJ28" s="176">
        <v>5753.2100000000009</v>
      </c>
      <c r="EK28" s="176">
        <v>5216.5391689000007</v>
      </c>
      <c r="EL28" s="176">
        <v>1066.9499999999998</v>
      </c>
      <c r="EM28" s="176">
        <v>1062.326597</v>
      </c>
      <c r="EN28" s="176">
        <v>297.29999999999995</v>
      </c>
      <c r="EO28" s="176">
        <v>279.36104999999998</v>
      </c>
      <c r="EP28" s="176">
        <v>2770.71</v>
      </c>
      <c r="EQ28" s="176">
        <v>2466.6045898000002</v>
      </c>
      <c r="ER28" s="176">
        <v>83.47</v>
      </c>
      <c r="ES28" s="176">
        <v>67.251813799999994</v>
      </c>
      <c r="ET28" s="176">
        <v>0</v>
      </c>
      <c r="EU28" s="176">
        <v>0</v>
      </c>
      <c r="EV28" s="176">
        <v>633</v>
      </c>
      <c r="EW28" s="176">
        <v>1474.8769272</v>
      </c>
      <c r="EX28" s="176">
        <v>4851.4299999999994</v>
      </c>
      <c r="EY28" s="176">
        <v>5350.4209778000004</v>
      </c>
      <c r="EZ28" s="176">
        <v>645.03</v>
      </c>
      <c r="FA28" s="176">
        <v>629.30263339999988</v>
      </c>
      <c r="FB28" s="176">
        <v>40.22</v>
      </c>
      <c r="FC28" s="176">
        <v>42.633200000000002</v>
      </c>
      <c r="FD28" s="176">
        <v>3632.9300000000003</v>
      </c>
      <c r="FE28" s="176">
        <v>3136.8031113000002</v>
      </c>
      <c r="FF28" s="176">
        <v>200.33</v>
      </c>
      <c r="FG28" s="176">
        <v>70.611277200000004</v>
      </c>
      <c r="FH28" s="176">
        <v>0</v>
      </c>
      <c r="FI28" s="176">
        <v>0</v>
      </c>
      <c r="FJ28" s="176">
        <v>427.74999999999994</v>
      </c>
      <c r="FK28" s="176">
        <v>977.73908129999995</v>
      </c>
      <c r="FL28" s="176">
        <v>4946.26</v>
      </c>
      <c r="FM28" s="176">
        <v>4857.0893032000004</v>
      </c>
      <c r="FN28" s="176">
        <f t="shared" ref="FN28" si="30">SUM(FN20:FN27)</f>
        <v>12558.268999999998</v>
      </c>
      <c r="FO28" s="176">
        <f t="shared" ref="FO28" si="31">SUM(FO20:FO27)</f>
        <v>11320.424662800002</v>
      </c>
      <c r="FP28" s="176">
        <f t="shared" ref="FP28" si="32">SUM(FP20:FP27)</f>
        <v>3164.6759999999995</v>
      </c>
      <c r="FQ28" s="176">
        <f t="shared" ref="FQ28" si="33">SUM(FQ20:FQ27)</f>
        <v>3770.4586950000003</v>
      </c>
      <c r="FR28" s="176">
        <f t="shared" ref="FR28" si="34">SUM(FR20:FR27)</f>
        <v>47638.431999999993</v>
      </c>
      <c r="FS28" s="176">
        <f t="shared" ref="FS28" si="35">SUM(FS20:FS27)</f>
        <v>47986.859690400001</v>
      </c>
      <c r="FT28" s="176">
        <f t="shared" si="24"/>
        <v>63361.376999999993</v>
      </c>
      <c r="FU28" s="176">
        <f t="shared" si="25"/>
        <v>63077.743048200005</v>
      </c>
      <c r="FW28" s="232" t="s">
        <v>20</v>
      </c>
      <c r="FX28" s="44">
        <f t="shared" si="26"/>
        <v>90143.193005341775</v>
      </c>
      <c r="FY28" s="44">
        <f t="shared" si="27"/>
        <v>119142.01311603465</v>
      </c>
      <c r="FZ28" s="44">
        <f t="shared" si="28"/>
        <v>100731.40041720938</v>
      </c>
      <c r="GA28" s="44">
        <f t="shared" si="29"/>
        <v>99552.355133001634</v>
      </c>
    </row>
    <row r="29" spans="1:183" s="144" customFormat="1">
      <c r="A29" s="177" t="s">
        <v>51</v>
      </c>
      <c r="B29" s="178">
        <f>B28-B27</f>
        <v>738.6400000000001</v>
      </c>
      <c r="C29" s="178">
        <f t="shared" ref="C29" si="36">C28-C27</f>
        <v>811.0997112</v>
      </c>
      <c r="D29" s="178">
        <f t="shared" ref="D29" si="37">D28-D27</f>
        <v>260.31</v>
      </c>
      <c r="E29" s="178">
        <f t="shared" ref="E29" si="38">E28-E27</f>
        <v>318.3725</v>
      </c>
      <c r="F29" s="178">
        <f t="shared" ref="F29" si="39">F28-F27</f>
        <v>2652.0149999999994</v>
      </c>
      <c r="G29" s="178">
        <f t="shared" ref="G29" si="40">G28-G27</f>
        <v>2749.9864484000009</v>
      </c>
      <c r="H29" s="178">
        <f t="shared" ref="H29" si="41">H28-H27</f>
        <v>0</v>
      </c>
      <c r="I29" s="178">
        <f t="shared" ref="I29" si="42">I28-I27</f>
        <v>0</v>
      </c>
      <c r="J29" s="178">
        <f t="shared" ref="J29" si="43">J28-J27</f>
        <v>0</v>
      </c>
      <c r="K29" s="178">
        <f t="shared" ref="K29" si="44">K28-K27</f>
        <v>0</v>
      </c>
      <c r="L29" s="178">
        <f t="shared" ref="L29" si="45">L28-L27</f>
        <v>0</v>
      </c>
      <c r="M29" s="178">
        <f t="shared" ref="M29" si="46">M28-M27</f>
        <v>0</v>
      </c>
      <c r="N29" s="178">
        <f t="shared" ref="N29" si="47">N28-N27</f>
        <v>3650.9650000000001</v>
      </c>
      <c r="O29" s="178">
        <f t="shared" ref="O29" si="48">O28-O27</f>
        <v>3879.4586595999999</v>
      </c>
      <c r="P29" s="178">
        <f t="shared" ref="P29" si="49">P28-P27</f>
        <v>986.25500000000034</v>
      </c>
      <c r="Q29" s="178">
        <f t="shared" ref="Q29" si="50">Q28-Q27</f>
        <v>1105.6232993999997</v>
      </c>
      <c r="R29" s="178">
        <f t="shared" ref="R29" si="51">R28-R27</f>
        <v>324.13</v>
      </c>
      <c r="S29" s="178">
        <f t="shared" ref="S29" si="52">S28-S27</f>
        <v>400.28555</v>
      </c>
      <c r="T29" s="178">
        <f t="shared" ref="T29" si="53">T28-T27</f>
        <v>2992.8670000000002</v>
      </c>
      <c r="U29" s="178">
        <f t="shared" ref="U29" si="54">U28-U27</f>
        <v>3028.8420893000002</v>
      </c>
      <c r="V29" s="178">
        <f t="shared" ref="V29" si="55">V28-V27</f>
        <v>0</v>
      </c>
      <c r="W29" s="178">
        <f t="shared" ref="W29" si="56">W28-W27</f>
        <v>0</v>
      </c>
      <c r="X29" s="178">
        <f t="shared" ref="X29" si="57">X28-X27</f>
        <v>0</v>
      </c>
      <c r="Y29" s="178">
        <f t="shared" ref="Y29" si="58">Y28-Y27</f>
        <v>0</v>
      </c>
      <c r="Z29" s="178">
        <f t="shared" ref="Z29" si="59">Z28-Z27</f>
        <v>0</v>
      </c>
      <c r="AA29" s="178">
        <f t="shared" ref="AA29" si="60">AA28-AA27</f>
        <v>0</v>
      </c>
      <c r="AB29" s="178">
        <f t="shared" ref="AB29" si="61">AB28-AB27</f>
        <v>4303.2520000000013</v>
      </c>
      <c r="AC29" s="178">
        <f t="shared" ref="AC29" si="62">AC28-AC27</f>
        <v>4534.7509387</v>
      </c>
      <c r="AD29" s="178">
        <f t="shared" ref="AD29" si="63">AD28-AD27</f>
        <v>866.53</v>
      </c>
      <c r="AE29" s="178">
        <f t="shared" ref="AE29" si="64">AE28-AE27</f>
        <v>941.83296509999991</v>
      </c>
      <c r="AF29" s="178">
        <f t="shared" ref="AF29" si="65">AF28-AF27</f>
        <v>88.490000000000009</v>
      </c>
      <c r="AG29" s="178">
        <f t="shared" ref="AG29" si="66">AG28-AG27</f>
        <v>123.0834</v>
      </c>
      <c r="AH29" s="178">
        <f t="shared" ref="AH29" si="67">AH28-AH27</f>
        <v>6270.8400000000011</v>
      </c>
      <c r="AI29" s="178">
        <f t="shared" ref="AI29" si="68">AI28-AI27</f>
        <v>6349.6506420999995</v>
      </c>
      <c r="AJ29" s="178">
        <f t="shared" ref="AJ29" si="69">AJ28-AJ27</f>
        <v>0</v>
      </c>
      <c r="AK29" s="178">
        <f t="shared" ref="AK29" si="70">AK28-AK27</f>
        <v>0</v>
      </c>
      <c r="AL29" s="178">
        <f t="shared" ref="AL29" si="71">AL28-AL27</f>
        <v>0</v>
      </c>
      <c r="AM29" s="178">
        <f t="shared" ref="AM29" si="72">AM28-AM27</f>
        <v>0</v>
      </c>
      <c r="AN29" s="178">
        <f t="shared" ref="AN29" si="73">AN28-AN27</f>
        <v>0</v>
      </c>
      <c r="AO29" s="178">
        <f t="shared" ref="AO29" si="74">AO28-AO27</f>
        <v>0</v>
      </c>
      <c r="AP29" s="178">
        <f t="shared" ref="AP29" si="75">AP28-AP27</f>
        <v>7225.8600000000006</v>
      </c>
      <c r="AQ29" s="178">
        <f t="shared" ref="AQ29" si="76">AQ28-AQ27</f>
        <v>7414.5670072000012</v>
      </c>
      <c r="AR29" s="178">
        <f t="shared" ref="AR29" si="77">AR28-AR27</f>
        <v>1050.6749999999997</v>
      </c>
      <c r="AS29" s="178">
        <f t="shared" ref="AS29" si="78">AS28-AS27</f>
        <v>1146.9146805</v>
      </c>
      <c r="AT29" s="178">
        <f t="shared" ref="AT29" si="79">AT28-AT27</f>
        <v>181.26999999999998</v>
      </c>
      <c r="AU29" s="178">
        <f t="shared" ref="AU29" si="80">AU28-AU27</f>
        <v>213.55545000000001</v>
      </c>
      <c r="AV29" s="178">
        <f t="shared" ref="AV29" si="81">AV28-AV27</f>
        <v>1945.9800000000002</v>
      </c>
      <c r="AW29" s="178">
        <f t="shared" ref="AW29" si="82">AW28-AW27</f>
        <v>1861.2650061999998</v>
      </c>
      <c r="AX29" s="178">
        <f t="shared" ref="AX29" si="83">AX28-AX27</f>
        <v>0</v>
      </c>
      <c r="AY29" s="178">
        <f t="shared" ref="AY29" si="84">AY28-AY27</f>
        <v>0</v>
      </c>
      <c r="AZ29" s="178">
        <f t="shared" ref="AZ29" si="85">AZ28-AZ27</f>
        <v>0</v>
      </c>
      <c r="BA29" s="178">
        <f t="shared" ref="BA29" si="86">BA28-BA27</f>
        <v>0</v>
      </c>
      <c r="BB29" s="178">
        <f t="shared" ref="BB29" si="87">BB28-BB27</f>
        <v>0</v>
      </c>
      <c r="BC29" s="178">
        <f t="shared" ref="BC29" si="88">BC28-BC27</f>
        <v>0</v>
      </c>
      <c r="BD29" s="178">
        <f t="shared" ref="BD29" si="89">BD28-BD27</f>
        <v>3177.9250000000002</v>
      </c>
      <c r="BE29" s="178">
        <f t="shared" ref="BE29" si="90">BE28-BE27</f>
        <v>3221.7351367000001</v>
      </c>
      <c r="BF29" s="178">
        <f t="shared" ref="BF29" si="91">BF28-BF27</f>
        <v>794.94999999999982</v>
      </c>
      <c r="BG29" s="178">
        <f t="shared" ref="BG29" si="92">BG28-BG27</f>
        <v>865.01159840000014</v>
      </c>
      <c r="BH29" s="178">
        <f t="shared" ref="BH29" si="93">BH28-BH27</f>
        <v>180.36</v>
      </c>
      <c r="BI29" s="178">
        <f t="shared" ref="BI29" si="94">BI28-BI27</f>
        <v>215.07995200000002</v>
      </c>
      <c r="BJ29" s="178">
        <f t="shared" ref="BJ29" si="95">BJ28-BJ27</f>
        <v>3524.9100000000003</v>
      </c>
      <c r="BK29" s="178">
        <f t="shared" ref="BK29" si="96">BK28-BK27</f>
        <v>3451.2821467000003</v>
      </c>
      <c r="BL29" s="178">
        <f t="shared" ref="BL29" si="97">BL28-BL27</f>
        <v>0</v>
      </c>
      <c r="BM29" s="178">
        <f t="shared" ref="BM29" si="98">BM28-BM27</f>
        <v>0</v>
      </c>
      <c r="BN29" s="178">
        <f t="shared" ref="BN29" si="99">BN28-BN27</f>
        <v>0</v>
      </c>
      <c r="BO29" s="178">
        <f t="shared" ref="BO29" si="100">BO28-BO27</f>
        <v>0</v>
      </c>
      <c r="BP29" s="178">
        <f t="shared" ref="BP29" si="101">BP28-BP27</f>
        <v>0</v>
      </c>
      <c r="BQ29" s="178">
        <f t="shared" ref="BQ29" si="102">BQ28-BQ27</f>
        <v>0</v>
      </c>
      <c r="BR29" s="178">
        <f t="shared" ref="BR29" si="103">BR28-BR27</f>
        <v>4500.22</v>
      </c>
      <c r="BS29" s="178">
        <f t="shared" ref="BS29" si="104">BS28-BS27</f>
        <v>4531.3736970999998</v>
      </c>
      <c r="BT29" s="178">
        <f t="shared" ref="BT29" si="105">BT28-BT27</f>
        <v>785.88900000000012</v>
      </c>
      <c r="BU29" s="178">
        <f t="shared" ref="BU29" si="106">BU28-BU27</f>
        <v>765.98029940000015</v>
      </c>
      <c r="BV29" s="178">
        <f t="shared" ref="BV29" si="107">BV28-BV27</f>
        <v>372.24099999999999</v>
      </c>
      <c r="BW29" s="178">
        <f t="shared" ref="BW29" si="108">BW28-BW27</f>
        <v>359.38587000000001</v>
      </c>
      <c r="BX29" s="178">
        <f t="shared" ref="BX29" si="109">BX28-BX27</f>
        <v>2885.0399999999995</v>
      </c>
      <c r="BY29" s="178">
        <f t="shared" ref="BY29" si="110">BY28-BY27</f>
        <v>2621.1593834000009</v>
      </c>
      <c r="BZ29" s="178">
        <f t="shared" ref="BZ29" si="111">BZ28-BZ27</f>
        <v>0</v>
      </c>
      <c r="CA29" s="178">
        <f t="shared" ref="CA29" si="112">CA28-CA27</f>
        <v>0</v>
      </c>
      <c r="CB29" s="178">
        <f t="shared" ref="CB29" si="113">CB28-CB27</f>
        <v>0</v>
      </c>
      <c r="CC29" s="178">
        <f t="shared" ref="CC29" si="114">CC28-CC27</f>
        <v>0</v>
      </c>
      <c r="CD29" s="178">
        <f t="shared" ref="CD29" si="115">CD28-CD27</f>
        <v>0</v>
      </c>
      <c r="CE29" s="178">
        <f t="shared" ref="CE29" si="116">CE28-CE27</f>
        <v>0</v>
      </c>
      <c r="CF29" s="178">
        <f t="shared" ref="CF29" si="117">CF28-CF27</f>
        <v>4043.1699999999992</v>
      </c>
      <c r="CG29" s="178">
        <f t="shared" ref="CG29" si="118">CG28-CG27</f>
        <v>3746.5255528000012</v>
      </c>
      <c r="CH29" s="178">
        <f t="shared" ref="CH29" si="119">CH28-CH27</f>
        <v>637.93999999999994</v>
      </c>
      <c r="CI29" s="178">
        <f t="shared" ref="CI29" si="120">CI28-CI27</f>
        <v>612.94683710000015</v>
      </c>
      <c r="CJ29" s="178">
        <f t="shared" ref="CJ29" si="121">CJ28-CJ27</f>
        <v>390.3</v>
      </c>
      <c r="CK29" s="178">
        <f t="shared" ref="CK29" si="122">CK28-CK27</f>
        <v>332.75757299999998</v>
      </c>
      <c r="CL29" s="178">
        <f t="shared" ref="CL29" si="123">CL28-CL27</f>
        <v>3830.4399999999987</v>
      </c>
      <c r="CM29" s="178">
        <f t="shared" ref="CM29" si="124">CM28-CM27</f>
        <v>3380.4270414000007</v>
      </c>
      <c r="CN29" s="178">
        <f t="shared" ref="CN29" si="125">CN28-CN27</f>
        <v>0</v>
      </c>
      <c r="CO29" s="178">
        <f t="shared" ref="CO29" si="126">CO28-CO27</f>
        <v>0</v>
      </c>
      <c r="CP29" s="178">
        <f t="shared" ref="CP29" si="127">CP28-CP27</f>
        <v>0</v>
      </c>
      <c r="CQ29" s="178">
        <f t="shared" ref="CQ29" si="128">CQ28-CQ27</f>
        <v>0</v>
      </c>
      <c r="CR29" s="178">
        <f t="shared" ref="CR29" si="129">CR28-CR27</f>
        <v>0</v>
      </c>
      <c r="CS29" s="178">
        <f t="shared" ref="CS29" si="130">CS28-CS27</f>
        <v>0</v>
      </c>
      <c r="CT29" s="178">
        <f t="shared" ref="CT29" si="131">CT28-CT27</f>
        <v>4858.6799999999985</v>
      </c>
      <c r="CU29" s="178">
        <f t="shared" ref="CU29" si="132">CU28-CU27</f>
        <v>4326.1314515000013</v>
      </c>
      <c r="CV29" s="178">
        <f t="shared" ref="CV29" si="133">CV28-CV27</f>
        <v>726.02</v>
      </c>
      <c r="CW29" s="178">
        <f t="shared" ref="CW29" si="134">CW28-CW27</f>
        <v>689.77607890000002</v>
      </c>
      <c r="CX29" s="178">
        <f t="shared" ref="CX29" si="135">CX28-CX27</f>
        <v>157.28000000000003</v>
      </c>
      <c r="CY29" s="178">
        <f t="shared" ref="CY29" si="136">CY28-CY27</f>
        <v>136.88240000000002</v>
      </c>
      <c r="CZ29" s="178">
        <f t="shared" ref="CZ29" si="137">CZ28-CZ27</f>
        <v>4190.7899999999991</v>
      </c>
      <c r="DA29" s="178">
        <f t="shared" ref="DA29" si="138">DA28-DA27</f>
        <v>3405.3513023999999</v>
      </c>
      <c r="DB29" s="178">
        <f t="shared" ref="DB29" si="139">DB28-DB27</f>
        <v>0</v>
      </c>
      <c r="DC29" s="178">
        <f t="shared" ref="DC29" si="140">DC28-DC27</f>
        <v>0</v>
      </c>
      <c r="DD29" s="178">
        <f t="shared" ref="DD29" si="141">DD28-DD27</f>
        <v>0</v>
      </c>
      <c r="DE29" s="178">
        <f t="shared" ref="DE29" si="142">DE28-DE27</f>
        <v>0</v>
      </c>
      <c r="DF29" s="178">
        <f t="shared" ref="DF29" si="143">DF28-DF27</f>
        <v>0</v>
      </c>
      <c r="DG29" s="178">
        <f t="shared" ref="DG29" si="144">DG28-DG27</f>
        <v>0</v>
      </c>
      <c r="DH29" s="178">
        <f t="shared" ref="DH29" si="145">DH28-DH27</f>
        <v>5074.0899999999992</v>
      </c>
      <c r="DI29" s="178">
        <f t="shared" ref="DI29" si="146">DI28-DI27</f>
        <v>4232.0097813000002</v>
      </c>
      <c r="DJ29" s="178">
        <f t="shared" ref="DJ29" si="147">DJ28-DJ27</f>
        <v>885.59999999999991</v>
      </c>
      <c r="DK29" s="178">
        <f t="shared" ref="DK29" si="148">DK28-DK27</f>
        <v>802.91437350000001</v>
      </c>
      <c r="DL29" s="178">
        <f t="shared" ref="DL29" si="149">DL28-DL27</f>
        <v>159.41</v>
      </c>
      <c r="DM29" s="178">
        <f t="shared" ref="DM29" si="150">DM28-DM27</f>
        <v>144.6867</v>
      </c>
      <c r="DN29" s="178">
        <f t="shared" ref="DN29" si="151">DN28-DN27</f>
        <v>5493.78</v>
      </c>
      <c r="DO29" s="178">
        <f t="shared" ref="DO29" si="152">DO28-DO27</f>
        <v>4311.6303341999992</v>
      </c>
      <c r="DP29" s="178">
        <f t="shared" ref="DP29" si="153">DP28-DP27</f>
        <v>0</v>
      </c>
      <c r="DQ29" s="178">
        <f t="shared" ref="DQ29" si="154">DQ28-DQ27</f>
        <v>0</v>
      </c>
      <c r="DR29" s="178">
        <f t="shared" ref="DR29" si="155">DR28-DR27</f>
        <v>0</v>
      </c>
      <c r="DS29" s="178">
        <f t="shared" ref="DS29" si="156">DS28-DS27</f>
        <v>0</v>
      </c>
      <c r="DT29" s="178">
        <f t="shared" ref="DT29" si="157">DT28-DT27</f>
        <v>0</v>
      </c>
      <c r="DU29" s="178">
        <f t="shared" ref="DU29" si="158">DU28-DU27</f>
        <v>0</v>
      </c>
      <c r="DV29" s="178">
        <f t="shared" ref="DV29" si="159">DV28-DV27</f>
        <v>6538.7899999999991</v>
      </c>
      <c r="DW29" s="178">
        <f t="shared" ref="DW29" si="160">DW28-DW27</f>
        <v>5259.2314076999992</v>
      </c>
      <c r="DX29" s="178">
        <f t="shared" ref="DX29" si="161">DX28-DX27</f>
        <v>1111.0700000000002</v>
      </c>
      <c r="DY29" s="178">
        <f t="shared" ref="DY29" si="162">DY28-DY27</f>
        <v>1033.1603462</v>
      </c>
      <c r="DZ29" s="178">
        <f t="shared" ref="DZ29" si="163">DZ28-DZ27</f>
        <v>216.94000000000003</v>
      </c>
      <c r="EA29" s="178">
        <f t="shared" ref="EA29" si="164">EA28-EA27</f>
        <v>198.81354999999999</v>
      </c>
      <c r="EB29" s="178">
        <f t="shared" ref="EB29" si="165">EB28-EB27</f>
        <v>4075.69</v>
      </c>
      <c r="EC29" s="178">
        <f t="shared" ref="EC29" si="166">EC28-EC27</f>
        <v>3312.5011014999995</v>
      </c>
      <c r="ED29" s="178">
        <f t="shared" ref="ED29" si="167">ED28-ED27</f>
        <v>0</v>
      </c>
      <c r="EE29" s="178">
        <f t="shared" ref="EE29" si="168">EE28-EE27</f>
        <v>0</v>
      </c>
      <c r="EF29" s="178">
        <f t="shared" ref="EF29" si="169">EF28-EF27</f>
        <v>0</v>
      </c>
      <c r="EG29" s="178">
        <f t="shared" ref="EG29" si="170">EG28-EG27</f>
        <v>0</v>
      </c>
      <c r="EH29" s="178">
        <f t="shared" ref="EH29" si="171">EH28-EH27</f>
        <v>0</v>
      </c>
      <c r="EI29" s="178">
        <f t="shared" ref="EI29" si="172">EI28-EI27</f>
        <v>0</v>
      </c>
      <c r="EJ29" s="178">
        <f t="shared" ref="EJ29" si="173">EJ28-EJ27</f>
        <v>5403.7000000000007</v>
      </c>
      <c r="EK29" s="178">
        <f t="shared" ref="EK29" si="174">EK28-EK27</f>
        <v>4544.474997700001</v>
      </c>
      <c r="EL29" s="178">
        <f t="shared" ref="EL29" si="175">EL28-EL27</f>
        <v>1066.9499999999998</v>
      </c>
      <c r="EM29" s="178">
        <f t="shared" ref="EM29" si="176">EM28-EM27</f>
        <v>1062.326597</v>
      </c>
      <c r="EN29" s="178">
        <f t="shared" ref="EN29" si="177">EN28-EN27</f>
        <v>297.29999999999995</v>
      </c>
      <c r="EO29" s="178">
        <f t="shared" ref="EO29" si="178">EO28-EO27</f>
        <v>279.36104999999998</v>
      </c>
      <c r="EP29" s="178">
        <f t="shared" ref="EP29" si="179">EP28-EP27</f>
        <v>2770.71</v>
      </c>
      <c r="EQ29" s="178">
        <f t="shared" ref="EQ29" si="180">EQ28-EQ27</f>
        <v>2466.6045898000002</v>
      </c>
      <c r="ER29" s="178">
        <f t="shared" ref="ER29" si="181">ER28-ER27</f>
        <v>0</v>
      </c>
      <c r="ES29" s="178">
        <f t="shared" ref="ES29" si="182">ES28-ES27</f>
        <v>0</v>
      </c>
      <c r="ET29" s="178">
        <f t="shared" ref="ET29" si="183">ET28-ET27</f>
        <v>0</v>
      </c>
      <c r="EU29" s="178">
        <f t="shared" ref="EU29" si="184">EU28-EU27</f>
        <v>0</v>
      </c>
      <c r="EV29" s="178">
        <f t="shared" ref="EV29" si="185">EV28-EV27</f>
        <v>0</v>
      </c>
      <c r="EW29" s="178">
        <f t="shared" ref="EW29" si="186">EW28-EW27</f>
        <v>0</v>
      </c>
      <c r="EX29" s="178">
        <f t="shared" ref="EX29" si="187">EX28-EX27</f>
        <v>4134.9599999999991</v>
      </c>
      <c r="EY29" s="178">
        <f t="shared" ref="EY29" si="188">EY28-EY27</f>
        <v>3808.2922368000004</v>
      </c>
      <c r="EZ29" s="178">
        <f t="shared" ref="EZ29" si="189">EZ28-EZ27</f>
        <v>645.03</v>
      </c>
      <c r="FA29" s="178">
        <f t="shared" ref="FA29" si="190">FA28-FA27</f>
        <v>629.30263339999988</v>
      </c>
      <c r="FB29" s="178">
        <f t="shared" ref="FB29" si="191">FB28-FB27</f>
        <v>40.22</v>
      </c>
      <c r="FC29" s="178">
        <f t="shared" ref="FC29" si="192">FC28-FC27</f>
        <v>42.633200000000002</v>
      </c>
      <c r="FD29" s="178">
        <f t="shared" ref="FD29" si="193">FD28-FD27</f>
        <v>3632.9300000000003</v>
      </c>
      <c r="FE29" s="178">
        <f t="shared" ref="FE29" si="194">FE28-FE27</f>
        <v>3136.8031113000002</v>
      </c>
      <c r="FF29" s="178">
        <f t="shared" ref="FF29" si="195">FF28-FF27</f>
        <v>0</v>
      </c>
      <c r="FG29" s="178">
        <f t="shared" ref="FG29" si="196">FG28-FG27</f>
        <v>0</v>
      </c>
      <c r="FH29" s="178">
        <f t="shared" ref="FH29" si="197">FH28-FH27</f>
        <v>0</v>
      </c>
      <c r="FI29" s="178">
        <f t="shared" ref="FI29" si="198">FI28-FI27</f>
        <v>0</v>
      </c>
      <c r="FJ29" s="178">
        <f t="shared" ref="FJ29" si="199">FJ28-FJ27</f>
        <v>0</v>
      </c>
      <c r="FK29" s="178">
        <f t="shared" ref="FK29" si="200">FK28-FK27</f>
        <v>0</v>
      </c>
      <c r="FL29" s="178">
        <f t="shared" ref="FL29" si="201">FL28-FL27</f>
        <v>4318.18</v>
      </c>
      <c r="FM29" s="178">
        <f t="shared" ref="FM29" si="202">FM28-FM27</f>
        <v>3808.7389447000005</v>
      </c>
      <c r="FN29" s="178">
        <f t="shared" ref="FN29" si="203">FN28-FN27</f>
        <v>10295.548999999999</v>
      </c>
      <c r="FO29" s="178">
        <f t="shared" ref="FO29" si="204">FO28-FO27</f>
        <v>10466.889420100002</v>
      </c>
      <c r="FP29" s="178">
        <f t="shared" ref="FP29" si="205">FP28-FP27</f>
        <v>2668.2509999999993</v>
      </c>
      <c r="FQ29" s="178">
        <f t="shared" ref="FQ29" si="206">FQ28-FQ27</f>
        <v>2764.8971950000005</v>
      </c>
      <c r="FR29" s="178">
        <f t="shared" ref="FR29" si="207">FR28-FR27</f>
        <v>44265.991999999991</v>
      </c>
      <c r="FS29" s="178">
        <f t="shared" ref="FS29" si="208">FS28-FS27</f>
        <v>40075.503196700003</v>
      </c>
      <c r="FT29" s="178">
        <f t="shared" ref="FT29" si="209">FT28-FT27</f>
        <v>57229.791999999994</v>
      </c>
      <c r="FU29" s="178">
        <f t="shared" ref="FU29" si="210">FU28-FU27</f>
        <v>53307.289811800008</v>
      </c>
      <c r="FW29" s="149" t="s">
        <v>51</v>
      </c>
      <c r="FX29" s="231">
        <f t="shared" si="26"/>
        <v>101664.21839282202</v>
      </c>
      <c r="FY29" s="231">
        <f t="shared" si="27"/>
        <v>103622.08034401566</v>
      </c>
      <c r="FZ29" s="231">
        <f t="shared" si="28"/>
        <v>90533.390049634516</v>
      </c>
      <c r="GA29" s="231">
        <f t="shared" si="29"/>
        <v>93146.048498306642</v>
      </c>
    </row>
    <row r="30" spans="1:183"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  <c r="EM30" s="134"/>
      <c r="EN30" s="134"/>
      <c r="EO30" s="134"/>
      <c r="EP30" s="134"/>
      <c r="EQ30" s="134"/>
      <c r="ER30" s="134"/>
      <c r="ES30" s="134"/>
      <c r="ET30" s="134"/>
      <c r="EU30" s="134"/>
      <c r="EV30" s="134"/>
      <c r="EW30" s="134"/>
      <c r="EX30" s="134"/>
      <c r="EY30" s="134"/>
      <c r="EZ30" s="134"/>
      <c r="FA30" s="134"/>
      <c r="FB30" s="134"/>
      <c r="FC30" s="134"/>
      <c r="FD30" s="134"/>
      <c r="FE30" s="134"/>
      <c r="FF30" s="134"/>
      <c r="FG30" s="134"/>
      <c r="FH30" s="134"/>
      <c r="FI30" s="134"/>
      <c r="FJ30" s="134"/>
      <c r="FK30" s="134"/>
      <c r="FL30" s="134"/>
      <c r="FM30" s="134"/>
      <c r="FN30" s="134"/>
      <c r="FO30" s="134"/>
      <c r="FP30" s="134"/>
      <c r="FQ30" s="134"/>
      <c r="FR30" s="134"/>
      <c r="FS30" s="134"/>
      <c r="FT30" s="134"/>
      <c r="FU30" s="134"/>
    </row>
    <row r="31" spans="1:183">
      <c r="A31" s="35" t="s">
        <v>116</v>
      </c>
    </row>
    <row r="32" spans="1:183">
      <c r="A32" s="153" t="s">
        <v>28</v>
      </c>
      <c r="B32" s="413">
        <v>42095</v>
      </c>
      <c r="C32" s="412"/>
      <c r="D32" s="412"/>
      <c r="E32" s="412"/>
      <c r="F32" s="412"/>
      <c r="G32" s="412"/>
      <c r="H32" s="412"/>
      <c r="I32" s="412"/>
      <c r="J32" s="412"/>
      <c r="K32" s="412"/>
      <c r="L32" s="412"/>
      <c r="M32" s="412"/>
      <c r="N32" s="412"/>
      <c r="O32" s="412"/>
      <c r="P32" s="411" t="s">
        <v>160</v>
      </c>
      <c r="Q32" s="412"/>
      <c r="R32" s="412"/>
      <c r="S32" s="412"/>
      <c r="T32" s="412"/>
      <c r="U32" s="412"/>
      <c r="V32" s="412"/>
      <c r="W32" s="412"/>
      <c r="X32" s="412"/>
      <c r="Y32" s="412"/>
      <c r="Z32" s="412"/>
      <c r="AA32" s="412"/>
      <c r="AB32" s="412"/>
      <c r="AC32" s="412"/>
      <c r="AD32" s="411" t="s">
        <v>161</v>
      </c>
      <c r="AE32" s="412"/>
      <c r="AF32" s="412"/>
      <c r="AG32" s="412"/>
      <c r="AH32" s="412"/>
      <c r="AI32" s="412"/>
      <c r="AJ32" s="412"/>
      <c r="AK32" s="412"/>
      <c r="AL32" s="412"/>
      <c r="AM32" s="412"/>
      <c r="AN32" s="412"/>
      <c r="AO32" s="412"/>
      <c r="AP32" s="412"/>
      <c r="AQ32" s="412"/>
      <c r="AR32" s="411" t="s">
        <v>162</v>
      </c>
      <c r="AS32" s="412"/>
      <c r="AT32" s="412"/>
      <c r="AU32" s="412"/>
      <c r="AV32" s="412"/>
      <c r="AW32" s="412"/>
      <c r="AX32" s="412"/>
      <c r="AY32" s="412"/>
      <c r="AZ32" s="412"/>
      <c r="BA32" s="412"/>
      <c r="BB32" s="412"/>
      <c r="BC32" s="412"/>
      <c r="BD32" s="412"/>
      <c r="BE32" s="412"/>
      <c r="BF32" s="411" t="s">
        <v>163</v>
      </c>
      <c r="BG32" s="412"/>
      <c r="BH32" s="412"/>
      <c r="BI32" s="412"/>
      <c r="BJ32" s="412"/>
      <c r="BK32" s="412"/>
      <c r="BL32" s="412"/>
      <c r="BM32" s="412"/>
      <c r="BN32" s="412"/>
      <c r="BO32" s="412"/>
      <c r="BP32" s="412"/>
      <c r="BQ32" s="412"/>
      <c r="BR32" s="412"/>
      <c r="BS32" s="412"/>
      <c r="BT32" s="411" t="s">
        <v>164</v>
      </c>
      <c r="BU32" s="412"/>
      <c r="BV32" s="412"/>
      <c r="BW32" s="412"/>
      <c r="BX32" s="412"/>
      <c r="BY32" s="412"/>
      <c r="BZ32" s="412"/>
      <c r="CA32" s="412"/>
      <c r="CB32" s="412"/>
      <c r="CC32" s="412"/>
      <c r="CD32" s="412"/>
      <c r="CE32" s="412"/>
      <c r="CF32" s="412"/>
      <c r="CG32" s="412"/>
      <c r="CH32" s="411" t="s">
        <v>165</v>
      </c>
      <c r="CI32" s="412"/>
      <c r="CJ32" s="412"/>
      <c r="CK32" s="412"/>
      <c r="CL32" s="412"/>
      <c r="CM32" s="412"/>
      <c r="CN32" s="412"/>
      <c r="CO32" s="412"/>
      <c r="CP32" s="412"/>
      <c r="CQ32" s="412"/>
      <c r="CR32" s="412"/>
      <c r="CS32" s="412"/>
      <c r="CT32" s="412"/>
      <c r="CU32" s="412"/>
      <c r="CV32" s="411" t="s">
        <v>166</v>
      </c>
      <c r="CW32" s="412"/>
      <c r="CX32" s="412"/>
      <c r="CY32" s="412"/>
      <c r="CZ32" s="412"/>
      <c r="DA32" s="412"/>
      <c r="DB32" s="412"/>
      <c r="DC32" s="412"/>
      <c r="DD32" s="412"/>
      <c r="DE32" s="412"/>
      <c r="DF32" s="412"/>
      <c r="DG32" s="412"/>
      <c r="DH32" s="412"/>
      <c r="DI32" s="412"/>
      <c r="DJ32" s="411" t="s">
        <v>167</v>
      </c>
      <c r="DK32" s="412"/>
      <c r="DL32" s="412"/>
      <c r="DM32" s="412"/>
      <c r="DN32" s="412"/>
      <c r="DO32" s="412"/>
      <c r="DP32" s="412"/>
      <c r="DQ32" s="412"/>
      <c r="DR32" s="412"/>
      <c r="DS32" s="412"/>
      <c r="DT32" s="412"/>
      <c r="DU32" s="412"/>
      <c r="DV32" s="412"/>
      <c r="DW32" s="412"/>
      <c r="DX32" s="411" t="s">
        <v>168</v>
      </c>
      <c r="DY32" s="412"/>
      <c r="DZ32" s="412"/>
      <c r="EA32" s="412"/>
      <c r="EB32" s="412"/>
      <c r="EC32" s="412"/>
      <c r="ED32" s="412"/>
      <c r="EE32" s="412"/>
      <c r="EF32" s="412"/>
      <c r="EG32" s="412"/>
      <c r="EH32" s="412"/>
      <c r="EI32" s="412"/>
      <c r="EJ32" s="412"/>
      <c r="EK32" s="412"/>
      <c r="EL32" s="411" t="s">
        <v>169</v>
      </c>
      <c r="EM32" s="412"/>
      <c r="EN32" s="412"/>
      <c r="EO32" s="412"/>
      <c r="EP32" s="412"/>
      <c r="EQ32" s="412"/>
      <c r="ER32" s="412"/>
      <c r="ES32" s="412"/>
      <c r="ET32" s="412"/>
      <c r="EU32" s="412"/>
      <c r="EV32" s="412"/>
      <c r="EW32" s="412"/>
      <c r="EX32" s="412"/>
      <c r="EY32" s="412"/>
      <c r="EZ32" s="411" t="s">
        <v>170</v>
      </c>
      <c r="FA32" s="412"/>
      <c r="FB32" s="412"/>
      <c r="FC32" s="412"/>
      <c r="FD32" s="412"/>
      <c r="FE32" s="412"/>
      <c r="FF32" s="412"/>
      <c r="FG32" s="412"/>
      <c r="FH32" s="412"/>
      <c r="FI32" s="412"/>
      <c r="FJ32" s="412"/>
      <c r="FK32" s="412"/>
      <c r="FL32" s="412"/>
      <c r="FM32" s="412"/>
      <c r="FN32" s="413" t="s">
        <v>20</v>
      </c>
      <c r="FO32" s="412"/>
      <c r="FP32" s="412"/>
      <c r="FQ32" s="412"/>
      <c r="FR32" s="412"/>
      <c r="FS32" s="412"/>
      <c r="FT32" s="412"/>
      <c r="FU32" s="412"/>
    </row>
    <row r="33" spans="1:187">
      <c r="A33" s="351"/>
      <c r="B33" s="412" t="s">
        <v>25</v>
      </c>
      <c r="C33" s="412"/>
      <c r="D33" s="412" t="s">
        <v>26</v>
      </c>
      <c r="E33" s="412"/>
      <c r="F33" s="412" t="s">
        <v>27</v>
      </c>
      <c r="G33" s="412"/>
      <c r="H33" s="412" t="s">
        <v>25</v>
      </c>
      <c r="I33" s="412"/>
      <c r="J33" s="412" t="s">
        <v>26</v>
      </c>
      <c r="K33" s="412"/>
      <c r="L33" s="412" t="s">
        <v>27</v>
      </c>
      <c r="M33" s="412"/>
      <c r="N33" s="412" t="s">
        <v>20</v>
      </c>
      <c r="O33" s="412"/>
      <c r="P33" s="412" t="s">
        <v>25</v>
      </c>
      <c r="Q33" s="412"/>
      <c r="R33" s="412" t="s">
        <v>26</v>
      </c>
      <c r="S33" s="412"/>
      <c r="T33" s="412" t="s">
        <v>27</v>
      </c>
      <c r="U33" s="412"/>
      <c r="V33" s="412" t="s">
        <v>25</v>
      </c>
      <c r="W33" s="412"/>
      <c r="X33" s="412" t="s">
        <v>26</v>
      </c>
      <c r="Y33" s="412"/>
      <c r="Z33" s="412" t="s">
        <v>27</v>
      </c>
      <c r="AA33" s="412"/>
      <c r="AB33" s="412" t="s">
        <v>20</v>
      </c>
      <c r="AC33" s="412"/>
      <c r="AD33" s="412" t="s">
        <v>25</v>
      </c>
      <c r="AE33" s="412"/>
      <c r="AF33" s="412" t="s">
        <v>26</v>
      </c>
      <c r="AG33" s="412"/>
      <c r="AH33" s="412" t="s">
        <v>27</v>
      </c>
      <c r="AI33" s="412"/>
      <c r="AJ33" s="412" t="s">
        <v>25</v>
      </c>
      <c r="AK33" s="412"/>
      <c r="AL33" s="412" t="s">
        <v>26</v>
      </c>
      <c r="AM33" s="412"/>
      <c r="AN33" s="412" t="s">
        <v>27</v>
      </c>
      <c r="AO33" s="412"/>
      <c r="AP33" s="412" t="s">
        <v>20</v>
      </c>
      <c r="AQ33" s="412"/>
      <c r="AR33" s="412" t="s">
        <v>25</v>
      </c>
      <c r="AS33" s="412"/>
      <c r="AT33" s="412" t="s">
        <v>26</v>
      </c>
      <c r="AU33" s="412"/>
      <c r="AV33" s="412" t="s">
        <v>27</v>
      </c>
      <c r="AW33" s="412"/>
      <c r="AX33" s="351" t="s">
        <v>25</v>
      </c>
      <c r="AY33" s="351"/>
      <c r="AZ33" s="351" t="s">
        <v>26</v>
      </c>
      <c r="BA33" s="351"/>
      <c r="BB33" s="351" t="s">
        <v>27</v>
      </c>
      <c r="BC33" s="351"/>
      <c r="BD33" s="412" t="s">
        <v>20</v>
      </c>
      <c r="BE33" s="412"/>
      <c r="BF33" s="412" t="s">
        <v>25</v>
      </c>
      <c r="BG33" s="412"/>
      <c r="BH33" s="412" t="s">
        <v>26</v>
      </c>
      <c r="BI33" s="412"/>
      <c r="BJ33" s="412" t="s">
        <v>27</v>
      </c>
      <c r="BK33" s="412"/>
      <c r="BL33" s="351" t="s">
        <v>25</v>
      </c>
      <c r="BM33" s="351"/>
      <c r="BN33" s="351" t="s">
        <v>26</v>
      </c>
      <c r="BO33" s="351"/>
      <c r="BP33" s="351" t="s">
        <v>27</v>
      </c>
      <c r="BQ33" s="351"/>
      <c r="BR33" s="412" t="s">
        <v>20</v>
      </c>
      <c r="BS33" s="412"/>
      <c r="BT33" s="412" t="s">
        <v>25</v>
      </c>
      <c r="BU33" s="412"/>
      <c r="BV33" s="412" t="s">
        <v>26</v>
      </c>
      <c r="BW33" s="412"/>
      <c r="BX33" s="412" t="s">
        <v>27</v>
      </c>
      <c r="BY33" s="412"/>
      <c r="BZ33" s="351" t="s">
        <v>25</v>
      </c>
      <c r="CA33" s="351"/>
      <c r="CB33" s="351" t="s">
        <v>26</v>
      </c>
      <c r="CC33" s="351"/>
      <c r="CD33" s="351" t="s">
        <v>27</v>
      </c>
      <c r="CE33" s="351"/>
      <c r="CF33" s="412" t="s">
        <v>20</v>
      </c>
      <c r="CG33" s="412"/>
      <c r="CH33" s="412" t="s">
        <v>25</v>
      </c>
      <c r="CI33" s="412"/>
      <c r="CJ33" s="412" t="s">
        <v>26</v>
      </c>
      <c r="CK33" s="412"/>
      <c r="CL33" s="412" t="s">
        <v>27</v>
      </c>
      <c r="CM33" s="412"/>
      <c r="CN33" s="412" t="s">
        <v>25</v>
      </c>
      <c r="CO33" s="412"/>
      <c r="CP33" s="412" t="s">
        <v>26</v>
      </c>
      <c r="CQ33" s="412"/>
      <c r="CR33" s="412" t="s">
        <v>27</v>
      </c>
      <c r="CS33" s="412"/>
      <c r="CT33" s="412" t="s">
        <v>20</v>
      </c>
      <c r="CU33" s="412"/>
      <c r="CV33" s="412" t="s">
        <v>25</v>
      </c>
      <c r="CW33" s="412"/>
      <c r="CX33" s="412" t="s">
        <v>26</v>
      </c>
      <c r="CY33" s="412"/>
      <c r="CZ33" s="412" t="s">
        <v>27</v>
      </c>
      <c r="DA33" s="412"/>
      <c r="DB33" s="412" t="s">
        <v>25</v>
      </c>
      <c r="DC33" s="412"/>
      <c r="DD33" s="412" t="s">
        <v>26</v>
      </c>
      <c r="DE33" s="412"/>
      <c r="DF33" s="412" t="s">
        <v>27</v>
      </c>
      <c r="DG33" s="412"/>
      <c r="DH33" s="412" t="s">
        <v>20</v>
      </c>
      <c r="DI33" s="412"/>
      <c r="DJ33" s="412" t="s">
        <v>25</v>
      </c>
      <c r="DK33" s="412"/>
      <c r="DL33" s="412" t="s">
        <v>26</v>
      </c>
      <c r="DM33" s="412"/>
      <c r="DN33" s="412" t="s">
        <v>27</v>
      </c>
      <c r="DO33" s="412"/>
      <c r="DP33" s="412" t="s">
        <v>25</v>
      </c>
      <c r="DQ33" s="412"/>
      <c r="DR33" s="412" t="s">
        <v>26</v>
      </c>
      <c r="DS33" s="412"/>
      <c r="DT33" s="412" t="s">
        <v>27</v>
      </c>
      <c r="DU33" s="412"/>
      <c r="DV33" s="412" t="s">
        <v>20</v>
      </c>
      <c r="DW33" s="412"/>
      <c r="DX33" s="412" t="s">
        <v>25</v>
      </c>
      <c r="DY33" s="412"/>
      <c r="DZ33" s="412" t="s">
        <v>26</v>
      </c>
      <c r="EA33" s="412"/>
      <c r="EB33" s="412" t="s">
        <v>27</v>
      </c>
      <c r="EC33" s="412"/>
      <c r="ED33" s="412" t="s">
        <v>25</v>
      </c>
      <c r="EE33" s="412"/>
      <c r="EF33" s="412" t="s">
        <v>26</v>
      </c>
      <c r="EG33" s="412"/>
      <c r="EH33" s="412" t="s">
        <v>27</v>
      </c>
      <c r="EI33" s="412"/>
      <c r="EJ33" s="412" t="s">
        <v>20</v>
      </c>
      <c r="EK33" s="412"/>
      <c r="EL33" s="412" t="s">
        <v>25</v>
      </c>
      <c r="EM33" s="412"/>
      <c r="EN33" s="412" t="s">
        <v>26</v>
      </c>
      <c r="EO33" s="412"/>
      <c r="EP33" s="412" t="s">
        <v>27</v>
      </c>
      <c r="EQ33" s="412"/>
      <c r="ER33" s="412" t="s">
        <v>25</v>
      </c>
      <c r="ES33" s="412"/>
      <c r="ET33" s="412" t="s">
        <v>26</v>
      </c>
      <c r="EU33" s="412"/>
      <c r="EV33" s="412" t="s">
        <v>27</v>
      </c>
      <c r="EW33" s="412"/>
      <c r="EX33" s="412" t="s">
        <v>20</v>
      </c>
      <c r="EY33" s="412"/>
      <c r="EZ33" s="412" t="s">
        <v>25</v>
      </c>
      <c r="FA33" s="412"/>
      <c r="FB33" s="412" t="s">
        <v>26</v>
      </c>
      <c r="FC33" s="412"/>
      <c r="FD33" s="412" t="s">
        <v>27</v>
      </c>
      <c r="FE33" s="412"/>
      <c r="FF33" s="412" t="s">
        <v>25</v>
      </c>
      <c r="FG33" s="412"/>
      <c r="FH33" s="412" t="s">
        <v>26</v>
      </c>
      <c r="FI33" s="412"/>
      <c r="FJ33" s="412" t="s">
        <v>27</v>
      </c>
      <c r="FK33" s="412"/>
      <c r="FL33" s="412" t="s">
        <v>20</v>
      </c>
      <c r="FM33" s="412"/>
      <c r="FN33" s="412" t="s">
        <v>25</v>
      </c>
      <c r="FO33" s="412"/>
      <c r="FP33" s="412" t="s">
        <v>26</v>
      </c>
      <c r="FQ33" s="412"/>
      <c r="FR33" s="412" t="s">
        <v>27</v>
      </c>
      <c r="FS33" s="412"/>
      <c r="FT33" s="412" t="s">
        <v>20</v>
      </c>
      <c r="FU33" s="412"/>
    </row>
    <row r="34" spans="1:187" ht="36">
      <c r="A34" s="175" t="s">
        <v>29</v>
      </c>
      <c r="B34" s="175" t="s">
        <v>30</v>
      </c>
      <c r="C34" s="175" t="s">
        <v>31</v>
      </c>
      <c r="D34" s="175" t="s">
        <v>30</v>
      </c>
      <c r="E34" s="175" t="s">
        <v>31</v>
      </c>
      <c r="F34" s="175" t="s">
        <v>30</v>
      </c>
      <c r="G34" s="175" t="s">
        <v>31</v>
      </c>
      <c r="H34" s="175" t="s">
        <v>30</v>
      </c>
      <c r="I34" s="175" t="s">
        <v>31</v>
      </c>
      <c r="J34" s="175" t="s">
        <v>30</v>
      </c>
      <c r="K34" s="175" t="s">
        <v>31</v>
      </c>
      <c r="L34" s="175" t="s">
        <v>30</v>
      </c>
      <c r="M34" s="175" t="s">
        <v>31</v>
      </c>
      <c r="N34" s="175" t="s">
        <v>30</v>
      </c>
      <c r="O34" s="175" t="s">
        <v>31</v>
      </c>
      <c r="P34" s="175" t="s">
        <v>30</v>
      </c>
      <c r="Q34" s="175" t="s">
        <v>31</v>
      </c>
      <c r="R34" s="175" t="s">
        <v>30</v>
      </c>
      <c r="S34" s="175" t="s">
        <v>31</v>
      </c>
      <c r="T34" s="175" t="s">
        <v>30</v>
      </c>
      <c r="U34" s="175" t="s">
        <v>31</v>
      </c>
      <c r="V34" s="175" t="s">
        <v>30</v>
      </c>
      <c r="W34" s="175" t="s">
        <v>31</v>
      </c>
      <c r="X34" s="175" t="s">
        <v>30</v>
      </c>
      <c r="Y34" s="175" t="s">
        <v>31</v>
      </c>
      <c r="Z34" s="175" t="s">
        <v>30</v>
      </c>
      <c r="AA34" s="175" t="s">
        <v>31</v>
      </c>
      <c r="AB34" s="175" t="s">
        <v>30</v>
      </c>
      <c r="AC34" s="175" t="s">
        <v>31</v>
      </c>
      <c r="AD34" s="175" t="s">
        <v>30</v>
      </c>
      <c r="AE34" s="175" t="s">
        <v>31</v>
      </c>
      <c r="AF34" s="175" t="s">
        <v>30</v>
      </c>
      <c r="AG34" s="175" t="s">
        <v>31</v>
      </c>
      <c r="AH34" s="175" t="s">
        <v>30</v>
      </c>
      <c r="AI34" s="175" t="s">
        <v>31</v>
      </c>
      <c r="AJ34" s="175" t="s">
        <v>30</v>
      </c>
      <c r="AK34" s="175" t="s">
        <v>31</v>
      </c>
      <c r="AL34" s="175" t="s">
        <v>30</v>
      </c>
      <c r="AM34" s="175" t="s">
        <v>31</v>
      </c>
      <c r="AN34" s="175" t="s">
        <v>30</v>
      </c>
      <c r="AO34" s="175" t="s">
        <v>31</v>
      </c>
      <c r="AP34" s="175" t="s">
        <v>30</v>
      </c>
      <c r="AQ34" s="175" t="s">
        <v>31</v>
      </c>
      <c r="AR34" s="175" t="s">
        <v>30</v>
      </c>
      <c r="AS34" s="175" t="s">
        <v>31</v>
      </c>
      <c r="AT34" s="175" t="s">
        <v>30</v>
      </c>
      <c r="AU34" s="175" t="s">
        <v>31</v>
      </c>
      <c r="AV34" s="175" t="s">
        <v>30</v>
      </c>
      <c r="AW34" s="175" t="s">
        <v>31</v>
      </c>
      <c r="AX34" s="175" t="s">
        <v>30</v>
      </c>
      <c r="AY34" s="175" t="s">
        <v>31</v>
      </c>
      <c r="AZ34" s="175" t="s">
        <v>30</v>
      </c>
      <c r="BA34" s="175" t="s">
        <v>31</v>
      </c>
      <c r="BB34" s="175" t="s">
        <v>30</v>
      </c>
      <c r="BC34" s="175" t="s">
        <v>31</v>
      </c>
      <c r="BD34" s="175" t="s">
        <v>30</v>
      </c>
      <c r="BE34" s="175" t="s">
        <v>31</v>
      </c>
      <c r="BF34" s="175" t="s">
        <v>30</v>
      </c>
      <c r="BG34" s="175" t="s">
        <v>31</v>
      </c>
      <c r="BH34" s="175" t="s">
        <v>30</v>
      </c>
      <c r="BI34" s="175" t="s">
        <v>31</v>
      </c>
      <c r="BJ34" s="175" t="s">
        <v>30</v>
      </c>
      <c r="BK34" s="175" t="s">
        <v>31</v>
      </c>
      <c r="BL34" s="175" t="s">
        <v>30</v>
      </c>
      <c r="BM34" s="175" t="s">
        <v>31</v>
      </c>
      <c r="BN34" s="175" t="s">
        <v>30</v>
      </c>
      <c r="BO34" s="175" t="s">
        <v>31</v>
      </c>
      <c r="BP34" s="175" t="s">
        <v>30</v>
      </c>
      <c r="BQ34" s="175" t="s">
        <v>31</v>
      </c>
      <c r="BR34" s="175" t="s">
        <v>30</v>
      </c>
      <c r="BS34" s="175" t="s">
        <v>31</v>
      </c>
      <c r="BT34" s="175" t="s">
        <v>30</v>
      </c>
      <c r="BU34" s="175" t="s">
        <v>31</v>
      </c>
      <c r="BV34" s="175" t="s">
        <v>30</v>
      </c>
      <c r="BW34" s="175" t="s">
        <v>31</v>
      </c>
      <c r="BX34" s="175" t="s">
        <v>30</v>
      </c>
      <c r="BY34" s="175" t="s">
        <v>31</v>
      </c>
      <c r="BZ34" s="175" t="s">
        <v>30</v>
      </c>
      <c r="CA34" s="175" t="s">
        <v>31</v>
      </c>
      <c r="CB34" s="175" t="s">
        <v>30</v>
      </c>
      <c r="CC34" s="175" t="s">
        <v>31</v>
      </c>
      <c r="CD34" s="175" t="s">
        <v>30</v>
      </c>
      <c r="CE34" s="175" t="s">
        <v>31</v>
      </c>
      <c r="CF34" s="175" t="s">
        <v>30</v>
      </c>
      <c r="CG34" s="175" t="s">
        <v>31</v>
      </c>
      <c r="CH34" s="175" t="s">
        <v>30</v>
      </c>
      <c r="CI34" s="175" t="s">
        <v>31</v>
      </c>
      <c r="CJ34" s="175" t="s">
        <v>30</v>
      </c>
      <c r="CK34" s="175" t="s">
        <v>31</v>
      </c>
      <c r="CL34" s="175" t="s">
        <v>30</v>
      </c>
      <c r="CM34" s="175" t="s">
        <v>31</v>
      </c>
      <c r="CN34" s="175" t="s">
        <v>30</v>
      </c>
      <c r="CO34" s="175" t="s">
        <v>31</v>
      </c>
      <c r="CP34" s="175" t="s">
        <v>30</v>
      </c>
      <c r="CQ34" s="175" t="s">
        <v>31</v>
      </c>
      <c r="CR34" s="175" t="s">
        <v>30</v>
      </c>
      <c r="CS34" s="175" t="s">
        <v>31</v>
      </c>
      <c r="CT34" s="175" t="s">
        <v>30</v>
      </c>
      <c r="CU34" s="175" t="s">
        <v>31</v>
      </c>
      <c r="CV34" s="175" t="s">
        <v>30</v>
      </c>
      <c r="CW34" s="175" t="s">
        <v>31</v>
      </c>
      <c r="CX34" s="175" t="s">
        <v>30</v>
      </c>
      <c r="CY34" s="175" t="s">
        <v>31</v>
      </c>
      <c r="CZ34" s="175" t="s">
        <v>30</v>
      </c>
      <c r="DA34" s="175" t="s">
        <v>31</v>
      </c>
      <c r="DB34" s="175" t="s">
        <v>30</v>
      </c>
      <c r="DC34" s="175" t="s">
        <v>31</v>
      </c>
      <c r="DD34" s="175" t="s">
        <v>30</v>
      </c>
      <c r="DE34" s="175" t="s">
        <v>31</v>
      </c>
      <c r="DF34" s="175" t="s">
        <v>30</v>
      </c>
      <c r="DG34" s="175" t="s">
        <v>31</v>
      </c>
      <c r="DH34" s="175" t="s">
        <v>30</v>
      </c>
      <c r="DI34" s="175" t="s">
        <v>31</v>
      </c>
      <c r="DJ34" s="175" t="s">
        <v>30</v>
      </c>
      <c r="DK34" s="175" t="s">
        <v>31</v>
      </c>
      <c r="DL34" s="175" t="s">
        <v>30</v>
      </c>
      <c r="DM34" s="175" t="s">
        <v>31</v>
      </c>
      <c r="DN34" s="175" t="s">
        <v>30</v>
      </c>
      <c r="DO34" s="175" t="s">
        <v>31</v>
      </c>
      <c r="DP34" s="175" t="s">
        <v>30</v>
      </c>
      <c r="DQ34" s="175" t="s">
        <v>31</v>
      </c>
      <c r="DR34" s="175" t="s">
        <v>30</v>
      </c>
      <c r="DS34" s="175" t="s">
        <v>31</v>
      </c>
      <c r="DT34" s="175" t="s">
        <v>30</v>
      </c>
      <c r="DU34" s="175" t="s">
        <v>31</v>
      </c>
      <c r="DV34" s="175" t="s">
        <v>30</v>
      </c>
      <c r="DW34" s="175" t="s">
        <v>31</v>
      </c>
      <c r="DX34" s="175" t="s">
        <v>30</v>
      </c>
      <c r="DY34" s="175" t="s">
        <v>31</v>
      </c>
      <c r="DZ34" s="175" t="s">
        <v>30</v>
      </c>
      <c r="EA34" s="175" t="s">
        <v>31</v>
      </c>
      <c r="EB34" s="175" t="s">
        <v>30</v>
      </c>
      <c r="EC34" s="175" t="s">
        <v>31</v>
      </c>
      <c r="ED34" s="175" t="s">
        <v>30</v>
      </c>
      <c r="EE34" s="175" t="s">
        <v>31</v>
      </c>
      <c r="EF34" s="175" t="s">
        <v>30</v>
      </c>
      <c r="EG34" s="175" t="s">
        <v>31</v>
      </c>
      <c r="EH34" s="175" t="s">
        <v>30</v>
      </c>
      <c r="EI34" s="175" t="s">
        <v>31</v>
      </c>
      <c r="EJ34" s="175" t="s">
        <v>30</v>
      </c>
      <c r="EK34" s="175" t="s">
        <v>31</v>
      </c>
      <c r="EL34" s="175" t="s">
        <v>30</v>
      </c>
      <c r="EM34" s="175" t="s">
        <v>31</v>
      </c>
      <c r="EN34" s="175" t="s">
        <v>30</v>
      </c>
      <c r="EO34" s="175" t="s">
        <v>31</v>
      </c>
      <c r="EP34" s="175" t="s">
        <v>30</v>
      </c>
      <c r="EQ34" s="175" t="s">
        <v>31</v>
      </c>
      <c r="ER34" s="175" t="s">
        <v>30</v>
      </c>
      <c r="ES34" s="175" t="s">
        <v>31</v>
      </c>
      <c r="ET34" s="175" t="s">
        <v>30</v>
      </c>
      <c r="EU34" s="175" t="s">
        <v>31</v>
      </c>
      <c r="EV34" s="175" t="s">
        <v>30</v>
      </c>
      <c r="EW34" s="175" t="s">
        <v>31</v>
      </c>
      <c r="EX34" s="175" t="s">
        <v>30</v>
      </c>
      <c r="EY34" s="175" t="s">
        <v>31</v>
      </c>
      <c r="EZ34" s="175" t="s">
        <v>30</v>
      </c>
      <c r="FA34" s="175" t="s">
        <v>31</v>
      </c>
      <c r="FB34" s="175" t="s">
        <v>30</v>
      </c>
      <c r="FC34" s="175" t="s">
        <v>31</v>
      </c>
      <c r="FD34" s="175" t="s">
        <v>30</v>
      </c>
      <c r="FE34" s="175" t="s">
        <v>31</v>
      </c>
      <c r="FF34" s="175" t="s">
        <v>30</v>
      </c>
      <c r="FG34" s="175" t="s">
        <v>31</v>
      </c>
      <c r="FH34" s="175" t="s">
        <v>30</v>
      </c>
      <c r="FI34" s="175" t="s">
        <v>31</v>
      </c>
      <c r="FJ34" s="175" t="s">
        <v>30</v>
      </c>
      <c r="FK34" s="175" t="s">
        <v>31</v>
      </c>
      <c r="FL34" s="175" t="s">
        <v>30</v>
      </c>
      <c r="FM34" s="175" t="s">
        <v>31</v>
      </c>
      <c r="FN34" s="175" t="s">
        <v>30</v>
      </c>
      <c r="FO34" s="175" t="s">
        <v>31</v>
      </c>
      <c r="FP34" s="175" t="s">
        <v>30</v>
      </c>
      <c r="FQ34" s="175" t="s">
        <v>31</v>
      </c>
      <c r="FR34" s="175" t="s">
        <v>30</v>
      </c>
      <c r="FS34" s="175" t="s">
        <v>31</v>
      </c>
      <c r="FT34" s="175" t="s">
        <v>30</v>
      </c>
      <c r="FU34" s="175" t="s">
        <v>31</v>
      </c>
      <c r="FW34" s="234" t="s">
        <v>185</v>
      </c>
      <c r="FX34" s="233" t="s">
        <v>25</v>
      </c>
      <c r="FY34" s="233" t="s">
        <v>26</v>
      </c>
      <c r="FZ34" s="233" t="s">
        <v>27</v>
      </c>
      <c r="GA34" s="233" t="s">
        <v>20</v>
      </c>
    </row>
    <row r="35" spans="1:187">
      <c r="A35" s="146" t="s">
        <v>17</v>
      </c>
      <c r="B35" s="171">
        <v>0</v>
      </c>
      <c r="C35" s="171">
        <v>0</v>
      </c>
      <c r="D35" s="171">
        <v>0</v>
      </c>
      <c r="E35" s="171">
        <v>0</v>
      </c>
      <c r="F35" s="171">
        <v>0</v>
      </c>
      <c r="G35" s="171">
        <v>0</v>
      </c>
      <c r="H35" s="171">
        <v>0</v>
      </c>
      <c r="I35" s="171">
        <v>0</v>
      </c>
      <c r="J35" s="171">
        <v>0</v>
      </c>
      <c r="K35" s="171">
        <v>0</v>
      </c>
      <c r="L35" s="171">
        <v>0</v>
      </c>
      <c r="M35" s="171">
        <v>0</v>
      </c>
      <c r="N35" s="171">
        <v>0</v>
      </c>
      <c r="O35" s="171">
        <v>0</v>
      </c>
      <c r="P35" s="171">
        <v>0</v>
      </c>
      <c r="Q35" s="171">
        <v>0</v>
      </c>
      <c r="R35" s="171">
        <v>0</v>
      </c>
      <c r="S35" s="171">
        <v>0</v>
      </c>
      <c r="T35" s="171">
        <v>0</v>
      </c>
      <c r="U35" s="171">
        <v>0</v>
      </c>
      <c r="V35" s="171">
        <v>0</v>
      </c>
      <c r="W35" s="171">
        <v>0</v>
      </c>
      <c r="X35" s="171">
        <v>0</v>
      </c>
      <c r="Y35" s="171">
        <v>0</v>
      </c>
      <c r="Z35" s="171">
        <v>0</v>
      </c>
      <c r="AA35" s="171">
        <v>0</v>
      </c>
      <c r="AB35" s="171">
        <v>0</v>
      </c>
      <c r="AC35" s="171">
        <v>0</v>
      </c>
      <c r="AD35" s="171">
        <v>0</v>
      </c>
      <c r="AE35" s="171">
        <v>0</v>
      </c>
      <c r="AF35" s="171">
        <v>0</v>
      </c>
      <c r="AG35" s="171">
        <v>0</v>
      </c>
      <c r="AH35" s="171">
        <v>0</v>
      </c>
      <c r="AI35" s="171">
        <v>0</v>
      </c>
      <c r="AJ35" s="171">
        <v>0</v>
      </c>
      <c r="AK35" s="171">
        <v>0</v>
      </c>
      <c r="AL35" s="171">
        <v>0</v>
      </c>
      <c r="AM35" s="171">
        <v>0</v>
      </c>
      <c r="AN35" s="171">
        <v>0</v>
      </c>
      <c r="AO35" s="171">
        <v>0</v>
      </c>
      <c r="AP35" s="171">
        <v>0</v>
      </c>
      <c r="AQ35" s="171">
        <v>0</v>
      </c>
      <c r="AR35" s="171">
        <v>0</v>
      </c>
      <c r="AS35" s="171">
        <v>0</v>
      </c>
      <c r="AT35" s="171">
        <v>0</v>
      </c>
      <c r="AU35" s="171">
        <v>0</v>
      </c>
      <c r="AV35" s="171">
        <v>0</v>
      </c>
      <c r="AW35" s="171">
        <v>0</v>
      </c>
      <c r="AX35" s="171">
        <v>0</v>
      </c>
      <c r="AY35" s="171">
        <v>0</v>
      </c>
      <c r="AZ35" s="171">
        <v>0</v>
      </c>
      <c r="BA35" s="171">
        <v>0</v>
      </c>
      <c r="BB35" s="171">
        <v>0</v>
      </c>
      <c r="BC35" s="171">
        <v>0</v>
      </c>
      <c r="BD35" s="171">
        <v>0</v>
      </c>
      <c r="BE35" s="171">
        <v>0</v>
      </c>
      <c r="BF35" s="171">
        <v>0</v>
      </c>
      <c r="BG35" s="171">
        <v>0</v>
      </c>
      <c r="BH35" s="171">
        <v>0</v>
      </c>
      <c r="BI35" s="171">
        <v>0</v>
      </c>
      <c r="BJ35" s="171">
        <v>0</v>
      </c>
      <c r="BK35" s="171">
        <v>0</v>
      </c>
      <c r="BL35" s="171">
        <v>0</v>
      </c>
      <c r="BM35" s="171">
        <v>0</v>
      </c>
      <c r="BN35" s="171">
        <v>0</v>
      </c>
      <c r="BO35" s="171">
        <v>0</v>
      </c>
      <c r="BP35" s="171">
        <v>0</v>
      </c>
      <c r="BQ35" s="171">
        <v>0</v>
      </c>
      <c r="BR35" s="171">
        <v>0</v>
      </c>
      <c r="BS35" s="171">
        <v>0</v>
      </c>
      <c r="BT35" s="171">
        <v>16.66</v>
      </c>
      <c r="BU35" s="171">
        <v>33.896236100000003</v>
      </c>
      <c r="BV35" s="171">
        <v>0</v>
      </c>
      <c r="BW35" s="171">
        <v>0</v>
      </c>
      <c r="BX35" s="171">
        <v>0</v>
      </c>
      <c r="BY35" s="171">
        <v>0</v>
      </c>
      <c r="BZ35" s="171">
        <v>0</v>
      </c>
      <c r="CA35" s="171">
        <v>0</v>
      </c>
      <c r="CB35" s="171">
        <v>0</v>
      </c>
      <c r="CC35" s="171">
        <v>0</v>
      </c>
      <c r="CD35" s="171">
        <v>0</v>
      </c>
      <c r="CE35" s="171">
        <v>0</v>
      </c>
      <c r="CF35" s="171">
        <v>16.66</v>
      </c>
      <c r="CG35" s="171">
        <v>33.896236100000003</v>
      </c>
      <c r="CH35" s="171">
        <v>0</v>
      </c>
      <c r="CI35" s="171">
        <v>0</v>
      </c>
      <c r="CJ35" s="171">
        <v>0</v>
      </c>
      <c r="CK35" s="171">
        <v>0</v>
      </c>
      <c r="CL35" s="171">
        <v>0</v>
      </c>
      <c r="CM35" s="171">
        <v>0</v>
      </c>
      <c r="CN35" s="171">
        <v>0</v>
      </c>
      <c r="CO35" s="171">
        <v>0</v>
      </c>
      <c r="CP35" s="171">
        <v>0</v>
      </c>
      <c r="CQ35" s="171">
        <v>0</v>
      </c>
      <c r="CR35" s="171">
        <v>0</v>
      </c>
      <c r="CS35" s="171">
        <v>0</v>
      </c>
      <c r="CT35" s="171">
        <v>0</v>
      </c>
      <c r="CU35" s="171">
        <v>0</v>
      </c>
      <c r="CV35" s="171">
        <v>0</v>
      </c>
      <c r="CW35" s="171">
        <v>0</v>
      </c>
      <c r="CX35" s="171">
        <v>0</v>
      </c>
      <c r="CY35" s="171">
        <v>0</v>
      </c>
      <c r="CZ35" s="171">
        <v>0</v>
      </c>
      <c r="DA35" s="171">
        <v>0</v>
      </c>
      <c r="DB35" s="171">
        <v>0</v>
      </c>
      <c r="DC35" s="171">
        <v>0</v>
      </c>
      <c r="DD35" s="171">
        <v>0</v>
      </c>
      <c r="DE35" s="171">
        <v>0</v>
      </c>
      <c r="DF35" s="171">
        <v>0</v>
      </c>
      <c r="DG35" s="171">
        <v>0</v>
      </c>
      <c r="DH35" s="171">
        <v>0</v>
      </c>
      <c r="DI35" s="171">
        <v>0</v>
      </c>
      <c r="DJ35" s="171">
        <v>13.94</v>
      </c>
      <c r="DK35" s="171">
        <v>23.2053604</v>
      </c>
      <c r="DL35" s="171">
        <v>0</v>
      </c>
      <c r="DM35" s="171">
        <v>0</v>
      </c>
      <c r="DN35" s="171">
        <v>0</v>
      </c>
      <c r="DO35" s="171">
        <v>0</v>
      </c>
      <c r="DP35" s="171">
        <v>0</v>
      </c>
      <c r="DQ35" s="171">
        <v>0</v>
      </c>
      <c r="DR35" s="171">
        <v>0</v>
      </c>
      <c r="DS35" s="171">
        <v>0</v>
      </c>
      <c r="DT35" s="171">
        <v>0</v>
      </c>
      <c r="DU35" s="171">
        <v>0</v>
      </c>
      <c r="DV35" s="171">
        <v>13.94</v>
      </c>
      <c r="DW35" s="171">
        <v>23.2053604</v>
      </c>
      <c r="DX35" s="171">
        <v>0</v>
      </c>
      <c r="DY35" s="171">
        <v>0</v>
      </c>
      <c r="DZ35" s="171">
        <v>0</v>
      </c>
      <c r="EA35" s="171">
        <v>0</v>
      </c>
      <c r="EB35" s="171">
        <v>0</v>
      </c>
      <c r="EC35" s="171">
        <v>0</v>
      </c>
      <c r="ED35" s="171">
        <v>0</v>
      </c>
      <c r="EE35" s="171">
        <v>0</v>
      </c>
      <c r="EF35" s="171">
        <v>0</v>
      </c>
      <c r="EG35" s="171">
        <v>0</v>
      </c>
      <c r="EH35" s="171">
        <v>0</v>
      </c>
      <c r="EI35" s="171">
        <v>0</v>
      </c>
      <c r="EJ35" s="171">
        <v>0</v>
      </c>
      <c r="EK35" s="171">
        <v>0</v>
      </c>
      <c r="EL35" s="171">
        <v>0</v>
      </c>
      <c r="EM35" s="171">
        <v>0</v>
      </c>
      <c r="EN35" s="171">
        <v>0</v>
      </c>
      <c r="EO35" s="171">
        <v>0</v>
      </c>
      <c r="EP35" s="171">
        <v>0</v>
      </c>
      <c r="EQ35" s="171">
        <v>0</v>
      </c>
      <c r="ER35" s="171">
        <v>0</v>
      </c>
      <c r="ES35" s="171">
        <v>0</v>
      </c>
      <c r="ET35" s="171">
        <v>0</v>
      </c>
      <c r="EU35" s="171">
        <v>0</v>
      </c>
      <c r="EV35" s="171">
        <v>0</v>
      </c>
      <c r="EW35" s="171">
        <v>0</v>
      </c>
      <c r="EX35" s="171">
        <v>0</v>
      </c>
      <c r="EY35" s="171">
        <v>0</v>
      </c>
      <c r="EZ35" s="171">
        <v>11.39</v>
      </c>
      <c r="FA35" s="171">
        <v>18.9605116</v>
      </c>
      <c r="FB35" s="171">
        <v>0</v>
      </c>
      <c r="FC35" s="171">
        <v>0</v>
      </c>
      <c r="FD35" s="171">
        <v>0</v>
      </c>
      <c r="FE35" s="171">
        <v>0</v>
      </c>
      <c r="FF35" s="171">
        <v>0</v>
      </c>
      <c r="FG35" s="171">
        <v>0</v>
      </c>
      <c r="FH35" s="171">
        <v>0</v>
      </c>
      <c r="FI35" s="171">
        <v>0</v>
      </c>
      <c r="FJ35" s="171">
        <v>0</v>
      </c>
      <c r="FK35" s="171">
        <v>0</v>
      </c>
      <c r="FL35" s="171">
        <v>11.39</v>
      </c>
      <c r="FM35" s="171">
        <v>18.9605116</v>
      </c>
      <c r="FN35" s="171">
        <f>B35+P35+AD35+AR35+BF35+BT35+CH35+CV35+DJ35+DX35+EL35+EZ35+(H35+V35+AJ35+AX35+BL35+BZ35+CN35+DB35+DP35+ED35+ER35+FF35)</f>
        <v>41.99</v>
      </c>
      <c r="FO35" s="171">
        <f t="shared" ref="FO35:FO42" si="211">C35+Q35+AE35+AS35+BG35+BU35+CI35+CW35+DK35+DY35+EM35+FA35+(I35+W35+AK35+AY35+BM35+CA35+CO35+DC35+DQ35+EE35+ES35+FG35)</f>
        <v>76.062108100000003</v>
      </c>
      <c r="FP35" s="171">
        <f t="shared" ref="FP35:FP42" si="212">D35+R35+AF35+AT35+BH35+BV35+CJ35+CX35+DL35+DZ35+EN35+FB35+(J35+X35+AL35+AZ35+BN35+CB35+CP35+DD35+DR35+EF35+ET35+FH35)</f>
        <v>0</v>
      </c>
      <c r="FQ35" s="171">
        <f t="shared" ref="FQ35:FQ42" si="213">E35+S35+AG35+AU35+BI35+BW35+CK35+CY35+DM35+EA35+EO35+FC35+(K35+Y35+AM35+BA35+BO35+CC35+CQ35+DE35+DS35+EG35+EU35+FI35)</f>
        <v>0</v>
      </c>
      <c r="FR35" s="171">
        <f t="shared" ref="FR35:FR42" si="214">F35+T35+AH35+AV35+BJ35+BX35+CL35+CZ35+DN35+EB35+EP35+FD35+(L35+Z35+AN35+BB35+BP35+CD35+CR35+DF35+DT35+EH35+EV35+FJ35)</f>
        <v>0</v>
      </c>
      <c r="FS35" s="171">
        <f t="shared" ref="FS35:FS42" si="215">G35+U35+AI35+AW35+BK35+BY35+CM35+DA35+DO35+EC35+EQ35+FE35+(M35+AA35+AO35+BC35+BQ35+CE35+CS35+DG35+DU35+EI35+EW35+FK35)</f>
        <v>0</v>
      </c>
      <c r="FT35" s="171">
        <f>FN35+FP35+FR35</f>
        <v>41.99</v>
      </c>
      <c r="FU35" s="171">
        <f>FO35+FQ35+FS35</f>
        <v>76.062108100000003</v>
      </c>
      <c r="FW35" s="135" t="s">
        <v>17</v>
      </c>
      <c r="FX35" s="44">
        <f>IF(FN35&lt;=0,0,FO35*10^5/FN35)</f>
        <v>181143.38675875208</v>
      </c>
      <c r="FY35" s="44">
        <f>IF(FP35&lt;=0,0,FQ35*10^5/FP35)</f>
        <v>0</v>
      </c>
      <c r="FZ35" s="44">
        <f>IF(FR35&lt;=0,0,FS35*10^5/FR35)</f>
        <v>0</v>
      </c>
      <c r="GA35" s="44">
        <f>IF(FT35&lt;=0,0,FU35*10^5/FT35)</f>
        <v>181143.38675875208</v>
      </c>
    </row>
    <row r="36" spans="1:187">
      <c r="A36" s="146" t="s">
        <v>11</v>
      </c>
      <c r="B36" s="171">
        <v>929.42999999999972</v>
      </c>
      <c r="C36" s="171">
        <v>918.56162959999961</v>
      </c>
      <c r="D36" s="171">
        <v>0</v>
      </c>
      <c r="E36" s="171">
        <v>0</v>
      </c>
      <c r="F36" s="171">
        <v>676.75</v>
      </c>
      <c r="G36" s="171">
        <v>531.11661980000008</v>
      </c>
      <c r="H36" s="171">
        <v>0</v>
      </c>
      <c r="I36" s="171">
        <v>0</v>
      </c>
      <c r="J36" s="171">
        <v>0</v>
      </c>
      <c r="K36" s="171">
        <v>0</v>
      </c>
      <c r="L36" s="171">
        <v>0</v>
      </c>
      <c r="M36" s="171">
        <v>0</v>
      </c>
      <c r="N36" s="171">
        <v>1604.1399999999999</v>
      </c>
      <c r="O36" s="171">
        <v>1447.2770673999996</v>
      </c>
      <c r="P36" s="171">
        <v>1164.48</v>
      </c>
      <c r="Q36" s="171">
        <v>1108.6436867999998</v>
      </c>
      <c r="R36" s="171">
        <v>17.5</v>
      </c>
      <c r="S36" s="171">
        <v>17.543749999999999</v>
      </c>
      <c r="T36" s="171">
        <v>208.09</v>
      </c>
      <c r="U36" s="171">
        <v>176.96144170000002</v>
      </c>
      <c r="V36" s="171">
        <v>0</v>
      </c>
      <c r="W36" s="171">
        <v>0</v>
      </c>
      <c r="X36" s="171">
        <v>0</v>
      </c>
      <c r="Y36" s="171">
        <v>0</v>
      </c>
      <c r="Z36" s="171">
        <v>0</v>
      </c>
      <c r="AA36" s="171">
        <v>0</v>
      </c>
      <c r="AB36" s="171">
        <v>1390.07</v>
      </c>
      <c r="AC36" s="171">
        <v>1303.1488784999999</v>
      </c>
      <c r="AD36" s="171">
        <v>466.95000000000005</v>
      </c>
      <c r="AE36" s="171">
        <v>435.13320589999995</v>
      </c>
      <c r="AF36" s="171">
        <v>0</v>
      </c>
      <c r="AG36" s="171">
        <v>0</v>
      </c>
      <c r="AH36" s="171">
        <v>428.83</v>
      </c>
      <c r="AI36" s="171">
        <v>393.71343200000001</v>
      </c>
      <c r="AJ36" s="171">
        <v>0</v>
      </c>
      <c r="AK36" s="171">
        <v>0</v>
      </c>
      <c r="AL36" s="171">
        <v>0</v>
      </c>
      <c r="AM36" s="171">
        <v>0</v>
      </c>
      <c r="AN36" s="171">
        <v>0</v>
      </c>
      <c r="AO36" s="171">
        <v>0</v>
      </c>
      <c r="AP36" s="171">
        <v>895.78</v>
      </c>
      <c r="AQ36" s="171">
        <v>828.84663789999991</v>
      </c>
      <c r="AR36" s="171">
        <v>1317.0999999999997</v>
      </c>
      <c r="AS36" s="171">
        <v>1193.7574345999999</v>
      </c>
      <c r="AT36" s="171">
        <v>0</v>
      </c>
      <c r="AU36" s="171">
        <v>0</v>
      </c>
      <c r="AV36" s="171">
        <v>227.5</v>
      </c>
      <c r="AW36" s="171">
        <v>212.19250390000002</v>
      </c>
      <c r="AX36" s="171">
        <v>0</v>
      </c>
      <c r="AY36" s="171">
        <v>0</v>
      </c>
      <c r="AZ36" s="171">
        <v>0</v>
      </c>
      <c r="BA36" s="171">
        <v>0</v>
      </c>
      <c r="BB36" s="171">
        <v>0</v>
      </c>
      <c r="BC36" s="171">
        <v>0</v>
      </c>
      <c r="BD36" s="171">
        <v>1544.5999999999997</v>
      </c>
      <c r="BE36" s="171">
        <v>1405.9499384999999</v>
      </c>
      <c r="BF36" s="171">
        <v>1253.0199999999991</v>
      </c>
      <c r="BG36" s="171">
        <v>1100.5524594999999</v>
      </c>
      <c r="BH36" s="171">
        <v>0</v>
      </c>
      <c r="BI36" s="171">
        <v>0</v>
      </c>
      <c r="BJ36" s="171">
        <v>1029.1100000000001</v>
      </c>
      <c r="BK36" s="171">
        <v>887.2908749999998</v>
      </c>
      <c r="BL36" s="171">
        <v>0</v>
      </c>
      <c r="BM36" s="171">
        <v>0</v>
      </c>
      <c r="BN36" s="171">
        <v>0</v>
      </c>
      <c r="BO36" s="171">
        <v>0</v>
      </c>
      <c r="BP36" s="171">
        <v>0</v>
      </c>
      <c r="BQ36" s="171">
        <v>0</v>
      </c>
      <c r="BR36" s="171">
        <v>2282.1299999999992</v>
      </c>
      <c r="BS36" s="171">
        <v>1987.8433344999999</v>
      </c>
      <c r="BT36" s="171">
        <v>2368.1200000000003</v>
      </c>
      <c r="BU36" s="171">
        <v>2013.2291019999998</v>
      </c>
      <c r="BV36" s="171">
        <v>0</v>
      </c>
      <c r="BW36" s="171">
        <v>0</v>
      </c>
      <c r="BX36" s="171">
        <v>1034.4900000000002</v>
      </c>
      <c r="BY36" s="171">
        <v>861.10530359999984</v>
      </c>
      <c r="BZ36" s="171">
        <v>0</v>
      </c>
      <c r="CA36" s="171">
        <v>0</v>
      </c>
      <c r="CB36" s="171">
        <v>0</v>
      </c>
      <c r="CC36" s="171">
        <v>0</v>
      </c>
      <c r="CD36" s="171">
        <v>0</v>
      </c>
      <c r="CE36" s="171">
        <v>0</v>
      </c>
      <c r="CF36" s="171">
        <v>3402.6100000000006</v>
      </c>
      <c r="CG36" s="171">
        <v>2874.3344055999996</v>
      </c>
      <c r="CH36" s="171">
        <v>2929.1900000000019</v>
      </c>
      <c r="CI36" s="171">
        <v>2493.1975821999995</v>
      </c>
      <c r="CJ36" s="171">
        <v>0</v>
      </c>
      <c r="CK36" s="171">
        <v>0</v>
      </c>
      <c r="CL36" s="171">
        <v>974.47000000000014</v>
      </c>
      <c r="CM36" s="171">
        <v>714.73496549999993</v>
      </c>
      <c r="CN36" s="171">
        <v>0</v>
      </c>
      <c r="CO36" s="171">
        <v>0</v>
      </c>
      <c r="CP36" s="171">
        <v>0</v>
      </c>
      <c r="CQ36" s="171">
        <v>0</v>
      </c>
      <c r="CR36" s="171">
        <v>0</v>
      </c>
      <c r="CS36" s="171">
        <v>0</v>
      </c>
      <c r="CT36" s="171">
        <v>3903.6600000000021</v>
      </c>
      <c r="CU36" s="171">
        <v>3207.9325476999993</v>
      </c>
      <c r="CV36" s="171">
        <v>1214.0500000000004</v>
      </c>
      <c r="CW36" s="171">
        <v>979.89814150000007</v>
      </c>
      <c r="CX36" s="171">
        <v>0</v>
      </c>
      <c r="CY36" s="171">
        <v>0</v>
      </c>
      <c r="CZ36" s="171">
        <v>207.92000000000002</v>
      </c>
      <c r="DA36" s="171">
        <v>153.90303850000001</v>
      </c>
      <c r="DB36" s="171">
        <v>0</v>
      </c>
      <c r="DC36" s="171">
        <v>0</v>
      </c>
      <c r="DD36" s="171">
        <v>0</v>
      </c>
      <c r="DE36" s="171">
        <v>0</v>
      </c>
      <c r="DF36" s="171">
        <v>0</v>
      </c>
      <c r="DG36" s="171">
        <v>0</v>
      </c>
      <c r="DH36" s="171">
        <v>1421.9700000000005</v>
      </c>
      <c r="DI36" s="171">
        <v>1133.8011800000002</v>
      </c>
      <c r="DJ36" s="171">
        <v>1346.3699999999997</v>
      </c>
      <c r="DK36" s="171">
        <v>1142.6378419</v>
      </c>
      <c r="DL36" s="171">
        <v>0</v>
      </c>
      <c r="DM36" s="171">
        <v>0</v>
      </c>
      <c r="DN36" s="171">
        <v>430.49000000000007</v>
      </c>
      <c r="DO36" s="171">
        <v>326.15075889999997</v>
      </c>
      <c r="DP36" s="171">
        <v>0</v>
      </c>
      <c r="DQ36" s="171">
        <v>0</v>
      </c>
      <c r="DR36" s="171">
        <v>0</v>
      </c>
      <c r="DS36" s="171">
        <v>0</v>
      </c>
      <c r="DT36" s="171">
        <v>0</v>
      </c>
      <c r="DU36" s="171">
        <v>0</v>
      </c>
      <c r="DV36" s="171">
        <v>1776.8599999999997</v>
      </c>
      <c r="DW36" s="171">
        <v>1468.7886008</v>
      </c>
      <c r="DX36" s="171">
        <v>2416.9800000000009</v>
      </c>
      <c r="DY36" s="171">
        <v>1967.4623680000002</v>
      </c>
      <c r="DZ36" s="171">
        <v>43</v>
      </c>
      <c r="EA36" s="171">
        <v>35.26</v>
      </c>
      <c r="EB36" s="171">
        <v>568.90999999999985</v>
      </c>
      <c r="EC36" s="171">
        <v>441.94635309999995</v>
      </c>
      <c r="ED36" s="171">
        <v>0</v>
      </c>
      <c r="EE36" s="171">
        <v>0</v>
      </c>
      <c r="EF36" s="171">
        <v>0</v>
      </c>
      <c r="EG36" s="171">
        <v>0</v>
      </c>
      <c r="EH36" s="171">
        <v>0</v>
      </c>
      <c r="EI36" s="171">
        <v>0</v>
      </c>
      <c r="EJ36" s="171">
        <v>3023.1100000000006</v>
      </c>
      <c r="EK36" s="171">
        <v>2438.8502351000002</v>
      </c>
      <c r="EL36" s="171">
        <v>2356.8800000000006</v>
      </c>
      <c r="EM36" s="171">
        <v>2065.7522409999997</v>
      </c>
      <c r="EN36" s="171">
        <v>62.730000000000004</v>
      </c>
      <c r="EO36" s="171">
        <v>54.833847999999996</v>
      </c>
      <c r="EP36" s="171">
        <v>486.74000000000007</v>
      </c>
      <c r="EQ36" s="171">
        <v>396.3153946999999</v>
      </c>
      <c r="ER36" s="171">
        <v>0</v>
      </c>
      <c r="ES36" s="171">
        <v>0</v>
      </c>
      <c r="ET36" s="171">
        <v>0</v>
      </c>
      <c r="EU36" s="171">
        <v>0</v>
      </c>
      <c r="EV36" s="171">
        <v>0</v>
      </c>
      <c r="EW36" s="171">
        <v>0</v>
      </c>
      <c r="EX36" s="171">
        <v>2906.3500000000008</v>
      </c>
      <c r="EY36" s="171">
        <v>2516.9014837</v>
      </c>
      <c r="EZ36" s="171">
        <v>2633.3500000000004</v>
      </c>
      <c r="FA36" s="171">
        <v>2353.1242528999992</v>
      </c>
      <c r="FB36" s="171">
        <v>0</v>
      </c>
      <c r="FC36" s="171">
        <v>0</v>
      </c>
      <c r="FD36" s="171">
        <v>822.28</v>
      </c>
      <c r="FE36" s="171">
        <v>658.77259340000023</v>
      </c>
      <c r="FF36" s="171">
        <v>0</v>
      </c>
      <c r="FG36" s="171">
        <v>0</v>
      </c>
      <c r="FH36" s="171">
        <v>0</v>
      </c>
      <c r="FI36" s="171">
        <v>0</v>
      </c>
      <c r="FJ36" s="171">
        <v>0</v>
      </c>
      <c r="FK36" s="171">
        <v>0</v>
      </c>
      <c r="FL36" s="171">
        <v>3455.63</v>
      </c>
      <c r="FM36" s="171">
        <v>3011.8968462999992</v>
      </c>
      <c r="FN36" s="171">
        <f t="shared" ref="FN36:FN42" si="216">B36+P36+AD36+AR36+BF36+BT36+CH36+CV36+DJ36+DX36+EL36+EZ36+(H36+V36+AJ36+AX36+BL36+BZ36+CN36+DB36+DP36+ED36+ER36+FF36)</f>
        <v>20395.920000000006</v>
      </c>
      <c r="FO36" s="171">
        <f t="shared" si="211"/>
        <v>17771.9499459</v>
      </c>
      <c r="FP36" s="171">
        <f t="shared" si="212"/>
        <v>123.23</v>
      </c>
      <c r="FQ36" s="171">
        <f t="shared" si="213"/>
        <v>107.637598</v>
      </c>
      <c r="FR36" s="171">
        <f t="shared" si="214"/>
        <v>7095.58</v>
      </c>
      <c r="FS36" s="171">
        <f t="shared" si="215"/>
        <v>5754.2032800999996</v>
      </c>
      <c r="FT36" s="171">
        <f t="shared" ref="FT36:FT43" si="217">FN36+FP36+FR36</f>
        <v>27614.730000000003</v>
      </c>
      <c r="FU36" s="171">
        <f t="shared" ref="FU36:FU43" si="218">FO36+FQ36+FS36</f>
        <v>23633.790824</v>
      </c>
      <c r="FW36" s="135" t="s">
        <v>11</v>
      </c>
      <c r="FX36" s="44">
        <f t="shared" ref="FX36:FX44" si="219">IF(FN36&lt;=0,0,FO36*10^5/FN36)</f>
        <v>87134.828661320469</v>
      </c>
      <c r="FY36" s="44">
        <f t="shared" ref="FY36:FY44" si="220">IF(FP36&lt;=0,0,FQ36*10^5/FP36)</f>
        <v>87346.910654872991</v>
      </c>
      <c r="FZ36" s="44">
        <f t="shared" ref="FZ36:FZ44" si="221">IF(FR36&lt;=0,0,FS36*10^5/FR36)</f>
        <v>81095.601488532295</v>
      </c>
      <c r="GA36" s="44">
        <f t="shared" ref="GA36:GA44" si="222">IF(FT36&lt;=0,0,FU36*10^5/FT36)</f>
        <v>85584.001089273719</v>
      </c>
    </row>
    <row r="37" spans="1:187">
      <c r="A37" s="146" t="s">
        <v>12</v>
      </c>
      <c r="B37" s="171">
        <v>10.06</v>
      </c>
      <c r="C37" s="171">
        <v>10.277122</v>
      </c>
      <c r="D37" s="171">
        <v>0</v>
      </c>
      <c r="E37" s="171">
        <v>0</v>
      </c>
      <c r="F37" s="171">
        <v>0</v>
      </c>
      <c r="G37" s="171">
        <v>0</v>
      </c>
      <c r="H37" s="171">
        <v>0</v>
      </c>
      <c r="I37" s="171">
        <v>0</v>
      </c>
      <c r="J37" s="171">
        <v>0</v>
      </c>
      <c r="K37" s="171">
        <v>0</v>
      </c>
      <c r="L37" s="171">
        <v>0</v>
      </c>
      <c r="M37" s="171">
        <v>0</v>
      </c>
      <c r="N37" s="171">
        <v>10.06</v>
      </c>
      <c r="O37" s="171">
        <v>10.277122</v>
      </c>
      <c r="P37" s="171">
        <v>0</v>
      </c>
      <c r="Q37" s="171">
        <v>0</v>
      </c>
      <c r="R37" s="171">
        <v>0</v>
      </c>
      <c r="S37" s="171">
        <v>0</v>
      </c>
      <c r="T37" s="171">
        <v>0</v>
      </c>
      <c r="U37" s="171">
        <v>0</v>
      </c>
      <c r="V37" s="171">
        <v>0</v>
      </c>
      <c r="W37" s="171">
        <v>0</v>
      </c>
      <c r="X37" s="171">
        <v>0</v>
      </c>
      <c r="Y37" s="171">
        <v>0</v>
      </c>
      <c r="Z37" s="171">
        <v>0</v>
      </c>
      <c r="AA37" s="171">
        <v>0</v>
      </c>
      <c r="AB37" s="171">
        <v>0</v>
      </c>
      <c r="AC37" s="171">
        <v>0</v>
      </c>
      <c r="AD37" s="171">
        <v>0</v>
      </c>
      <c r="AE37" s="171">
        <v>0</v>
      </c>
      <c r="AF37" s="171">
        <v>0</v>
      </c>
      <c r="AG37" s="171">
        <v>0</v>
      </c>
      <c r="AH37" s="171">
        <v>0</v>
      </c>
      <c r="AI37" s="171">
        <v>0</v>
      </c>
      <c r="AJ37" s="171">
        <v>0</v>
      </c>
      <c r="AK37" s="171">
        <v>0</v>
      </c>
      <c r="AL37" s="171">
        <v>0</v>
      </c>
      <c r="AM37" s="171">
        <v>0</v>
      </c>
      <c r="AN37" s="171">
        <v>0</v>
      </c>
      <c r="AO37" s="171">
        <v>0</v>
      </c>
      <c r="AP37" s="171">
        <v>0</v>
      </c>
      <c r="AQ37" s="171">
        <v>0</v>
      </c>
      <c r="AR37" s="171">
        <v>422.21000000000004</v>
      </c>
      <c r="AS37" s="171">
        <v>368.97630880000003</v>
      </c>
      <c r="AT37" s="171">
        <v>0</v>
      </c>
      <c r="AU37" s="171">
        <v>0</v>
      </c>
      <c r="AV37" s="171">
        <v>0</v>
      </c>
      <c r="AW37" s="171">
        <v>0</v>
      </c>
      <c r="AX37" s="171">
        <v>0</v>
      </c>
      <c r="AY37" s="171">
        <v>0</v>
      </c>
      <c r="AZ37" s="171">
        <v>0</v>
      </c>
      <c r="BA37" s="171">
        <v>0</v>
      </c>
      <c r="BB37" s="171">
        <v>0</v>
      </c>
      <c r="BC37" s="171">
        <v>0</v>
      </c>
      <c r="BD37" s="171">
        <v>422.21000000000004</v>
      </c>
      <c r="BE37" s="171">
        <v>368.97630880000003</v>
      </c>
      <c r="BF37" s="171">
        <v>100.72</v>
      </c>
      <c r="BG37" s="171">
        <v>88.224842900000013</v>
      </c>
      <c r="BH37" s="171">
        <v>0</v>
      </c>
      <c r="BI37" s="171">
        <v>0</v>
      </c>
      <c r="BJ37" s="171">
        <v>0</v>
      </c>
      <c r="BK37" s="171">
        <v>0</v>
      </c>
      <c r="BL37" s="171">
        <v>0</v>
      </c>
      <c r="BM37" s="171">
        <v>0</v>
      </c>
      <c r="BN37" s="171">
        <v>0</v>
      </c>
      <c r="BO37" s="171">
        <v>0</v>
      </c>
      <c r="BP37" s="171">
        <v>0</v>
      </c>
      <c r="BQ37" s="171">
        <v>0</v>
      </c>
      <c r="BR37" s="171">
        <v>100.72</v>
      </c>
      <c r="BS37" s="171">
        <v>88.224842900000013</v>
      </c>
      <c r="BT37" s="171">
        <v>10.8</v>
      </c>
      <c r="BU37" s="171">
        <v>8.9093520000000002</v>
      </c>
      <c r="BV37" s="171">
        <v>0</v>
      </c>
      <c r="BW37" s="171">
        <v>0</v>
      </c>
      <c r="BX37" s="171">
        <v>2.72</v>
      </c>
      <c r="BY37" s="171">
        <v>2.4482027</v>
      </c>
      <c r="BZ37" s="171">
        <v>0</v>
      </c>
      <c r="CA37" s="171">
        <v>0</v>
      </c>
      <c r="CB37" s="171">
        <v>0</v>
      </c>
      <c r="CC37" s="171">
        <v>0</v>
      </c>
      <c r="CD37" s="171">
        <v>0</v>
      </c>
      <c r="CE37" s="171">
        <v>0</v>
      </c>
      <c r="CF37" s="171">
        <v>13.520000000000001</v>
      </c>
      <c r="CG37" s="171">
        <v>11.3575547</v>
      </c>
      <c r="CH37" s="171">
        <v>0</v>
      </c>
      <c r="CI37" s="171">
        <v>0</v>
      </c>
      <c r="CJ37" s="171">
        <v>0</v>
      </c>
      <c r="CK37" s="171">
        <v>0</v>
      </c>
      <c r="CL37" s="171">
        <v>0</v>
      </c>
      <c r="CM37" s="171">
        <v>0</v>
      </c>
      <c r="CN37" s="171">
        <v>0</v>
      </c>
      <c r="CO37" s="171">
        <v>0</v>
      </c>
      <c r="CP37" s="171">
        <v>0</v>
      </c>
      <c r="CQ37" s="171">
        <v>0</v>
      </c>
      <c r="CR37" s="171">
        <v>0</v>
      </c>
      <c r="CS37" s="171">
        <v>0</v>
      </c>
      <c r="CT37" s="171">
        <v>0</v>
      </c>
      <c r="CU37" s="171">
        <v>0</v>
      </c>
      <c r="CV37" s="171">
        <v>0</v>
      </c>
      <c r="CW37" s="171">
        <v>0</v>
      </c>
      <c r="CX37" s="171">
        <v>0</v>
      </c>
      <c r="CY37" s="171">
        <v>0</v>
      </c>
      <c r="CZ37" s="171">
        <v>0</v>
      </c>
      <c r="DA37" s="171">
        <v>0</v>
      </c>
      <c r="DB37" s="171">
        <v>0</v>
      </c>
      <c r="DC37" s="171">
        <v>0</v>
      </c>
      <c r="DD37" s="171">
        <v>0</v>
      </c>
      <c r="DE37" s="171">
        <v>0</v>
      </c>
      <c r="DF37" s="171">
        <v>0</v>
      </c>
      <c r="DG37" s="171">
        <v>0</v>
      </c>
      <c r="DH37" s="171">
        <v>0</v>
      </c>
      <c r="DI37" s="171">
        <v>0</v>
      </c>
      <c r="DJ37" s="171">
        <v>155.48000000000002</v>
      </c>
      <c r="DK37" s="171">
        <v>124.39894920000002</v>
      </c>
      <c r="DL37" s="171">
        <v>0</v>
      </c>
      <c r="DM37" s="171">
        <v>0</v>
      </c>
      <c r="DN37" s="171">
        <v>0</v>
      </c>
      <c r="DO37" s="171">
        <v>0</v>
      </c>
      <c r="DP37" s="171">
        <v>0</v>
      </c>
      <c r="DQ37" s="171">
        <v>0</v>
      </c>
      <c r="DR37" s="171">
        <v>0</v>
      </c>
      <c r="DS37" s="171">
        <v>0</v>
      </c>
      <c r="DT37" s="171">
        <v>0</v>
      </c>
      <c r="DU37" s="171">
        <v>0</v>
      </c>
      <c r="DV37" s="171">
        <v>155.48000000000002</v>
      </c>
      <c r="DW37" s="171">
        <v>124.39894920000002</v>
      </c>
      <c r="DX37" s="171">
        <v>302.68</v>
      </c>
      <c r="DY37" s="171">
        <v>251.04316230000003</v>
      </c>
      <c r="DZ37" s="171">
        <v>0</v>
      </c>
      <c r="EA37" s="171">
        <v>0</v>
      </c>
      <c r="EB37" s="171">
        <v>0</v>
      </c>
      <c r="EC37" s="171">
        <v>0</v>
      </c>
      <c r="ED37" s="171">
        <v>0</v>
      </c>
      <c r="EE37" s="171">
        <v>0</v>
      </c>
      <c r="EF37" s="171">
        <v>0</v>
      </c>
      <c r="EG37" s="171">
        <v>0</v>
      </c>
      <c r="EH37" s="171">
        <v>0</v>
      </c>
      <c r="EI37" s="171">
        <v>0</v>
      </c>
      <c r="EJ37" s="171">
        <v>302.68</v>
      </c>
      <c r="EK37" s="171">
        <v>251.04316230000003</v>
      </c>
      <c r="EL37" s="171">
        <v>0</v>
      </c>
      <c r="EM37" s="171">
        <v>0</v>
      </c>
      <c r="EN37" s="171">
        <v>0</v>
      </c>
      <c r="EO37" s="171">
        <v>0</v>
      </c>
      <c r="EP37" s="171">
        <v>0</v>
      </c>
      <c r="EQ37" s="171">
        <v>0</v>
      </c>
      <c r="ER37" s="171">
        <v>0</v>
      </c>
      <c r="ES37" s="171">
        <v>0</v>
      </c>
      <c r="ET37" s="171">
        <v>0</v>
      </c>
      <c r="EU37" s="171">
        <v>0</v>
      </c>
      <c r="EV37" s="171">
        <v>0</v>
      </c>
      <c r="EW37" s="171">
        <v>0</v>
      </c>
      <c r="EX37" s="171">
        <v>0</v>
      </c>
      <c r="EY37" s="171">
        <v>0</v>
      </c>
      <c r="EZ37" s="171">
        <v>0</v>
      </c>
      <c r="FA37" s="171">
        <v>0</v>
      </c>
      <c r="FB37" s="171">
        <v>0</v>
      </c>
      <c r="FC37" s="171">
        <v>0</v>
      </c>
      <c r="FD37" s="171">
        <v>0</v>
      </c>
      <c r="FE37" s="171">
        <v>0</v>
      </c>
      <c r="FF37" s="171">
        <v>0</v>
      </c>
      <c r="FG37" s="171">
        <v>0</v>
      </c>
      <c r="FH37" s="171">
        <v>0</v>
      </c>
      <c r="FI37" s="171">
        <v>0</v>
      </c>
      <c r="FJ37" s="171">
        <v>0</v>
      </c>
      <c r="FK37" s="171">
        <v>0</v>
      </c>
      <c r="FL37" s="171">
        <v>0</v>
      </c>
      <c r="FM37" s="171">
        <v>0</v>
      </c>
      <c r="FN37" s="171">
        <f t="shared" si="216"/>
        <v>1001.95</v>
      </c>
      <c r="FO37" s="171">
        <f t="shared" si="211"/>
        <v>851.82973720000018</v>
      </c>
      <c r="FP37" s="171">
        <f t="shared" si="212"/>
        <v>0</v>
      </c>
      <c r="FQ37" s="171">
        <f t="shared" si="213"/>
        <v>0</v>
      </c>
      <c r="FR37" s="171">
        <f t="shared" si="214"/>
        <v>2.72</v>
      </c>
      <c r="FS37" s="171">
        <f t="shared" si="215"/>
        <v>2.4482027</v>
      </c>
      <c r="FT37" s="171">
        <f t="shared" si="217"/>
        <v>1004.6700000000001</v>
      </c>
      <c r="FU37" s="171">
        <f t="shared" si="218"/>
        <v>854.27793990000021</v>
      </c>
      <c r="FW37" s="135" t="s">
        <v>12</v>
      </c>
      <c r="FX37" s="44">
        <f t="shared" si="219"/>
        <v>85017.190199111748</v>
      </c>
      <c r="FY37" s="44">
        <f t="shared" si="220"/>
        <v>0</v>
      </c>
      <c r="FZ37" s="44">
        <f t="shared" si="221"/>
        <v>90007.45220588235</v>
      </c>
      <c r="GA37" s="44">
        <f t="shared" si="222"/>
        <v>85030.700618113435</v>
      </c>
    </row>
    <row r="38" spans="1:187">
      <c r="A38" s="146" t="s">
        <v>13</v>
      </c>
      <c r="B38" s="171">
        <v>111.29999999999998</v>
      </c>
      <c r="C38" s="171">
        <v>109.8682989</v>
      </c>
      <c r="D38" s="171">
        <v>0</v>
      </c>
      <c r="E38" s="171">
        <v>0</v>
      </c>
      <c r="F38" s="171">
        <v>0</v>
      </c>
      <c r="G38" s="171">
        <v>0</v>
      </c>
      <c r="H38" s="171">
        <v>0</v>
      </c>
      <c r="I38" s="171">
        <v>0</v>
      </c>
      <c r="J38" s="171">
        <v>0</v>
      </c>
      <c r="K38" s="171">
        <v>0</v>
      </c>
      <c r="L38" s="171">
        <v>0</v>
      </c>
      <c r="M38" s="171">
        <v>0</v>
      </c>
      <c r="N38" s="171">
        <v>111.29999999999998</v>
      </c>
      <c r="O38" s="171">
        <v>109.8682989</v>
      </c>
      <c r="P38" s="171">
        <v>119</v>
      </c>
      <c r="Q38" s="171">
        <v>113.7398848</v>
      </c>
      <c r="R38" s="171">
        <v>0</v>
      </c>
      <c r="S38" s="171">
        <v>0</v>
      </c>
      <c r="T38" s="171">
        <v>0</v>
      </c>
      <c r="U38" s="171">
        <v>0</v>
      </c>
      <c r="V38" s="171">
        <v>0</v>
      </c>
      <c r="W38" s="171">
        <v>0</v>
      </c>
      <c r="X38" s="171">
        <v>0</v>
      </c>
      <c r="Y38" s="171">
        <v>0</v>
      </c>
      <c r="Z38" s="171">
        <v>0</v>
      </c>
      <c r="AA38" s="171">
        <v>0</v>
      </c>
      <c r="AB38" s="171">
        <v>119</v>
      </c>
      <c r="AC38" s="171">
        <v>113.7398848</v>
      </c>
      <c r="AD38" s="171">
        <v>59.629999999999995</v>
      </c>
      <c r="AE38" s="171">
        <v>57.770736599999999</v>
      </c>
      <c r="AF38" s="171">
        <v>0</v>
      </c>
      <c r="AG38" s="171">
        <v>0</v>
      </c>
      <c r="AH38" s="171">
        <v>0</v>
      </c>
      <c r="AI38" s="171">
        <v>0</v>
      </c>
      <c r="AJ38" s="171">
        <v>0</v>
      </c>
      <c r="AK38" s="171">
        <v>0</v>
      </c>
      <c r="AL38" s="171">
        <v>0</v>
      </c>
      <c r="AM38" s="171">
        <v>0</v>
      </c>
      <c r="AN38" s="171">
        <v>0</v>
      </c>
      <c r="AO38" s="171">
        <v>0</v>
      </c>
      <c r="AP38" s="171">
        <v>59.629999999999995</v>
      </c>
      <c r="AQ38" s="171">
        <v>57.770736599999999</v>
      </c>
      <c r="AR38" s="171">
        <v>19.46</v>
      </c>
      <c r="AS38" s="171">
        <v>18.853237199999999</v>
      </c>
      <c r="AT38" s="171">
        <v>0</v>
      </c>
      <c r="AU38" s="171">
        <v>0</v>
      </c>
      <c r="AV38" s="171">
        <v>262.77999999999997</v>
      </c>
      <c r="AW38" s="171">
        <v>205.58038080000003</v>
      </c>
      <c r="AX38" s="171">
        <v>0</v>
      </c>
      <c r="AY38" s="171">
        <v>0</v>
      </c>
      <c r="AZ38" s="171">
        <v>0</v>
      </c>
      <c r="BA38" s="171">
        <v>0</v>
      </c>
      <c r="BB38" s="171">
        <v>0</v>
      </c>
      <c r="BC38" s="171">
        <v>0</v>
      </c>
      <c r="BD38" s="171">
        <v>282.23999999999995</v>
      </c>
      <c r="BE38" s="171">
        <v>224.43361800000002</v>
      </c>
      <c r="BF38" s="171">
        <v>38.880000000000003</v>
      </c>
      <c r="BG38" s="171">
        <v>37.667818499999996</v>
      </c>
      <c r="BH38" s="171">
        <v>0</v>
      </c>
      <c r="BI38" s="171">
        <v>0</v>
      </c>
      <c r="BJ38" s="171">
        <v>18.97</v>
      </c>
      <c r="BK38" s="171">
        <v>14.9013914</v>
      </c>
      <c r="BL38" s="171">
        <v>0</v>
      </c>
      <c r="BM38" s="171">
        <v>0</v>
      </c>
      <c r="BN38" s="171">
        <v>0</v>
      </c>
      <c r="BO38" s="171">
        <v>0</v>
      </c>
      <c r="BP38" s="171">
        <v>0</v>
      </c>
      <c r="BQ38" s="171">
        <v>0</v>
      </c>
      <c r="BR38" s="171">
        <v>57.85</v>
      </c>
      <c r="BS38" s="171">
        <v>52.569209899999997</v>
      </c>
      <c r="BT38" s="171">
        <v>0</v>
      </c>
      <c r="BU38" s="171">
        <v>0</v>
      </c>
      <c r="BV38" s="171">
        <v>0</v>
      </c>
      <c r="BW38" s="171">
        <v>0</v>
      </c>
      <c r="BX38" s="171">
        <v>280.86</v>
      </c>
      <c r="BY38" s="171">
        <v>197.92643749999999</v>
      </c>
      <c r="BZ38" s="171">
        <v>0</v>
      </c>
      <c r="CA38" s="171">
        <v>0</v>
      </c>
      <c r="CB38" s="171">
        <v>0</v>
      </c>
      <c r="CC38" s="171">
        <v>0</v>
      </c>
      <c r="CD38" s="171">
        <v>0</v>
      </c>
      <c r="CE38" s="171">
        <v>0</v>
      </c>
      <c r="CF38" s="171">
        <v>280.86</v>
      </c>
      <c r="CG38" s="171">
        <v>197.92643749999999</v>
      </c>
      <c r="CH38" s="171">
        <v>0</v>
      </c>
      <c r="CI38" s="171">
        <v>0</v>
      </c>
      <c r="CJ38" s="171">
        <v>0</v>
      </c>
      <c r="CK38" s="171">
        <v>0</v>
      </c>
      <c r="CL38" s="171">
        <v>131.30000000000001</v>
      </c>
      <c r="CM38" s="171">
        <v>95.180273100000008</v>
      </c>
      <c r="CN38" s="171">
        <v>0</v>
      </c>
      <c r="CO38" s="171">
        <v>0</v>
      </c>
      <c r="CP38" s="171">
        <v>0</v>
      </c>
      <c r="CQ38" s="171">
        <v>0</v>
      </c>
      <c r="CR38" s="171">
        <v>0</v>
      </c>
      <c r="CS38" s="171">
        <v>0</v>
      </c>
      <c r="CT38" s="171">
        <v>131.30000000000001</v>
      </c>
      <c r="CU38" s="171">
        <v>95.180273100000008</v>
      </c>
      <c r="CV38" s="171">
        <v>0</v>
      </c>
      <c r="CW38" s="171">
        <v>0</v>
      </c>
      <c r="CX38" s="171">
        <v>0</v>
      </c>
      <c r="CY38" s="171">
        <v>0</v>
      </c>
      <c r="CZ38" s="171">
        <v>0</v>
      </c>
      <c r="DA38" s="171">
        <v>0</v>
      </c>
      <c r="DB38" s="171">
        <v>0</v>
      </c>
      <c r="DC38" s="171">
        <v>0</v>
      </c>
      <c r="DD38" s="171">
        <v>0</v>
      </c>
      <c r="DE38" s="171">
        <v>0</v>
      </c>
      <c r="DF38" s="171">
        <v>0</v>
      </c>
      <c r="DG38" s="171">
        <v>0</v>
      </c>
      <c r="DH38" s="171">
        <v>0</v>
      </c>
      <c r="DI38" s="171">
        <v>0</v>
      </c>
      <c r="DJ38" s="171">
        <v>0</v>
      </c>
      <c r="DK38" s="171">
        <v>0</v>
      </c>
      <c r="DL38" s="171">
        <v>0</v>
      </c>
      <c r="DM38" s="171">
        <v>0</v>
      </c>
      <c r="DN38" s="171">
        <v>450.62</v>
      </c>
      <c r="DO38" s="171">
        <v>336.73070120000006</v>
      </c>
      <c r="DP38" s="171">
        <v>0</v>
      </c>
      <c r="DQ38" s="171">
        <v>0</v>
      </c>
      <c r="DR38" s="171">
        <v>0</v>
      </c>
      <c r="DS38" s="171">
        <v>0</v>
      </c>
      <c r="DT38" s="171">
        <v>0</v>
      </c>
      <c r="DU38" s="171">
        <v>0</v>
      </c>
      <c r="DV38" s="171">
        <v>450.62</v>
      </c>
      <c r="DW38" s="171">
        <v>336.73070120000006</v>
      </c>
      <c r="DX38" s="171">
        <v>19.71</v>
      </c>
      <c r="DY38" s="171">
        <v>17.344799999999999</v>
      </c>
      <c r="DZ38" s="171">
        <v>55.71</v>
      </c>
      <c r="EA38" s="171">
        <v>46.938488399999997</v>
      </c>
      <c r="EB38" s="171">
        <v>188.73999999999998</v>
      </c>
      <c r="EC38" s="171">
        <v>145.2397651</v>
      </c>
      <c r="ED38" s="171">
        <v>0</v>
      </c>
      <c r="EE38" s="171">
        <v>0</v>
      </c>
      <c r="EF38" s="171">
        <v>0</v>
      </c>
      <c r="EG38" s="171">
        <v>0</v>
      </c>
      <c r="EH38" s="171">
        <v>0</v>
      </c>
      <c r="EI38" s="171">
        <v>0</v>
      </c>
      <c r="EJ38" s="171">
        <v>264.15999999999997</v>
      </c>
      <c r="EK38" s="171">
        <v>209.5230535</v>
      </c>
      <c r="EL38" s="171">
        <v>82.28</v>
      </c>
      <c r="EM38" s="171">
        <v>74.981763999999998</v>
      </c>
      <c r="EN38" s="171">
        <v>41.28</v>
      </c>
      <c r="EO38" s="171">
        <v>39.496704000000001</v>
      </c>
      <c r="EP38" s="171">
        <v>56.510000000000005</v>
      </c>
      <c r="EQ38" s="171">
        <v>44.824513900000007</v>
      </c>
      <c r="ER38" s="171">
        <v>0</v>
      </c>
      <c r="ES38" s="171">
        <v>0</v>
      </c>
      <c r="ET38" s="171">
        <v>0</v>
      </c>
      <c r="EU38" s="171">
        <v>0</v>
      </c>
      <c r="EV38" s="171">
        <v>0</v>
      </c>
      <c r="EW38" s="171">
        <v>0</v>
      </c>
      <c r="EX38" s="171">
        <v>180.07</v>
      </c>
      <c r="EY38" s="171">
        <v>159.30298189999999</v>
      </c>
      <c r="EZ38" s="171">
        <v>0</v>
      </c>
      <c r="FA38" s="171">
        <v>0</v>
      </c>
      <c r="FB38" s="171">
        <v>61.449999999999996</v>
      </c>
      <c r="FC38" s="171">
        <v>61.215859999999999</v>
      </c>
      <c r="FD38" s="171">
        <v>0</v>
      </c>
      <c r="FE38" s="171">
        <v>0</v>
      </c>
      <c r="FF38" s="171">
        <v>0</v>
      </c>
      <c r="FG38" s="171">
        <v>0</v>
      </c>
      <c r="FH38" s="171">
        <v>0</v>
      </c>
      <c r="FI38" s="171">
        <v>0</v>
      </c>
      <c r="FJ38" s="171">
        <v>0</v>
      </c>
      <c r="FK38" s="171">
        <v>0</v>
      </c>
      <c r="FL38" s="171">
        <v>61.449999999999996</v>
      </c>
      <c r="FM38" s="171">
        <v>61.215859999999999</v>
      </c>
      <c r="FN38" s="171">
        <f t="shared" si="216"/>
        <v>450.25999999999988</v>
      </c>
      <c r="FO38" s="171">
        <f t="shared" si="211"/>
        <v>430.22654000000006</v>
      </c>
      <c r="FP38" s="171">
        <f t="shared" si="212"/>
        <v>158.44</v>
      </c>
      <c r="FQ38" s="171">
        <f t="shared" si="213"/>
        <v>147.6510524</v>
      </c>
      <c r="FR38" s="171">
        <f t="shared" si="214"/>
        <v>1389.7800000000002</v>
      </c>
      <c r="FS38" s="171">
        <f t="shared" si="215"/>
        <v>1040.3834630000001</v>
      </c>
      <c r="FT38" s="171">
        <f t="shared" si="217"/>
        <v>1998.48</v>
      </c>
      <c r="FU38" s="171">
        <f t="shared" si="218"/>
        <v>1618.2610554000003</v>
      </c>
      <c r="FW38" s="135" t="s">
        <v>13</v>
      </c>
      <c r="FX38" s="44">
        <f t="shared" si="219"/>
        <v>95550.690712033087</v>
      </c>
      <c r="FY38" s="44">
        <f t="shared" si="220"/>
        <v>93190.515273920726</v>
      </c>
      <c r="FZ38" s="44">
        <f t="shared" si="221"/>
        <v>74859.579429837817</v>
      </c>
      <c r="GA38" s="44">
        <f t="shared" si="222"/>
        <v>80974.593461030396</v>
      </c>
    </row>
    <row r="39" spans="1:187">
      <c r="A39" s="146" t="s">
        <v>18</v>
      </c>
      <c r="B39" s="171">
        <v>24.625</v>
      </c>
      <c r="C39" s="171">
        <v>25.69875</v>
      </c>
      <c r="D39" s="171">
        <v>0</v>
      </c>
      <c r="E39" s="171">
        <v>0</v>
      </c>
      <c r="F39" s="171">
        <v>260.81</v>
      </c>
      <c r="G39" s="171">
        <v>263.93388240000002</v>
      </c>
      <c r="H39" s="171">
        <v>0</v>
      </c>
      <c r="I39" s="171">
        <v>0</v>
      </c>
      <c r="J39" s="171">
        <v>0</v>
      </c>
      <c r="K39" s="171">
        <v>0</v>
      </c>
      <c r="L39" s="171">
        <v>0</v>
      </c>
      <c r="M39" s="171">
        <v>0</v>
      </c>
      <c r="N39" s="171">
        <v>280.22500000000002</v>
      </c>
      <c r="O39" s="171">
        <v>285.49014829999999</v>
      </c>
      <c r="P39" s="171">
        <v>13.25</v>
      </c>
      <c r="Q39" s="171">
        <v>13.835000000000001</v>
      </c>
      <c r="R39" s="171">
        <v>0</v>
      </c>
      <c r="S39" s="171">
        <v>0</v>
      </c>
      <c r="T39" s="171">
        <v>68.19</v>
      </c>
      <c r="U39" s="171">
        <v>69.474137800000008</v>
      </c>
      <c r="V39" s="171">
        <v>0</v>
      </c>
      <c r="W39" s="171">
        <v>0</v>
      </c>
      <c r="X39" s="171">
        <v>0</v>
      </c>
      <c r="Y39" s="171">
        <v>0</v>
      </c>
      <c r="Z39" s="171">
        <v>0</v>
      </c>
      <c r="AA39" s="171">
        <v>0</v>
      </c>
      <c r="AB39" s="171">
        <v>137.99</v>
      </c>
      <c r="AC39" s="171">
        <v>135.99122180000001</v>
      </c>
      <c r="AD39" s="171">
        <v>29.2</v>
      </c>
      <c r="AE39" s="171">
        <v>29.855</v>
      </c>
      <c r="AF39" s="171">
        <v>0</v>
      </c>
      <c r="AG39" s="171">
        <v>0</v>
      </c>
      <c r="AH39" s="171">
        <v>367.18999999999988</v>
      </c>
      <c r="AI39" s="171">
        <v>370.64275930000008</v>
      </c>
      <c r="AJ39" s="171">
        <v>0</v>
      </c>
      <c r="AK39" s="171">
        <v>0</v>
      </c>
      <c r="AL39" s="171">
        <v>0</v>
      </c>
      <c r="AM39" s="171">
        <v>0</v>
      </c>
      <c r="AN39" s="171">
        <v>0</v>
      </c>
      <c r="AO39" s="171">
        <v>0</v>
      </c>
      <c r="AP39" s="171">
        <v>434.93999999999983</v>
      </c>
      <c r="AQ39" s="171">
        <v>435.25914010000008</v>
      </c>
      <c r="AR39" s="171">
        <v>25</v>
      </c>
      <c r="AS39" s="171">
        <v>25.405000000000001</v>
      </c>
      <c r="AT39" s="171">
        <v>0</v>
      </c>
      <c r="AU39" s="171">
        <v>0</v>
      </c>
      <c r="AV39" s="171">
        <v>194.24</v>
      </c>
      <c r="AW39" s="171">
        <v>200.28055579999997</v>
      </c>
      <c r="AX39" s="171">
        <v>0</v>
      </c>
      <c r="AY39" s="171">
        <v>0</v>
      </c>
      <c r="AZ39" s="171">
        <v>0</v>
      </c>
      <c r="BA39" s="171">
        <v>0</v>
      </c>
      <c r="BB39" s="171">
        <v>0</v>
      </c>
      <c r="BC39" s="171">
        <v>0</v>
      </c>
      <c r="BD39" s="171">
        <v>299.44</v>
      </c>
      <c r="BE39" s="171">
        <v>300.72913249999999</v>
      </c>
      <c r="BF39" s="171">
        <v>15.275</v>
      </c>
      <c r="BG39" s="171">
        <v>15.215999999999999</v>
      </c>
      <c r="BH39" s="171">
        <v>0</v>
      </c>
      <c r="BI39" s="171">
        <v>0</v>
      </c>
      <c r="BJ39" s="171">
        <v>348.80099999999999</v>
      </c>
      <c r="BK39" s="171">
        <v>333.84565829999997</v>
      </c>
      <c r="BL39" s="171">
        <v>0</v>
      </c>
      <c r="BM39" s="171">
        <v>0</v>
      </c>
      <c r="BN39" s="171">
        <v>0</v>
      </c>
      <c r="BO39" s="171">
        <v>0</v>
      </c>
      <c r="BP39" s="171">
        <v>0</v>
      </c>
      <c r="BQ39" s="171">
        <v>0</v>
      </c>
      <c r="BR39" s="171">
        <v>433.17599999999999</v>
      </c>
      <c r="BS39" s="171">
        <v>408.01624700000013</v>
      </c>
      <c r="BT39" s="171">
        <v>9.8500000000000014</v>
      </c>
      <c r="BU39" s="171">
        <v>9.9917499999999997</v>
      </c>
      <c r="BV39" s="171">
        <v>0</v>
      </c>
      <c r="BW39" s="171">
        <v>0</v>
      </c>
      <c r="BX39" s="171">
        <v>203.43999999999994</v>
      </c>
      <c r="BY39" s="171">
        <v>201.64596419999998</v>
      </c>
      <c r="BZ39" s="171">
        <v>0</v>
      </c>
      <c r="CA39" s="171">
        <v>0</v>
      </c>
      <c r="CB39" s="171">
        <v>0</v>
      </c>
      <c r="CC39" s="171">
        <v>0</v>
      </c>
      <c r="CD39" s="171">
        <v>0</v>
      </c>
      <c r="CE39" s="171">
        <v>0</v>
      </c>
      <c r="CF39" s="171">
        <v>250.88999999999996</v>
      </c>
      <c r="CG39" s="171">
        <v>247.98202710000001</v>
      </c>
      <c r="CH39" s="171">
        <v>17.45</v>
      </c>
      <c r="CI39" s="171">
        <v>16.727905</v>
      </c>
      <c r="CJ39" s="171">
        <v>0</v>
      </c>
      <c r="CK39" s="171">
        <v>0</v>
      </c>
      <c r="CL39" s="171">
        <v>326.84499999999997</v>
      </c>
      <c r="CM39" s="171">
        <v>286.46973739999993</v>
      </c>
      <c r="CN39" s="171">
        <v>0</v>
      </c>
      <c r="CO39" s="171">
        <v>0</v>
      </c>
      <c r="CP39" s="171">
        <v>0</v>
      </c>
      <c r="CQ39" s="171">
        <v>0</v>
      </c>
      <c r="CR39" s="171">
        <v>0</v>
      </c>
      <c r="CS39" s="171">
        <v>0</v>
      </c>
      <c r="CT39" s="171">
        <v>376.61999999999995</v>
      </c>
      <c r="CU39" s="171">
        <v>328.6333636</v>
      </c>
      <c r="CV39" s="171">
        <v>23.463000000000001</v>
      </c>
      <c r="CW39" s="171">
        <v>22.383319699999998</v>
      </c>
      <c r="CX39" s="171">
        <v>0</v>
      </c>
      <c r="CY39" s="171">
        <v>0</v>
      </c>
      <c r="CZ39" s="171">
        <v>140.238</v>
      </c>
      <c r="DA39" s="171">
        <v>128.77585950000002</v>
      </c>
      <c r="DB39" s="171">
        <v>0</v>
      </c>
      <c r="DC39" s="171">
        <v>0</v>
      </c>
      <c r="DD39" s="171">
        <v>0</v>
      </c>
      <c r="DE39" s="171">
        <v>0</v>
      </c>
      <c r="DF39" s="171">
        <v>0</v>
      </c>
      <c r="DG39" s="171">
        <v>0</v>
      </c>
      <c r="DH39" s="171">
        <v>204.251</v>
      </c>
      <c r="DI39" s="171">
        <v>185.75195410000001</v>
      </c>
      <c r="DJ39" s="171">
        <v>16.824999999999999</v>
      </c>
      <c r="DK39" s="171">
        <v>16.046140000000001</v>
      </c>
      <c r="DL39" s="171">
        <v>0</v>
      </c>
      <c r="DM39" s="171">
        <v>0</v>
      </c>
      <c r="DN39" s="171">
        <v>426.69799999999998</v>
      </c>
      <c r="DO39" s="171">
        <v>382.4776030000001</v>
      </c>
      <c r="DP39" s="171">
        <v>0</v>
      </c>
      <c r="DQ39" s="171">
        <v>0</v>
      </c>
      <c r="DR39" s="171">
        <v>0</v>
      </c>
      <c r="DS39" s="171">
        <v>0</v>
      </c>
      <c r="DT39" s="171">
        <v>0</v>
      </c>
      <c r="DU39" s="171">
        <v>0</v>
      </c>
      <c r="DV39" s="171">
        <v>488.52200000000005</v>
      </c>
      <c r="DW39" s="171">
        <v>436.42598730000009</v>
      </c>
      <c r="DX39" s="171">
        <v>26.15</v>
      </c>
      <c r="DY39" s="171">
        <v>25.395565000000001</v>
      </c>
      <c r="DZ39" s="171">
        <v>0</v>
      </c>
      <c r="EA39" s="171">
        <v>0</v>
      </c>
      <c r="EB39" s="171">
        <v>465.23599999999988</v>
      </c>
      <c r="EC39" s="171">
        <v>432.69775550000014</v>
      </c>
      <c r="ED39" s="171">
        <v>0</v>
      </c>
      <c r="EE39" s="171">
        <v>0</v>
      </c>
      <c r="EF39" s="171">
        <v>0</v>
      </c>
      <c r="EG39" s="171">
        <v>0</v>
      </c>
      <c r="EH39" s="171">
        <v>0</v>
      </c>
      <c r="EI39" s="171">
        <v>0</v>
      </c>
      <c r="EJ39" s="171">
        <v>518.96599999999989</v>
      </c>
      <c r="EK39" s="171">
        <v>480.82521580000008</v>
      </c>
      <c r="EL39" s="171">
        <v>20.2</v>
      </c>
      <c r="EM39" s="171">
        <v>18.832872500000001</v>
      </c>
      <c r="EN39" s="171">
        <v>0</v>
      </c>
      <c r="EO39" s="171">
        <v>0</v>
      </c>
      <c r="EP39" s="171">
        <v>180.50400000000002</v>
      </c>
      <c r="EQ39" s="171">
        <v>157.94285330000002</v>
      </c>
      <c r="ER39" s="171">
        <v>0</v>
      </c>
      <c r="ES39" s="171">
        <v>0</v>
      </c>
      <c r="ET39" s="171">
        <v>0</v>
      </c>
      <c r="EU39" s="171">
        <v>0</v>
      </c>
      <c r="EV39" s="171">
        <v>0</v>
      </c>
      <c r="EW39" s="171">
        <v>0</v>
      </c>
      <c r="EX39" s="171">
        <v>270.3540000000001</v>
      </c>
      <c r="EY39" s="171">
        <v>235.97823390000002</v>
      </c>
      <c r="EZ39" s="171">
        <v>41.6</v>
      </c>
      <c r="FA39" s="171">
        <v>39.070854700000005</v>
      </c>
      <c r="FB39" s="171">
        <v>0</v>
      </c>
      <c r="FC39" s="171">
        <v>0</v>
      </c>
      <c r="FD39" s="171">
        <v>657.61</v>
      </c>
      <c r="FE39" s="171">
        <v>540.9617113999999</v>
      </c>
      <c r="FF39" s="171">
        <v>0</v>
      </c>
      <c r="FG39" s="171">
        <v>0</v>
      </c>
      <c r="FH39" s="171">
        <v>0</v>
      </c>
      <c r="FI39" s="171">
        <v>0</v>
      </c>
      <c r="FJ39" s="171">
        <v>0</v>
      </c>
      <c r="FK39" s="171">
        <v>0</v>
      </c>
      <c r="FL39" s="171">
        <v>765.1099999999999</v>
      </c>
      <c r="FM39" s="171">
        <v>636.76615390000006</v>
      </c>
      <c r="FN39" s="171">
        <f t="shared" si="216"/>
        <v>262.88799999999998</v>
      </c>
      <c r="FO39" s="171">
        <f t="shared" si="211"/>
        <v>258.45815690000001</v>
      </c>
      <c r="FP39" s="171">
        <f t="shared" si="212"/>
        <v>0</v>
      </c>
      <c r="FQ39" s="171">
        <f t="shared" si="213"/>
        <v>0</v>
      </c>
      <c r="FR39" s="171">
        <f t="shared" si="214"/>
        <v>3639.8019999999997</v>
      </c>
      <c r="FS39" s="171">
        <f t="shared" si="215"/>
        <v>3369.1484779000002</v>
      </c>
      <c r="FT39" s="171">
        <f t="shared" si="217"/>
        <v>3902.6899999999996</v>
      </c>
      <c r="FU39" s="171">
        <f t="shared" si="218"/>
        <v>3627.6066348000004</v>
      </c>
      <c r="FW39" s="135" t="s">
        <v>18</v>
      </c>
      <c r="FX39" s="44">
        <f t="shared" si="219"/>
        <v>98314.931415659914</v>
      </c>
      <c r="FY39" s="44">
        <f t="shared" si="220"/>
        <v>0</v>
      </c>
      <c r="FZ39" s="44">
        <f t="shared" si="221"/>
        <v>92564.059196077156</v>
      </c>
      <c r="GA39" s="44">
        <f t="shared" si="222"/>
        <v>92951.442077131433</v>
      </c>
    </row>
    <row r="40" spans="1:187">
      <c r="A40" s="146" t="s">
        <v>15</v>
      </c>
      <c r="B40" s="171">
        <v>249.4</v>
      </c>
      <c r="C40" s="171">
        <v>248.5211357</v>
      </c>
      <c r="D40" s="171">
        <v>0</v>
      </c>
      <c r="E40" s="171">
        <v>0</v>
      </c>
      <c r="F40" s="171">
        <v>952.84</v>
      </c>
      <c r="G40" s="171">
        <v>820.35194720000004</v>
      </c>
      <c r="H40" s="171">
        <v>0</v>
      </c>
      <c r="I40" s="171">
        <v>0</v>
      </c>
      <c r="J40" s="171">
        <v>0</v>
      </c>
      <c r="K40" s="171">
        <v>0</v>
      </c>
      <c r="L40" s="171">
        <v>0</v>
      </c>
      <c r="M40" s="171">
        <v>0</v>
      </c>
      <c r="N40" s="171">
        <v>1205.1400000000001</v>
      </c>
      <c r="O40" s="171">
        <v>1072.0746830999999</v>
      </c>
      <c r="P40" s="171">
        <v>233</v>
      </c>
      <c r="Q40" s="171">
        <v>230.59497999999999</v>
      </c>
      <c r="R40" s="171">
        <v>0</v>
      </c>
      <c r="S40" s="171">
        <v>0</v>
      </c>
      <c r="T40" s="171">
        <v>716.81499999999994</v>
      </c>
      <c r="U40" s="171">
        <v>653.0981670000001</v>
      </c>
      <c r="V40" s="171">
        <v>0</v>
      </c>
      <c r="W40" s="171">
        <v>0</v>
      </c>
      <c r="X40" s="171">
        <v>0</v>
      </c>
      <c r="Y40" s="171">
        <v>0</v>
      </c>
      <c r="Z40" s="171">
        <v>0</v>
      </c>
      <c r="AA40" s="171">
        <v>0</v>
      </c>
      <c r="AB40" s="171">
        <v>895.53999999999985</v>
      </c>
      <c r="AC40" s="171">
        <v>833.34529350000014</v>
      </c>
      <c r="AD40" s="171">
        <v>226.4</v>
      </c>
      <c r="AE40" s="171">
        <v>221.71256</v>
      </c>
      <c r="AF40" s="171">
        <v>0</v>
      </c>
      <c r="AG40" s="171">
        <v>0</v>
      </c>
      <c r="AH40" s="171">
        <v>938.58999999999992</v>
      </c>
      <c r="AI40" s="171">
        <v>849.16725740000027</v>
      </c>
      <c r="AJ40" s="171">
        <v>0</v>
      </c>
      <c r="AK40" s="171">
        <v>0</v>
      </c>
      <c r="AL40" s="171">
        <v>0</v>
      </c>
      <c r="AM40" s="171">
        <v>0</v>
      </c>
      <c r="AN40" s="171">
        <v>0</v>
      </c>
      <c r="AO40" s="171">
        <v>0</v>
      </c>
      <c r="AP40" s="171">
        <v>1115.7199999999998</v>
      </c>
      <c r="AQ40" s="171">
        <v>1038.5229228000001</v>
      </c>
      <c r="AR40" s="171">
        <v>248.72499999999999</v>
      </c>
      <c r="AS40" s="171">
        <v>245.9205</v>
      </c>
      <c r="AT40" s="171">
        <v>0</v>
      </c>
      <c r="AU40" s="171">
        <v>0</v>
      </c>
      <c r="AV40" s="171">
        <v>942.84999999999991</v>
      </c>
      <c r="AW40" s="171">
        <v>833.12541689999978</v>
      </c>
      <c r="AX40" s="171">
        <v>0</v>
      </c>
      <c r="AY40" s="171">
        <v>0</v>
      </c>
      <c r="AZ40" s="171">
        <v>0</v>
      </c>
      <c r="BA40" s="171">
        <v>0</v>
      </c>
      <c r="BB40" s="171">
        <v>0</v>
      </c>
      <c r="BC40" s="171">
        <v>0</v>
      </c>
      <c r="BD40" s="171">
        <v>1130.1349999999998</v>
      </c>
      <c r="BE40" s="171">
        <v>1021.8783174999996</v>
      </c>
      <c r="BF40" s="171">
        <v>329.39999999999992</v>
      </c>
      <c r="BG40" s="171">
        <v>319.00175000000002</v>
      </c>
      <c r="BH40" s="171">
        <v>0</v>
      </c>
      <c r="BI40" s="171">
        <v>0</v>
      </c>
      <c r="BJ40" s="171">
        <v>586.68999999999994</v>
      </c>
      <c r="BK40" s="171">
        <v>495.49829340000002</v>
      </c>
      <c r="BL40" s="171">
        <v>0</v>
      </c>
      <c r="BM40" s="171">
        <v>0</v>
      </c>
      <c r="BN40" s="171">
        <v>0</v>
      </c>
      <c r="BO40" s="171">
        <v>0</v>
      </c>
      <c r="BP40" s="171">
        <v>0</v>
      </c>
      <c r="BQ40" s="171">
        <v>0</v>
      </c>
      <c r="BR40" s="171">
        <v>857.93999999999983</v>
      </c>
      <c r="BS40" s="171">
        <v>766.42591069999992</v>
      </c>
      <c r="BT40" s="171">
        <v>527.995</v>
      </c>
      <c r="BU40" s="171">
        <v>428.64710430000008</v>
      </c>
      <c r="BV40" s="171">
        <v>0</v>
      </c>
      <c r="BW40" s="171">
        <v>0</v>
      </c>
      <c r="BX40" s="171">
        <v>694.03000000000009</v>
      </c>
      <c r="BY40" s="171">
        <v>616.11764670000014</v>
      </c>
      <c r="BZ40" s="171">
        <v>0</v>
      </c>
      <c r="CA40" s="171">
        <v>0</v>
      </c>
      <c r="CB40" s="171">
        <v>0</v>
      </c>
      <c r="CC40" s="171">
        <v>0</v>
      </c>
      <c r="CD40" s="171">
        <v>0</v>
      </c>
      <c r="CE40" s="171">
        <v>0</v>
      </c>
      <c r="CF40" s="171">
        <v>1192.4250000000002</v>
      </c>
      <c r="CG40" s="171">
        <v>1015.5268381000001</v>
      </c>
      <c r="CH40" s="171">
        <v>567.8900000000001</v>
      </c>
      <c r="CI40" s="171">
        <v>491.04930740000003</v>
      </c>
      <c r="CJ40" s="171">
        <v>0</v>
      </c>
      <c r="CK40" s="171">
        <v>0</v>
      </c>
      <c r="CL40" s="171">
        <v>1262.4959999999999</v>
      </c>
      <c r="CM40" s="171">
        <v>1032.7302918000003</v>
      </c>
      <c r="CN40" s="171">
        <v>0</v>
      </c>
      <c r="CO40" s="171">
        <v>0</v>
      </c>
      <c r="CP40" s="171">
        <v>0</v>
      </c>
      <c r="CQ40" s="171">
        <v>0</v>
      </c>
      <c r="CR40" s="171">
        <v>0</v>
      </c>
      <c r="CS40" s="171">
        <v>0</v>
      </c>
      <c r="CT40" s="171">
        <v>1769.9010000000001</v>
      </c>
      <c r="CU40" s="171">
        <v>1472.9815920000003</v>
      </c>
      <c r="CV40" s="171">
        <v>891.78499999999985</v>
      </c>
      <c r="CW40" s="171">
        <v>728.58277370000008</v>
      </c>
      <c r="CX40" s="171">
        <v>0</v>
      </c>
      <c r="CY40" s="171">
        <v>0</v>
      </c>
      <c r="CZ40" s="171">
        <v>667.86500000000001</v>
      </c>
      <c r="DA40" s="171">
        <v>570.05118140000002</v>
      </c>
      <c r="DB40" s="171">
        <v>0</v>
      </c>
      <c r="DC40" s="171">
        <v>0</v>
      </c>
      <c r="DD40" s="171">
        <v>0</v>
      </c>
      <c r="DE40" s="171">
        <v>0</v>
      </c>
      <c r="DF40" s="171">
        <v>0</v>
      </c>
      <c r="DG40" s="171">
        <v>0</v>
      </c>
      <c r="DH40" s="171">
        <v>1507.2749999999999</v>
      </c>
      <c r="DI40" s="171">
        <v>1254.4634645000001</v>
      </c>
      <c r="DJ40" s="171">
        <v>1557.8300000000002</v>
      </c>
      <c r="DK40" s="171">
        <v>1211.5057829</v>
      </c>
      <c r="DL40" s="171">
        <v>0</v>
      </c>
      <c r="DM40" s="171">
        <v>0</v>
      </c>
      <c r="DN40" s="171">
        <v>1664.1479999999997</v>
      </c>
      <c r="DO40" s="171">
        <v>1335.5667557000011</v>
      </c>
      <c r="DP40" s="171">
        <v>0</v>
      </c>
      <c r="DQ40" s="171">
        <v>0</v>
      </c>
      <c r="DR40" s="171">
        <v>0</v>
      </c>
      <c r="DS40" s="171">
        <v>0</v>
      </c>
      <c r="DT40" s="171">
        <v>0</v>
      </c>
      <c r="DU40" s="171">
        <v>0</v>
      </c>
      <c r="DV40" s="171">
        <v>3153.7</v>
      </c>
      <c r="DW40" s="171">
        <v>2489.1693079000011</v>
      </c>
      <c r="DX40" s="171">
        <v>1666.2150000000001</v>
      </c>
      <c r="DY40" s="171">
        <v>1235.7939195000001</v>
      </c>
      <c r="DZ40" s="171">
        <v>0</v>
      </c>
      <c r="EA40" s="171">
        <v>0</v>
      </c>
      <c r="EB40" s="171">
        <v>1054.2950000000001</v>
      </c>
      <c r="EC40" s="171">
        <v>837.81085850000011</v>
      </c>
      <c r="ED40" s="171">
        <v>0</v>
      </c>
      <c r="EE40" s="171">
        <v>0</v>
      </c>
      <c r="EF40" s="171">
        <v>0</v>
      </c>
      <c r="EG40" s="171">
        <v>0</v>
      </c>
      <c r="EH40" s="171">
        <v>0</v>
      </c>
      <c r="EI40" s="171">
        <v>0</v>
      </c>
      <c r="EJ40" s="171">
        <v>2708.21</v>
      </c>
      <c r="EK40" s="171">
        <v>2065.2423613999999</v>
      </c>
      <c r="EL40" s="171">
        <v>1419.4200000000005</v>
      </c>
      <c r="EM40" s="171">
        <v>1052.3927430000003</v>
      </c>
      <c r="EN40" s="171">
        <v>0</v>
      </c>
      <c r="EO40" s="171">
        <v>0</v>
      </c>
      <c r="EP40" s="171">
        <v>902.26200000000006</v>
      </c>
      <c r="EQ40" s="171">
        <v>753.00466410000001</v>
      </c>
      <c r="ER40" s="171">
        <v>0</v>
      </c>
      <c r="ES40" s="171">
        <v>0</v>
      </c>
      <c r="ET40" s="171">
        <v>0</v>
      </c>
      <c r="EU40" s="171">
        <v>0</v>
      </c>
      <c r="EV40" s="171">
        <v>0</v>
      </c>
      <c r="EW40" s="171">
        <v>0</v>
      </c>
      <c r="EX40" s="171">
        <v>2234.6310000000003</v>
      </c>
      <c r="EY40" s="171">
        <v>1731.7803114000003</v>
      </c>
      <c r="EZ40" s="171">
        <v>985.32499999999982</v>
      </c>
      <c r="FA40" s="171">
        <v>731.84882899999991</v>
      </c>
      <c r="FB40" s="171">
        <v>0</v>
      </c>
      <c r="FC40" s="171">
        <v>0</v>
      </c>
      <c r="FD40" s="171">
        <v>976.23199999999963</v>
      </c>
      <c r="FE40" s="171">
        <v>794.02811849999966</v>
      </c>
      <c r="FF40" s="171">
        <v>0</v>
      </c>
      <c r="FG40" s="171">
        <v>0</v>
      </c>
      <c r="FH40" s="171">
        <v>0</v>
      </c>
      <c r="FI40" s="171">
        <v>0</v>
      </c>
      <c r="FJ40" s="171">
        <v>0</v>
      </c>
      <c r="FK40" s="171">
        <v>0</v>
      </c>
      <c r="FL40" s="171">
        <v>1888.0069999999996</v>
      </c>
      <c r="FM40" s="171">
        <v>1465.4405580999999</v>
      </c>
      <c r="FN40" s="171">
        <f t="shared" si="216"/>
        <v>8903.385000000002</v>
      </c>
      <c r="FO40" s="171">
        <f t="shared" si="211"/>
        <v>7145.5713855000004</v>
      </c>
      <c r="FP40" s="171">
        <f t="shared" si="212"/>
        <v>0</v>
      </c>
      <c r="FQ40" s="171">
        <f t="shared" si="213"/>
        <v>0</v>
      </c>
      <c r="FR40" s="171">
        <f t="shared" si="214"/>
        <v>11359.112999999999</v>
      </c>
      <c r="FS40" s="171">
        <f t="shared" si="215"/>
        <v>9590.5505986000026</v>
      </c>
      <c r="FT40" s="171">
        <f t="shared" si="217"/>
        <v>20262.498</v>
      </c>
      <c r="FU40" s="171">
        <f t="shared" si="218"/>
        <v>16736.121984100002</v>
      </c>
      <c r="FW40" s="135" t="s">
        <v>15</v>
      </c>
      <c r="FX40" s="44">
        <f t="shared" si="219"/>
        <v>80256.794303514893</v>
      </c>
      <c r="FY40" s="44">
        <f t="shared" si="220"/>
        <v>0</v>
      </c>
      <c r="FZ40" s="44">
        <f t="shared" si="221"/>
        <v>84430.453316205268</v>
      </c>
      <c r="GA40" s="44">
        <f t="shared" si="222"/>
        <v>82596.538610885982</v>
      </c>
    </row>
    <row r="41" spans="1:187">
      <c r="A41" s="146" t="s">
        <v>16</v>
      </c>
      <c r="B41" s="171">
        <v>18</v>
      </c>
      <c r="C41" s="171">
        <v>17.9328538</v>
      </c>
      <c r="D41" s="171">
        <v>0</v>
      </c>
      <c r="E41" s="171">
        <v>0</v>
      </c>
      <c r="F41" s="171">
        <v>70.650000000000006</v>
      </c>
      <c r="G41" s="171">
        <v>73.148639599999996</v>
      </c>
      <c r="H41" s="171">
        <v>0</v>
      </c>
      <c r="I41" s="171">
        <v>0</v>
      </c>
      <c r="J41" s="171">
        <v>0</v>
      </c>
      <c r="K41" s="171">
        <v>0</v>
      </c>
      <c r="L41" s="171">
        <v>0</v>
      </c>
      <c r="M41" s="171">
        <v>0</v>
      </c>
      <c r="N41" s="171">
        <v>93</v>
      </c>
      <c r="O41" s="171">
        <v>94.423559300000008</v>
      </c>
      <c r="P41" s="171">
        <v>41.347000000000001</v>
      </c>
      <c r="Q41" s="171">
        <v>40.7447254</v>
      </c>
      <c r="R41" s="171">
        <v>0</v>
      </c>
      <c r="S41" s="171">
        <v>0</v>
      </c>
      <c r="T41" s="171">
        <v>84.75500000000001</v>
      </c>
      <c r="U41" s="171">
        <v>84.072861000000003</v>
      </c>
      <c r="V41" s="171">
        <v>0</v>
      </c>
      <c r="W41" s="171">
        <v>0</v>
      </c>
      <c r="X41" s="171">
        <v>0</v>
      </c>
      <c r="Y41" s="171">
        <v>0</v>
      </c>
      <c r="Z41" s="171">
        <v>0</v>
      </c>
      <c r="AA41" s="171">
        <v>0</v>
      </c>
      <c r="AB41" s="171">
        <v>123.827</v>
      </c>
      <c r="AC41" s="171">
        <v>122.48335589999999</v>
      </c>
      <c r="AD41" s="171">
        <v>28.875</v>
      </c>
      <c r="AE41" s="171">
        <v>28.391849199999999</v>
      </c>
      <c r="AF41" s="171">
        <v>0</v>
      </c>
      <c r="AG41" s="171">
        <v>0</v>
      </c>
      <c r="AH41" s="171">
        <v>58.83</v>
      </c>
      <c r="AI41" s="171">
        <v>67.412185700000009</v>
      </c>
      <c r="AJ41" s="171">
        <v>0</v>
      </c>
      <c r="AK41" s="171">
        <v>0</v>
      </c>
      <c r="AL41" s="171">
        <v>0</v>
      </c>
      <c r="AM41" s="171">
        <v>0</v>
      </c>
      <c r="AN41" s="171">
        <v>0</v>
      </c>
      <c r="AO41" s="171">
        <v>0</v>
      </c>
      <c r="AP41" s="171">
        <v>107.505</v>
      </c>
      <c r="AQ41" s="171">
        <v>113.27896189999998</v>
      </c>
      <c r="AR41" s="171">
        <v>88.15</v>
      </c>
      <c r="AS41" s="171">
        <v>87.935735399999984</v>
      </c>
      <c r="AT41" s="171">
        <v>0</v>
      </c>
      <c r="AU41" s="171">
        <v>0</v>
      </c>
      <c r="AV41" s="171">
        <v>83.300000000000011</v>
      </c>
      <c r="AW41" s="171">
        <v>80.909460500000009</v>
      </c>
      <c r="AX41" s="171">
        <v>0</v>
      </c>
      <c r="AY41" s="171">
        <v>0</v>
      </c>
      <c r="AZ41" s="171">
        <v>0</v>
      </c>
      <c r="BA41" s="171">
        <v>0</v>
      </c>
      <c r="BB41" s="171">
        <v>0</v>
      </c>
      <c r="BC41" s="171">
        <v>0</v>
      </c>
      <c r="BD41" s="171">
        <v>152.69</v>
      </c>
      <c r="BE41" s="171">
        <v>150.96921859999998</v>
      </c>
      <c r="BF41" s="171">
        <v>56.2</v>
      </c>
      <c r="BG41" s="171">
        <v>54.516069199999997</v>
      </c>
      <c r="BH41" s="171">
        <v>0</v>
      </c>
      <c r="BI41" s="171">
        <v>0</v>
      </c>
      <c r="BJ41" s="171">
        <v>94.405000000000001</v>
      </c>
      <c r="BK41" s="171">
        <v>93.202390000000022</v>
      </c>
      <c r="BL41" s="171">
        <v>0</v>
      </c>
      <c r="BM41" s="171">
        <v>0</v>
      </c>
      <c r="BN41" s="171">
        <v>0</v>
      </c>
      <c r="BO41" s="171">
        <v>0</v>
      </c>
      <c r="BP41" s="171">
        <v>0</v>
      </c>
      <c r="BQ41" s="171">
        <v>0</v>
      </c>
      <c r="BR41" s="171">
        <v>139.655</v>
      </c>
      <c r="BS41" s="171">
        <v>136.8380032</v>
      </c>
      <c r="BT41" s="171">
        <v>90.25</v>
      </c>
      <c r="BU41" s="171">
        <v>85.5455635</v>
      </c>
      <c r="BV41" s="171">
        <v>0</v>
      </c>
      <c r="BW41" s="171">
        <v>0</v>
      </c>
      <c r="BX41" s="171">
        <v>29.48</v>
      </c>
      <c r="BY41" s="171">
        <v>29.405249999999999</v>
      </c>
      <c r="BZ41" s="171">
        <v>0</v>
      </c>
      <c r="CA41" s="171">
        <v>0</v>
      </c>
      <c r="CB41" s="171">
        <v>0</v>
      </c>
      <c r="CC41" s="171">
        <v>0</v>
      </c>
      <c r="CD41" s="171">
        <v>0</v>
      </c>
      <c r="CE41" s="171">
        <v>0</v>
      </c>
      <c r="CF41" s="171">
        <v>111.73</v>
      </c>
      <c r="CG41" s="171">
        <v>107.8444135</v>
      </c>
      <c r="CH41" s="171">
        <v>83.325000000000003</v>
      </c>
      <c r="CI41" s="171">
        <v>77.956061299999988</v>
      </c>
      <c r="CJ41" s="171">
        <v>0</v>
      </c>
      <c r="CK41" s="171">
        <v>0</v>
      </c>
      <c r="CL41" s="171">
        <v>76.507000000000005</v>
      </c>
      <c r="CM41" s="171">
        <v>72.6412172</v>
      </c>
      <c r="CN41" s="171">
        <v>0</v>
      </c>
      <c r="CO41" s="171">
        <v>0</v>
      </c>
      <c r="CP41" s="171">
        <v>0</v>
      </c>
      <c r="CQ41" s="171">
        <v>0</v>
      </c>
      <c r="CR41" s="171">
        <v>0</v>
      </c>
      <c r="CS41" s="171">
        <v>0</v>
      </c>
      <c r="CT41" s="171">
        <v>175.99200000000002</v>
      </c>
      <c r="CU41" s="171">
        <v>164.8088257</v>
      </c>
      <c r="CV41" s="171">
        <v>87.875</v>
      </c>
      <c r="CW41" s="171">
        <v>82.261498300000014</v>
      </c>
      <c r="CX41" s="171">
        <v>0</v>
      </c>
      <c r="CY41" s="171">
        <v>0</v>
      </c>
      <c r="CZ41" s="171">
        <v>31.155000000000001</v>
      </c>
      <c r="DA41" s="171">
        <v>30.9986067</v>
      </c>
      <c r="DB41" s="171">
        <v>0</v>
      </c>
      <c r="DC41" s="171">
        <v>0</v>
      </c>
      <c r="DD41" s="171">
        <v>0</v>
      </c>
      <c r="DE41" s="171">
        <v>0</v>
      </c>
      <c r="DF41" s="171">
        <v>0</v>
      </c>
      <c r="DG41" s="171">
        <v>0</v>
      </c>
      <c r="DH41" s="171">
        <v>131.85500000000002</v>
      </c>
      <c r="DI41" s="171">
        <v>123.848083</v>
      </c>
      <c r="DJ41" s="171">
        <v>53.424999999999997</v>
      </c>
      <c r="DK41" s="171">
        <v>49.673474299999995</v>
      </c>
      <c r="DL41" s="171">
        <v>0</v>
      </c>
      <c r="DM41" s="171">
        <v>0</v>
      </c>
      <c r="DN41" s="171">
        <v>125.411</v>
      </c>
      <c r="DO41" s="171">
        <v>128.71046159999997</v>
      </c>
      <c r="DP41" s="171">
        <v>0</v>
      </c>
      <c r="DQ41" s="171">
        <v>0</v>
      </c>
      <c r="DR41" s="171">
        <v>0</v>
      </c>
      <c r="DS41" s="171">
        <v>0</v>
      </c>
      <c r="DT41" s="171">
        <v>0</v>
      </c>
      <c r="DU41" s="171">
        <v>0</v>
      </c>
      <c r="DV41" s="171">
        <v>202.11500000000001</v>
      </c>
      <c r="DW41" s="171">
        <v>198.38492230000003</v>
      </c>
      <c r="DX41" s="171">
        <v>48.375</v>
      </c>
      <c r="DY41" s="171">
        <v>46.664462800000003</v>
      </c>
      <c r="DZ41" s="171">
        <v>0</v>
      </c>
      <c r="EA41" s="171">
        <v>0</v>
      </c>
      <c r="EB41" s="171">
        <v>72.209999999999994</v>
      </c>
      <c r="EC41" s="171">
        <v>66.069086200000001</v>
      </c>
      <c r="ED41" s="171">
        <v>0</v>
      </c>
      <c r="EE41" s="171">
        <v>0</v>
      </c>
      <c r="EF41" s="171">
        <v>0</v>
      </c>
      <c r="EG41" s="171">
        <v>0</v>
      </c>
      <c r="EH41" s="171">
        <v>0</v>
      </c>
      <c r="EI41" s="171">
        <v>0</v>
      </c>
      <c r="EJ41" s="171">
        <v>111.08499999999999</v>
      </c>
      <c r="EK41" s="171">
        <v>104.18255630000002</v>
      </c>
      <c r="EL41" s="171">
        <v>81.575000000000003</v>
      </c>
      <c r="EM41" s="171">
        <v>79.559699100000003</v>
      </c>
      <c r="EN41" s="171">
        <v>0</v>
      </c>
      <c r="EO41" s="171">
        <v>0</v>
      </c>
      <c r="EP41" s="171">
        <v>49.051999999999992</v>
      </c>
      <c r="EQ41" s="171">
        <v>43.071311700000003</v>
      </c>
      <c r="ER41" s="171">
        <v>0</v>
      </c>
      <c r="ES41" s="171">
        <v>0</v>
      </c>
      <c r="ET41" s="171">
        <v>0</v>
      </c>
      <c r="EU41" s="171">
        <v>0</v>
      </c>
      <c r="EV41" s="171">
        <v>0</v>
      </c>
      <c r="EW41" s="171">
        <v>0</v>
      </c>
      <c r="EX41" s="171">
        <v>148.02800000000002</v>
      </c>
      <c r="EY41" s="171">
        <v>137.04559840000002</v>
      </c>
      <c r="EZ41" s="171">
        <v>24</v>
      </c>
      <c r="FA41" s="171">
        <v>22.727421500000005</v>
      </c>
      <c r="FB41" s="171">
        <v>5</v>
      </c>
      <c r="FC41" s="171">
        <v>5.05</v>
      </c>
      <c r="FD41" s="171">
        <v>76.960000000000008</v>
      </c>
      <c r="FE41" s="171">
        <v>76.213351999999986</v>
      </c>
      <c r="FF41" s="171">
        <v>0</v>
      </c>
      <c r="FG41" s="171">
        <v>0</v>
      </c>
      <c r="FH41" s="171">
        <v>0</v>
      </c>
      <c r="FI41" s="171">
        <v>0</v>
      </c>
      <c r="FJ41" s="171">
        <v>0</v>
      </c>
      <c r="FK41" s="171">
        <v>0</v>
      </c>
      <c r="FL41" s="171">
        <v>119.81</v>
      </c>
      <c r="FM41" s="171">
        <v>118.49146039999999</v>
      </c>
      <c r="FN41" s="171">
        <f t="shared" si="216"/>
        <v>701.39700000000005</v>
      </c>
      <c r="FO41" s="171">
        <f t="shared" si="211"/>
        <v>673.90941380000004</v>
      </c>
      <c r="FP41" s="171">
        <f t="shared" si="212"/>
        <v>5</v>
      </c>
      <c r="FQ41" s="171">
        <f t="shared" si="213"/>
        <v>5.05</v>
      </c>
      <c r="FR41" s="171">
        <f t="shared" si="214"/>
        <v>852.71500000000026</v>
      </c>
      <c r="FS41" s="171">
        <f t="shared" si="215"/>
        <v>845.85482220000006</v>
      </c>
      <c r="FT41" s="171">
        <f t="shared" si="217"/>
        <v>1559.1120000000003</v>
      </c>
      <c r="FU41" s="171">
        <f t="shared" si="218"/>
        <v>1524.8142360000002</v>
      </c>
      <c r="FW41" s="135" t="s">
        <v>16</v>
      </c>
      <c r="FX41" s="44">
        <f t="shared" si="219"/>
        <v>96081.023129554305</v>
      </c>
      <c r="FY41" s="44">
        <f t="shared" si="220"/>
        <v>101000</v>
      </c>
      <c r="FZ41" s="44">
        <f t="shared" si="221"/>
        <v>99195.489958544145</v>
      </c>
      <c r="GA41" s="44">
        <f t="shared" si="222"/>
        <v>97800.173175499891</v>
      </c>
    </row>
    <row r="42" spans="1:187">
      <c r="A42" s="146" t="s">
        <v>148</v>
      </c>
      <c r="B42" s="171"/>
      <c r="C42" s="171"/>
      <c r="D42" s="171"/>
      <c r="E42" s="171"/>
      <c r="F42" s="171"/>
      <c r="G42" s="171"/>
      <c r="H42" s="171">
        <v>218.44</v>
      </c>
      <c r="I42" s="171">
        <v>67.122496600000005</v>
      </c>
      <c r="J42" s="171">
        <v>0</v>
      </c>
      <c r="K42" s="171">
        <v>0</v>
      </c>
      <c r="L42" s="171">
        <v>125.95000000000002</v>
      </c>
      <c r="M42" s="171">
        <v>254.3999148</v>
      </c>
      <c r="N42" s="171">
        <v>344.39</v>
      </c>
      <c r="O42" s="171">
        <v>321.52241140000001</v>
      </c>
      <c r="P42" s="171"/>
      <c r="Q42" s="171"/>
      <c r="R42" s="171"/>
      <c r="S42" s="171"/>
      <c r="T42" s="171"/>
      <c r="U42" s="171"/>
      <c r="V42" s="171">
        <v>196.02199999999999</v>
      </c>
      <c r="W42" s="171">
        <v>115.4066706</v>
      </c>
      <c r="X42" s="171">
        <v>0</v>
      </c>
      <c r="Y42" s="171">
        <v>0</v>
      </c>
      <c r="Z42" s="171">
        <v>71.424999999999997</v>
      </c>
      <c r="AA42" s="171">
        <v>148.15228379999999</v>
      </c>
      <c r="AB42" s="171">
        <v>267.447</v>
      </c>
      <c r="AC42" s="171">
        <v>263.5589544</v>
      </c>
      <c r="AD42" s="171"/>
      <c r="AE42" s="171"/>
      <c r="AF42" s="171"/>
      <c r="AG42" s="171"/>
      <c r="AH42" s="171"/>
      <c r="AI42" s="171"/>
      <c r="AJ42" s="171">
        <v>161.46500000000003</v>
      </c>
      <c r="AK42" s="171">
        <v>134.52331240000001</v>
      </c>
      <c r="AL42" s="171">
        <v>0</v>
      </c>
      <c r="AM42" s="171">
        <v>0</v>
      </c>
      <c r="AN42" s="171">
        <v>132.28</v>
      </c>
      <c r="AO42" s="171">
        <v>270.59329950000006</v>
      </c>
      <c r="AP42" s="171">
        <v>284.66500000000002</v>
      </c>
      <c r="AQ42" s="171">
        <v>385.23719870000002</v>
      </c>
      <c r="AR42" s="171"/>
      <c r="AS42" s="171"/>
      <c r="AT42" s="171"/>
      <c r="AU42" s="171"/>
      <c r="AV42" s="171"/>
      <c r="AW42" s="171"/>
      <c r="AX42" s="171">
        <v>128.685</v>
      </c>
      <c r="AY42" s="171">
        <v>146.4550251</v>
      </c>
      <c r="AZ42" s="171">
        <v>0</v>
      </c>
      <c r="BA42" s="171">
        <v>0</v>
      </c>
      <c r="BB42" s="171">
        <v>102.3</v>
      </c>
      <c r="BC42" s="171">
        <v>219.2536925</v>
      </c>
      <c r="BD42" s="171">
        <v>230.98500000000001</v>
      </c>
      <c r="BE42" s="171">
        <v>365.7087176</v>
      </c>
      <c r="BF42" s="171"/>
      <c r="BG42" s="171"/>
      <c r="BH42" s="171"/>
      <c r="BI42" s="171"/>
      <c r="BJ42" s="171"/>
      <c r="BK42" s="171"/>
      <c r="BL42" s="171">
        <v>270.46999999999997</v>
      </c>
      <c r="BM42" s="171">
        <v>190.67467669999999</v>
      </c>
      <c r="BN42" s="171">
        <v>0</v>
      </c>
      <c r="BO42" s="171">
        <v>0</v>
      </c>
      <c r="BP42" s="171">
        <v>81.81</v>
      </c>
      <c r="BQ42" s="171">
        <v>241.75351599999999</v>
      </c>
      <c r="BR42" s="171">
        <v>352.28</v>
      </c>
      <c r="BS42" s="171">
        <v>432.42819269999995</v>
      </c>
      <c r="BT42" s="171"/>
      <c r="BU42" s="171"/>
      <c r="BV42" s="171"/>
      <c r="BW42" s="171"/>
      <c r="BX42" s="171"/>
      <c r="BY42" s="171"/>
      <c r="BZ42" s="171">
        <v>322.90000000000003</v>
      </c>
      <c r="CA42" s="171">
        <v>247.96173810000002</v>
      </c>
      <c r="CB42" s="171">
        <v>15</v>
      </c>
      <c r="CC42" s="171">
        <v>36.674999999999997</v>
      </c>
      <c r="CD42" s="171">
        <v>190.32</v>
      </c>
      <c r="CE42" s="171">
        <v>440.65116969999997</v>
      </c>
      <c r="CF42" s="171">
        <v>528.22</v>
      </c>
      <c r="CG42" s="171">
        <v>725.28790779999997</v>
      </c>
      <c r="CH42" s="171"/>
      <c r="CI42" s="171"/>
      <c r="CJ42" s="171"/>
      <c r="CK42" s="171"/>
      <c r="CL42" s="171"/>
      <c r="CM42" s="171"/>
      <c r="CN42" s="171">
        <v>209.11500000000001</v>
      </c>
      <c r="CO42" s="171">
        <v>180.11806850000002</v>
      </c>
      <c r="CP42" s="171">
        <v>0</v>
      </c>
      <c r="CQ42" s="171">
        <v>0</v>
      </c>
      <c r="CR42" s="171">
        <v>140.6</v>
      </c>
      <c r="CS42" s="171">
        <v>346.24796279999993</v>
      </c>
      <c r="CT42" s="171">
        <v>361.71500000000003</v>
      </c>
      <c r="CU42" s="171">
        <v>537.51677010000003</v>
      </c>
      <c r="CV42" s="171"/>
      <c r="CW42" s="171"/>
      <c r="CX42" s="171"/>
      <c r="CY42" s="171"/>
      <c r="CZ42" s="171"/>
      <c r="DA42" s="171"/>
      <c r="DB42" s="171">
        <v>174.78500000000005</v>
      </c>
      <c r="DC42" s="171">
        <v>133.21229219999998</v>
      </c>
      <c r="DD42" s="171">
        <v>20</v>
      </c>
      <c r="DE42" s="171">
        <v>42.7</v>
      </c>
      <c r="DF42" s="171">
        <v>149.44</v>
      </c>
      <c r="DG42" s="171">
        <v>360.91353409999999</v>
      </c>
      <c r="DH42" s="171">
        <v>343.22500000000002</v>
      </c>
      <c r="DI42" s="171">
        <v>535.81556399999999</v>
      </c>
      <c r="DJ42" s="171"/>
      <c r="DK42" s="171"/>
      <c r="DL42" s="171"/>
      <c r="DM42" s="171"/>
      <c r="DN42" s="171"/>
      <c r="DO42" s="171"/>
      <c r="DP42" s="171">
        <v>255.62499999999997</v>
      </c>
      <c r="DQ42" s="171">
        <v>184.88702069999997</v>
      </c>
      <c r="DR42" s="171">
        <v>0</v>
      </c>
      <c r="DS42" s="171">
        <v>0</v>
      </c>
      <c r="DT42" s="171">
        <v>70</v>
      </c>
      <c r="DU42" s="171">
        <v>168.02651000000003</v>
      </c>
      <c r="DV42" s="171">
        <v>325.625</v>
      </c>
      <c r="DW42" s="171">
        <v>352.91353070000002</v>
      </c>
      <c r="DX42" s="171"/>
      <c r="DY42" s="171"/>
      <c r="DZ42" s="171"/>
      <c r="EA42" s="171"/>
      <c r="EB42" s="171"/>
      <c r="EC42" s="171"/>
      <c r="ED42" s="171">
        <v>220.12499999999997</v>
      </c>
      <c r="EE42" s="171">
        <v>213.21918520000003</v>
      </c>
      <c r="EF42" s="171">
        <v>10</v>
      </c>
      <c r="EG42" s="171">
        <v>24.3</v>
      </c>
      <c r="EH42" s="171">
        <v>129.125</v>
      </c>
      <c r="EI42" s="171">
        <v>322.29112860000004</v>
      </c>
      <c r="EJ42" s="171">
        <v>359.25</v>
      </c>
      <c r="EK42" s="171">
        <v>559.81031380000013</v>
      </c>
      <c r="EL42" s="171"/>
      <c r="EM42" s="171"/>
      <c r="EN42" s="171"/>
      <c r="EO42" s="171"/>
      <c r="EP42" s="171"/>
      <c r="EQ42" s="171"/>
      <c r="ER42" s="171">
        <v>214.17500000000001</v>
      </c>
      <c r="ES42" s="171">
        <v>217.16886909999999</v>
      </c>
      <c r="ET42" s="171">
        <v>110</v>
      </c>
      <c r="EU42" s="171">
        <v>246.65</v>
      </c>
      <c r="EV42" s="171">
        <v>77.8</v>
      </c>
      <c r="EW42" s="171">
        <v>199.28216210000002</v>
      </c>
      <c r="EX42" s="171">
        <v>401.97500000000002</v>
      </c>
      <c r="EY42" s="171">
        <v>663.10103120000008</v>
      </c>
      <c r="EZ42" s="171"/>
      <c r="FA42" s="171"/>
      <c r="FB42" s="171"/>
      <c r="FC42" s="171"/>
      <c r="FD42" s="171"/>
      <c r="FE42" s="171"/>
      <c r="FF42" s="171">
        <v>387.34000000000003</v>
      </c>
      <c r="FG42" s="171">
        <v>164.6118744</v>
      </c>
      <c r="FH42" s="171">
        <v>64.599999999999994</v>
      </c>
      <c r="FI42" s="171">
        <v>147.12100000000001</v>
      </c>
      <c r="FJ42" s="171">
        <v>62</v>
      </c>
      <c r="FK42" s="171">
        <v>152.06612470000002</v>
      </c>
      <c r="FL42" s="171">
        <v>507.74000000000007</v>
      </c>
      <c r="FM42" s="171">
        <v>453.00111380000004</v>
      </c>
      <c r="FN42" s="171">
        <f t="shared" si="216"/>
        <v>2759.1470000000004</v>
      </c>
      <c r="FO42" s="171">
        <f t="shared" si="211"/>
        <v>1995.3612296000001</v>
      </c>
      <c r="FP42" s="171">
        <f t="shared" si="212"/>
        <v>219.6</v>
      </c>
      <c r="FQ42" s="171">
        <f t="shared" si="213"/>
        <v>497.44600000000003</v>
      </c>
      <c r="FR42" s="171">
        <f t="shared" si="214"/>
        <v>1333.05</v>
      </c>
      <c r="FS42" s="171">
        <f t="shared" si="215"/>
        <v>3123.6312985999994</v>
      </c>
      <c r="FT42" s="171">
        <f t="shared" si="217"/>
        <v>4311.7970000000005</v>
      </c>
      <c r="FU42" s="171">
        <f t="shared" si="218"/>
        <v>5616.4385281999994</v>
      </c>
      <c r="FW42" s="135" t="s">
        <v>148</v>
      </c>
      <c r="FX42" s="44">
        <f t="shared" si="219"/>
        <v>72318.047193571052</v>
      </c>
      <c r="FY42" s="44">
        <f t="shared" si="220"/>
        <v>226523.67941712204</v>
      </c>
      <c r="FZ42" s="44">
        <f t="shared" si="221"/>
        <v>234322.14084993058</v>
      </c>
      <c r="GA42" s="44">
        <f t="shared" si="222"/>
        <v>130257.48958496883</v>
      </c>
    </row>
    <row r="43" spans="1:187">
      <c r="A43" s="166" t="s">
        <v>20</v>
      </c>
      <c r="B43" s="176">
        <v>1342.8149999999998</v>
      </c>
      <c r="C43" s="176">
        <v>1330.8597899999995</v>
      </c>
      <c r="D43" s="176">
        <v>0</v>
      </c>
      <c r="E43" s="176">
        <v>0</v>
      </c>
      <c r="F43" s="176">
        <v>1961.0500000000002</v>
      </c>
      <c r="G43" s="176">
        <v>1688.551089</v>
      </c>
      <c r="H43" s="176">
        <v>218.44</v>
      </c>
      <c r="I43" s="176">
        <v>67.122496600000005</v>
      </c>
      <c r="J43" s="176">
        <v>0</v>
      </c>
      <c r="K43" s="176">
        <v>0</v>
      </c>
      <c r="L43" s="176">
        <v>125.95000000000002</v>
      </c>
      <c r="M43" s="176">
        <v>254.3999148</v>
      </c>
      <c r="N43" s="176">
        <v>3648.2549999999997</v>
      </c>
      <c r="O43" s="176">
        <v>3340.9332903999994</v>
      </c>
      <c r="P43" s="176">
        <v>1571.077</v>
      </c>
      <c r="Q43" s="176">
        <v>1507.5582770000001</v>
      </c>
      <c r="R43" s="176">
        <v>17.5</v>
      </c>
      <c r="S43" s="176">
        <v>17.543749999999999</v>
      </c>
      <c r="T43" s="176">
        <v>1077.8499999999999</v>
      </c>
      <c r="U43" s="176">
        <v>983.60660750000011</v>
      </c>
      <c r="V43" s="176">
        <v>196.02199999999999</v>
      </c>
      <c r="W43" s="176">
        <v>115.4066706</v>
      </c>
      <c r="X43" s="176">
        <v>0</v>
      </c>
      <c r="Y43" s="176">
        <v>0</v>
      </c>
      <c r="Z43" s="176">
        <v>71.424999999999997</v>
      </c>
      <c r="AA43" s="176">
        <v>148.15228379999999</v>
      </c>
      <c r="AB43" s="176">
        <v>2933.8739999999998</v>
      </c>
      <c r="AC43" s="176">
        <v>2772.2675888999997</v>
      </c>
      <c r="AD43" s="176">
        <v>811.05500000000006</v>
      </c>
      <c r="AE43" s="176">
        <v>772.86335170000007</v>
      </c>
      <c r="AF43" s="176">
        <v>0</v>
      </c>
      <c r="AG43" s="176">
        <v>0</v>
      </c>
      <c r="AH43" s="176">
        <v>1793.4399999999996</v>
      </c>
      <c r="AI43" s="176">
        <v>1680.9356344000003</v>
      </c>
      <c r="AJ43" s="176">
        <v>161.46500000000003</v>
      </c>
      <c r="AK43" s="176">
        <v>134.52331240000001</v>
      </c>
      <c r="AL43" s="176">
        <v>0</v>
      </c>
      <c r="AM43" s="176">
        <v>0</v>
      </c>
      <c r="AN43" s="176">
        <v>132.28</v>
      </c>
      <c r="AO43" s="176">
        <v>270.59329950000006</v>
      </c>
      <c r="AP43" s="176">
        <v>2898.24</v>
      </c>
      <c r="AQ43" s="176">
        <v>2858.9155980000005</v>
      </c>
      <c r="AR43" s="176">
        <v>2120.6449999999995</v>
      </c>
      <c r="AS43" s="176">
        <v>1940.8482159999996</v>
      </c>
      <c r="AT43" s="176">
        <v>0</v>
      </c>
      <c r="AU43" s="176">
        <v>0</v>
      </c>
      <c r="AV43" s="176">
        <v>1710.6699999999998</v>
      </c>
      <c r="AW43" s="176">
        <v>1532.0883178999998</v>
      </c>
      <c r="AX43" s="176">
        <v>128.685</v>
      </c>
      <c r="AY43" s="176">
        <v>146.4550251</v>
      </c>
      <c r="AZ43" s="176">
        <v>0</v>
      </c>
      <c r="BA43" s="176">
        <v>0</v>
      </c>
      <c r="BB43" s="176">
        <v>102.3</v>
      </c>
      <c r="BC43" s="176">
        <v>219.2536925</v>
      </c>
      <c r="BD43" s="176">
        <v>4062.2999999999997</v>
      </c>
      <c r="BE43" s="176">
        <v>3838.6452514999996</v>
      </c>
      <c r="BF43" s="176">
        <v>1793.4949999999992</v>
      </c>
      <c r="BG43" s="176">
        <v>1615.1789401000001</v>
      </c>
      <c r="BH43" s="176">
        <v>0</v>
      </c>
      <c r="BI43" s="176">
        <v>0</v>
      </c>
      <c r="BJ43" s="176">
        <v>2077.9760000000001</v>
      </c>
      <c r="BK43" s="176">
        <v>1824.7386080999995</v>
      </c>
      <c r="BL43" s="176">
        <v>270.46999999999997</v>
      </c>
      <c r="BM43" s="176">
        <v>190.67467669999999</v>
      </c>
      <c r="BN43" s="176">
        <v>0</v>
      </c>
      <c r="BO43" s="176">
        <v>0</v>
      </c>
      <c r="BP43" s="176">
        <v>81.81</v>
      </c>
      <c r="BQ43" s="176">
        <v>241.75351599999999</v>
      </c>
      <c r="BR43" s="176">
        <v>4223.7509999999993</v>
      </c>
      <c r="BS43" s="176">
        <v>3872.3457408999993</v>
      </c>
      <c r="BT43" s="176">
        <v>3023.6750000000002</v>
      </c>
      <c r="BU43" s="176">
        <v>2580.2191078999999</v>
      </c>
      <c r="BV43" s="176">
        <v>0</v>
      </c>
      <c r="BW43" s="176">
        <v>0</v>
      </c>
      <c r="BX43" s="176">
        <v>2245.0200000000004</v>
      </c>
      <c r="BY43" s="176">
        <v>1908.6488047</v>
      </c>
      <c r="BZ43" s="176">
        <v>322.90000000000003</v>
      </c>
      <c r="CA43" s="176">
        <v>247.96173810000002</v>
      </c>
      <c r="CB43" s="176">
        <v>15</v>
      </c>
      <c r="CC43" s="176">
        <v>36.674999999999997</v>
      </c>
      <c r="CD43" s="176">
        <v>190.32</v>
      </c>
      <c r="CE43" s="176">
        <v>440.65116969999997</v>
      </c>
      <c r="CF43" s="176">
        <v>5796.915</v>
      </c>
      <c r="CG43" s="176">
        <v>5214.1558203999994</v>
      </c>
      <c r="CH43" s="176">
        <v>3597.8550000000014</v>
      </c>
      <c r="CI43" s="176">
        <v>3078.9308558999996</v>
      </c>
      <c r="CJ43" s="176">
        <v>0</v>
      </c>
      <c r="CK43" s="176">
        <v>0</v>
      </c>
      <c r="CL43" s="176">
        <v>2771.6179999999999</v>
      </c>
      <c r="CM43" s="176">
        <v>2201.7564849999999</v>
      </c>
      <c r="CN43" s="176">
        <v>209.11500000000001</v>
      </c>
      <c r="CO43" s="176">
        <v>180.11806850000002</v>
      </c>
      <c r="CP43" s="176">
        <v>0</v>
      </c>
      <c r="CQ43" s="176">
        <v>0</v>
      </c>
      <c r="CR43" s="176">
        <v>140.6</v>
      </c>
      <c r="CS43" s="176">
        <v>346.24796279999993</v>
      </c>
      <c r="CT43" s="176">
        <v>6719.1880000000028</v>
      </c>
      <c r="CU43" s="176">
        <v>5807.0533721999991</v>
      </c>
      <c r="CV43" s="176">
        <v>2217.1730000000002</v>
      </c>
      <c r="CW43" s="176">
        <v>1813.1257332000002</v>
      </c>
      <c r="CX43" s="176">
        <v>0</v>
      </c>
      <c r="CY43" s="176">
        <v>0</v>
      </c>
      <c r="CZ43" s="176">
        <v>1047.1780000000001</v>
      </c>
      <c r="DA43" s="176">
        <v>883.7286861</v>
      </c>
      <c r="DB43" s="176">
        <v>174.78500000000005</v>
      </c>
      <c r="DC43" s="176">
        <v>133.21229219999998</v>
      </c>
      <c r="DD43" s="176">
        <v>20</v>
      </c>
      <c r="DE43" s="176">
        <v>42.7</v>
      </c>
      <c r="DF43" s="176">
        <v>149.44</v>
      </c>
      <c r="DG43" s="176">
        <v>360.91353409999999</v>
      </c>
      <c r="DH43" s="176">
        <v>3608.576</v>
      </c>
      <c r="DI43" s="176">
        <v>3233.6802456</v>
      </c>
      <c r="DJ43" s="176">
        <v>3143.87</v>
      </c>
      <c r="DK43" s="176">
        <v>2567.4675487</v>
      </c>
      <c r="DL43" s="176">
        <v>0</v>
      </c>
      <c r="DM43" s="176">
        <v>0</v>
      </c>
      <c r="DN43" s="176">
        <v>3097.3669999999997</v>
      </c>
      <c r="DO43" s="176">
        <v>2509.6362804000014</v>
      </c>
      <c r="DP43" s="176">
        <v>255.62499999999997</v>
      </c>
      <c r="DQ43" s="176">
        <v>184.88702069999997</v>
      </c>
      <c r="DR43" s="176">
        <v>0</v>
      </c>
      <c r="DS43" s="176">
        <v>0</v>
      </c>
      <c r="DT43" s="176">
        <v>70</v>
      </c>
      <c r="DU43" s="176">
        <v>168.02651000000003</v>
      </c>
      <c r="DV43" s="176">
        <v>6566.8619999999992</v>
      </c>
      <c r="DW43" s="176">
        <v>5430.0173598000001</v>
      </c>
      <c r="DX43" s="176">
        <v>4480.1100000000006</v>
      </c>
      <c r="DY43" s="176">
        <v>3543.7042776000003</v>
      </c>
      <c r="DZ43" s="176">
        <v>98.710000000000008</v>
      </c>
      <c r="EA43" s="176">
        <v>82.198488400000002</v>
      </c>
      <c r="EB43" s="176">
        <v>2349.3909999999996</v>
      </c>
      <c r="EC43" s="176">
        <v>1923.7638184</v>
      </c>
      <c r="ED43" s="176">
        <v>220.12499999999997</v>
      </c>
      <c r="EE43" s="176">
        <v>213.21918520000003</v>
      </c>
      <c r="EF43" s="176">
        <v>10</v>
      </c>
      <c r="EG43" s="176">
        <v>24.3</v>
      </c>
      <c r="EH43" s="176">
        <v>129.125</v>
      </c>
      <c r="EI43" s="176">
        <v>322.29112860000004</v>
      </c>
      <c r="EJ43" s="176">
        <v>7287.4610000000002</v>
      </c>
      <c r="EK43" s="176">
        <v>6109.4768982000005</v>
      </c>
      <c r="EL43" s="176">
        <v>3960.3550000000009</v>
      </c>
      <c r="EM43" s="176">
        <v>3291.5193196000005</v>
      </c>
      <c r="EN43" s="176">
        <v>104.01</v>
      </c>
      <c r="EO43" s="176">
        <v>94.330551999999997</v>
      </c>
      <c r="EP43" s="176">
        <v>1675.068</v>
      </c>
      <c r="EQ43" s="176">
        <v>1395.1587377000001</v>
      </c>
      <c r="ER43" s="176">
        <v>214.17500000000001</v>
      </c>
      <c r="ES43" s="176">
        <v>217.16886909999999</v>
      </c>
      <c r="ET43" s="176">
        <v>110</v>
      </c>
      <c r="EU43" s="176">
        <v>246.65</v>
      </c>
      <c r="EV43" s="176">
        <v>77.8</v>
      </c>
      <c r="EW43" s="176">
        <v>199.28216210000002</v>
      </c>
      <c r="EX43" s="176">
        <v>6141.4080000000022</v>
      </c>
      <c r="EY43" s="176">
        <v>5444.1096404999998</v>
      </c>
      <c r="EZ43" s="176">
        <v>3695.665</v>
      </c>
      <c r="FA43" s="176">
        <v>3165.7318696999992</v>
      </c>
      <c r="FB43" s="176">
        <v>66.449999999999989</v>
      </c>
      <c r="FC43" s="176">
        <v>66.265860000000004</v>
      </c>
      <c r="FD43" s="176">
        <v>2533.0819999999994</v>
      </c>
      <c r="FE43" s="176">
        <v>2069.9757752999999</v>
      </c>
      <c r="FF43" s="176">
        <v>387.34000000000003</v>
      </c>
      <c r="FG43" s="176">
        <v>164.6118744</v>
      </c>
      <c r="FH43" s="176">
        <v>64.599999999999994</v>
      </c>
      <c r="FI43" s="176">
        <v>147.12100000000001</v>
      </c>
      <c r="FJ43" s="176">
        <v>62</v>
      </c>
      <c r="FK43" s="176">
        <v>152.06612470000002</v>
      </c>
      <c r="FL43" s="176">
        <v>6809.1369999999997</v>
      </c>
      <c r="FM43" s="176">
        <v>5765.7725040999985</v>
      </c>
      <c r="FN43" s="176">
        <f t="shared" ref="FN43" si="223">SUM(FN35:FN42)</f>
        <v>34516.937000000005</v>
      </c>
      <c r="FO43" s="176">
        <f t="shared" ref="FO43" si="224">SUM(FO35:FO42)</f>
        <v>29203.368516999999</v>
      </c>
      <c r="FP43" s="176">
        <f t="shared" ref="FP43" si="225">SUM(FP35:FP42)</f>
        <v>506.27</v>
      </c>
      <c r="FQ43" s="176">
        <f t="shared" ref="FQ43" si="226">SUM(FQ35:FQ42)</f>
        <v>757.78465040000003</v>
      </c>
      <c r="FR43" s="176">
        <f t="shared" ref="FR43" si="227">SUM(FR35:FR42)</f>
        <v>25672.76</v>
      </c>
      <c r="FS43" s="176">
        <f t="shared" ref="FS43" si="228">SUM(FS35:FS42)</f>
        <v>23726.220143099999</v>
      </c>
      <c r="FT43" s="176">
        <f t="shared" si="217"/>
        <v>60695.967000000004</v>
      </c>
      <c r="FU43" s="176">
        <f t="shared" si="218"/>
        <v>53687.373310499999</v>
      </c>
      <c r="FW43" s="232" t="s">
        <v>20</v>
      </c>
      <c r="FX43" s="44">
        <f t="shared" si="219"/>
        <v>84605.90960605802</v>
      </c>
      <c r="FY43" s="44">
        <f t="shared" si="220"/>
        <v>149679.94358741384</v>
      </c>
      <c r="FZ43" s="44">
        <f t="shared" si="221"/>
        <v>92417.878494949517</v>
      </c>
      <c r="GA43" s="44">
        <f t="shared" si="222"/>
        <v>88452.949947234549</v>
      </c>
      <c r="GB43" s="179"/>
      <c r="GC43" s="179"/>
      <c r="GD43" s="179"/>
      <c r="GE43" s="179"/>
    </row>
    <row r="44" spans="1:187" s="144" customFormat="1">
      <c r="A44" s="177" t="s">
        <v>51</v>
      </c>
      <c r="B44" s="178">
        <f>B43-B42</f>
        <v>1342.8149999999998</v>
      </c>
      <c r="C44" s="178">
        <f t="shared" ref="C44" si="229">C43-C42</f>
        <v>1330.8597899999995</v>
      </c>
      <c r="D44" s="178">
        <f t="shared" ref="D44" si="230">D43-D42</f>
        <v>0</v>
      </c>
      <c r="E44" s="178">
        <f t="shared" ref="E44" si="231">E43-E42</f>
        <v>0</v>
      </c>
      <c r="F44" s="178">
        <f t="shared" ref="F44" si="232">F43-F42</f>
        <v>1961.0500000000002</v>
      </c>
      <c r="G44" s="178">
        <f t="shared" ref="G44" si="233">G43-G42</f>
        <v>1688.551089</v>
      </c>
      <c r="H44" s="178">
        <f t="shared" ref="H44" si="234">H43-H42</f>
        <v>0</v>
      </c>
      <c r="I44" s="178">
        <f t="shared" ref="I44" si="235">I43-I42</f>
        <v>0</v>
      </c>
      <c r="J44" s="178">
        <f t="shared" ref="J44" si="236">J43-J42</f>
        <v>0</v>
      </c>
      <c r="K44" s="178">
        <f t="shared" ref="K44" si="237">K43-K42</f>
        <v>0</v>
      </c>
      <c r="L44" s="178">
        <f t="shared" ref="L44" si="238">L43-L42</f>
        <v>0</v>
      </c>
      <c r="M44" s="178">
        <f t="shared" ref="M44" si="239">M43-M42</f>
        <v>0</v>
      </c>
      <c r="N44" s="178">
        <f t="shared" ref="N44" si="240">N43-N42</f>
        <v>3303.8649999999998</v>
      </c>
      <c r="O44" s="178">
        <f t="shared" ref="O44" si="241">O43-O42</f>
        <v>3019.4108789999991</v>
      </c>
      <c r="P44" s="178">
        <f t="shared" ref="P44" si="242">P43-P42</f>
        <v>1571.077</v>
      </c>
      <c r="Q44" s="178">
        <f t="shared" ref="Q44" si="243">Q43-Q42</f>
        <v>1507.5582770000001</v>
      </c>
      <c r="R44" s="178">
        <f t="shared" ref="R44" si="244">R43-R42</f>
        <v>17.5</v>
      </c>
      <c r="S44" s="178">
        <f t="shared" ref="S44" si="245">S43-S42</f>
        <v>17.543749999999999</v>
      </c>
      <c r="T44" s="178">
        <f t="shared" ref="T44" si="246">T43-T42</f>
        <v>1077.8499999999999</v>
      </c>
      <c r="U44" s="178">
        <f t="shared" ref="U44" si="247">U43-U42</f>
        <v>983.60660750000011</v>
      </c>
      <c r="V44" s="178">
        <f t="shared" ref="V44" si="248">V43-V42</f>
        <v>0</v>
      </c>
      <c r="W44" s="178">
        <f t="shared" ref="W44" si="249">W43-W42</f>
        <v>0</v>
      </c>
      <c r="X44" s="178">
        <f t="shared" ref="X44" si="250">X43-X42</f>
        <v>0</v>
      </c>
      <c r="Y44" s="178">
        <f t="shared" ref="Y44" si="251">Y43-Y42</f>
        <v>0</v>
      </c>
      <c r="Z44" s="178">
        <f t="shared" ref="Z44" si="252">Z43-Z42</f>
        <v>0</v>
      </c>
      <c r="AA44" s="178">
        <f t="shared" ref="AA44" si="253">AA43-AA42</f>
        <v>0</v>
      </c>
      <c r="AB44" s="178">
        <f t="shared" ref="AB44" si="254">AB43-AB42</f>
        <v>2666.4269999999997</v>
      </c>
      <c r="AC44" s="178">
        <f t="shared" ref="AC44" si="255">AC43-AC42</f>
        <v>2508.7086344999998</v>
      </c>
      <c r="AD44" s="178">
        <f t="shared" ref="AD44" si="256">AD43-AD42</f>
        <v>811.05500000000006</v>
      </c>
      <c r="AE44" s="178">
        <f t="shared" ref="AE44" si="257">AE43-AE42</f>
        <v>772.86335170000007</v>
      </c>
      <c r="AF44" s="178">
        <f t="shared" ref="AF44" si="258">AF43-AF42</f>
        <v>0</v>
      </c>
      <c r="AG44" s="178">
        <f t="shared" ref="AG44" si="259">AG43-AG42</f>
        <v>0</v>
      </c>
      <c r="AH44" s="178">
        <f t="shared" ref="AH44" si="260">AH43-AH42</f>
        <v>1793.4399999999996</v>
      </c>
      <c r="AI44" s="178">
        <f t="shared" ref="AI44" si="261">AI43-AI42</f>
        <v>1680.9356344000003</v>
      </c>
      <c r="AJ44" s="178">
        <f t="shared" ref="AJ44" si="262">AJ43-AJ42</f>
        <v>0</v>
      </c>
      <c r="AK44" s="178">
        <f t="shared" ref="AK44" si="263">AK43-AK42</f>
        <v>0</v>
      </c>
      <c r="AL44" s="178">
        <f t="shared" ref="AL44" si="264">AL43-AL42</f>
        <v>0</v>
      </c>
      <c r="AM44" s="178">
        <f t="shared" ref="AM44" si="265">AM43-AM42</f>
        <v>0</v>
      </c>
      <c r="AN44" s="178">
        <f t="shared" ref="AN44" si="266">AN43-AN42</f>
        <v>0</v>
      </c>
      <c r="AO44" s="178">
        <f t="shared" ref="AO44" si="267">AO43-AO42</f>
        <v>0</v>
      </c>
      <c r="AP44" s="178">
        <f t="shared" ref="AP44" si="268">AP43-AP42</f>
        <v>2613.5749999999998</v>
      </c>
      <c r="AQ44" s="178">
        <f t="shared" ref="AQ44" si="269">AQ43-AQ42</f>
        <v>2473.6783993000004</v>
      </c>
      <c r="AR44" s="178">
        <f t="shared" ref="AR44" si="270">AR43-AR42</f>
        <v>2120.6449999999995</v>
      </c>
      <c r="AS44" s="178">
        <f t="shared" ref="AS44" si="271">AS43-AS42</f>
        <v>1940.8482159999996</v>
      </c>
      <c r="AT44" s="178">
        <f t="shared" ref="AT44" si="272">AT43-AT42</f>
        <v>0</v>
      </c>
      <c r="AU44" s="178">
        <f t="shared" ref="AU44" si="273">AU43-AU42</f>
        <v>0</v>
      </c>
      <c r="AV44" s="178">
        <f t="shared" ref="AV44" si="274">AV43-AV42</f>
        <v>1710.6699999999998</v>
      </c>
      <c r="AW44" s="178">
        <f t="shared" ref="AW44" si="275">AW43-AW42</f>
        <v>1532.0883178999998</v>
      </c>
      <c r="AX44" s="178">
        <f t="shared" ref="AX44" si="276">AX43-AX42</f>
        <v>0</v>
      </c>
      <c r="AY44" s="178">
        <f t="shared" ref="AY44" si="277">AY43-AY42</f>
        <v>0</v>
      </c>
      <c r="AZ44" s="178">
        <f t="shared" ref="AZ44" si="278">AZ43-AZ42</f>
        <v>0</v>
      </c>
      <c r="BA44" s="178">
        <f t="shared" ref="BA44" si="279">BA43-BA42</f>
        <v>0</v>
      </c>
      <c r="BB44" s="178">
        <f t="shared" ref="BB44" si="280">BB43-BB42</f>
        <v>0</v>
      </c>
      <c r="BC44" s="178">
        <f t="shared" ref="BC44" si="281">BC43-BC42</f>
        <v>0</v>
      </c>
      <c r="BD44" s="178">
        <f t="shared" ref="BD44" si="282">BD43-BD42</f>
        <v>3831.3149999999996</v>
      </c>
      <c r="BE44" s="178">
        <f t="shared" ref="BE44" si="283">BE43-BE42</f>
        <v>3472.9365338999996</v>
      </c>
      <c r="BF44" s="178">
        <f t="shared" ref="BF44" si="284">BF43-BF42</f>
        <v>1793.4949999999992</v>
      </c>
      <c r="BG44" s="178">
        <f t="shared" ref="BG44" si="285">BG43-BG42</f>
        <v>1615.1789401000001</v>
      </c>
      <c r="BH44" s="178">
        <f t="shared" ref="BH44" si="286">BH43-BH42</f>
        <v>0</v>
      </c>
      <c r="BI44" s="178">
        <f t="shared" ref="BI44" si="287">BI43-BI42</f>
        <v>0</v>
      </c>
      <c r="BJ44" s="178">
        <f t="shared" ref="BJ44" si="288">BJ43-BJ42</f>
        <v>2077.9760000000001</v>
      </c>
      <c r="BK44" s="178">
        <f t="shared" ref="BK44" si="289">BK43-BK42</f>
        <v>1824.7386080999995</v>
      </c>
      <c r="BL44" s="178">
        <f t="shared" ref="BL44" si="290">BL43-BL42</f>
        <v>0</v>
      </c>
      <c r="BM44" s="178">
        <f t="shared" ref="BM44" si="291">BM43-BM42</f>
        <v>0</v>
      </c>
      <c r="BN44" s="178">
        <f t="shared" ref="BN44" si="292">BN43-BN42</f>
        <v>0</v>
      </c>
      <c r="BO44" s="178">
        <f t="shared" ref="BO44" si="293">BO43-BO42</f>
        <v>0</v>
      </c>
      <c r="BP44" s="178">
        <f t="shared" ref="BP44" si="294">BP43-BP42</f>
        <v>0</v>
      </c>
      <c r="BQ44" s="178">
        <f t="shared" ref="BQ44" si="295">BQ43-BQ42</f>
        <v>0</v>
      </c>
      <c r="BR44" s="178">
        <f t="shared" ref="BR44" si="296">BR43-BR42</f>
        <v>3871.4709999999995</v>
      </c>
      <c r="BS44" s="178">
        <f t="shared" ref="BS44" si="297">BS43-BS42</f>
        <v>3439.9175481999991</v>
      </c>
      <c r="BT44" s="178">
        <f t="shared" ref="BT44" si="298">BT43-BT42</f>
        <v>3023.6750000000002</v>
      </c>
      <c r="BU44" s="178">
        <f t="shared" ref="BU44" si="299">BU43-BU42</f>
        <v>2580.2191078999999</v>
      </c>
      <c r="BV44" s="178">
        <f t="shared" ref="BV44" si="300">BV43-BV42</f>
        <v>0</v>
      </c>
      <c r="BW44" s="178">
        <f t="shared" ref="BW44" si="301">BW43-BW42</f>
        <v>0</v>
      </c>
      <c r="BX44" s="178">
        <f t="shared" ref="BX44" si="302">BX43-BX42</f>
        <v>2245.0200000000004</v>
      </c>
      <c r="BY44" s="178">
        <f t="shared" ref="BY44" si="303">BY43-BY42</f>
        <v>1908.6488047</v>
      </c>
      <c r="BZ44" s="178">
        <f t="shared" ref="BZ44" si="304">BZ43-BZ42</f>
        <v>0</v>
      </c>
      <c r="CA44" s="178">
        <f t="shared" ref="CA44" si="305">CA43-CA42</f>
        <v>0</v>
      </c>
      <c r="CB44" s="178">
        <f t="shared" ref="CB44" si="306">CB43-CB42</f>
        <v>0</v>
      </c>
      <c r="CC44" s="178">
        <f t="shared" ref="CC44" si="307">CC43-CC42</f>
        <v>0</v>
      </c>
      <c r="CD44" s="178">
        <f t="shared" ref="CD44" si="308">CD43-CD42</f>
        <v>0</v>
      </c>
      <c r="CE44" s="178">
        <f t="shared" ref="CE44" si="309">CE43-CE42</f>
        <v>0</v>
      </c>
      <c r="CF44" s="178">
        <f t="shared" ref="CF44" si="310">CF43-CF42</f>
        <v>5268.6949999999997</v>
      </c>
      <c r="CG44" s="178">
        <f t="shared" ref="CG44" si="311">CG43-CG42</f>
        <v>4488.8679125999997</v>
      </c>
      <c r="CH44" s="178">
        <f t="shared" ref="CH44" si="312">CH43-CH42</f>
        <v>3597.8550000000014</v>
      </c>
      <c r="CI44" s="178">
        <f t="shared" ref="CI44" si="313">CI43-CI42</f>
        <v>3078.9308558999996</v>
      </c>
      <c r="CJ44" s="178">
        <f t="shared" ref="CJ44" si="314">CJ43-CJ42</f>
        <v>0</v>
      </c>
      <c r="CK44" s="178">
        <f t="shared" ref="CK44" si="315">CK43-CK42</f>
        <v>0</v>
      </c>
      <c r="CL44" s="178">
        <f t="shared" ref="CL44" si="316">CL43-CL42</f>
        <v>2771.6179999999999</v>
      </c>
      <c r="CM44" s="178">
        <f t="shared" ref="CM44" si="317">CM43-CM42</f>
        <v>2201.7564849999999</v>
      </c>
      <c r="CN44" s="178">
        <f t="shared" ref="CN44" si="318">CN43-CN42</f>
        <v>0</v>
      </c>
      <c r="CO44" s="178">
        <f t="shared" ref="CO44" si="319">CO43-CO42</f>
        <v>0</v>
      </c>
      <c r="CP44" s="178">
        <f t="shared" ref="CP44" si="320">CP43-CP42</f>
        <v>0</v>
      </c>
      <c r="CQ44" s="178">
        <f t="shared" ref="CQ44" si="321">CQ43-CQ42</f>
        <v>0</v>
      </c>
      <c r="CR44" s="178">
        <f t="shared" ref="CR44" si="322">CR43-CR42</f>
        <v>0</v>
      </c>
      <c r="CS44" s="178">
        <f t="shared" ref="CS44" si="323">CS43-CS42</f>
        <v>0</v>
      </c>
      <c r="CT44" s="178">
        <f t="shared" ref="CT44" si="324">CT43-CT42</f>
        <v>6357.4730000000027</v>
      </c>
      <c r="CU44" s="178">
        <f t="shared" ref="CU44" si="325">CU43-CU42</f>
        <v>5269.5366020999991</v>
      </c>
      <c r="CV44" s="178">
        <f t="shared" ref="CV44" si="326">CV43-CV42</f>
        <v>2217.1730000000002</v>
      </c>
      <c r="CW44" s="178">
        <f t="shared" ref="CW44" si="327">CW43-CW42</f>
        <v>1813.1257332000002</v>
      </c>
      <c r="CX44" s="178">
        <f t="shared" ref="CX44" si="328">CX43-CX42</f>
        <v>0</v>
      </c>
      <c r="CY44" s="178">
        <f t="shared" ref="CY44" si="329">CY43-CY42</f>
        <v>0</v>
      </c>
      <c r="CZ44" s="178">
        <f t="shared" ref="CZ44" si="330">CZ43-CZ42</f>
        <v>1047.1780000000001</v>
      </c>
      <c r="DA44" s="178">
        <f t="shared" ref="DA44" si="331">DA43-DA42</f>
        <v>883.7286861</v>
      </c>
      <c r="DB44" s="178">
        <f t="shared" ref="DB44" si="332">DB43-DB42</f>
        <v>0</v>
      </c>
      <c r="DC44" s="178">
        <f t="shared" ref="DC44" si="333">DC43-DC42</f>
        <v>0</v>
      </c>
      <c r="DD44" s="178">
        <f t="shared" ref="DD44" si="334">DD43-DD42</f>
        <v>0</v>
      </c>
      <c r="DE44" s="178">
        <f t="shared" ref="DE44" si="335">DE43-DE42</f>
        <v>0</v>
      </c>
      <c r="DF44" s="178">
        <f t="shared" ref="DF44" si="336">DF43-DF42</f>
        <v>0</v>
      </c>
      <c r="DG44" s="178">
        <f t="shared" ref="DG44" si="337">DG43-DG42</f>
        <v>0</v>
      </c>
      <c r="DH44" s="178">
        <f t="shared" ref="DH44" si="338">DH43-DH42</f>
        <v>3265.3510000000001</v>
      </c>
      <c r="DI44" s="178">
        <f t="shared" ref="DI44" si="339">DI43-DI42</f>
        <v>2697.8646816</v>
      </c>
      <c r="DJ44" s="178">
        <f t="shared" ref="DJ44" si="340">DJ43-DJ42</f>
        <v>3143.87</v>
      </c>
      <c r="DK44" s="178">
        <f t="shared" ref="DK44" si="341">DK43-DK42</f>
        <v>2567.4675487</v>
      </c>
      <c r="DL44" s="178">
        <f t="shared" ref="DL44" si="342">DL43-DL42</f>
        <v>0</v>
      </c>
      <c r="DM44" s="178">
        <f t="shared" ref="DM44" si="343">DM43-DM42</f>
        <v>0</v>
      </c>
      <c r="DN44" s="178">
        <f t="shared" ref="DN44" si="344">DN43-DN42</f>
        <v>3097.3669999999997</v>
      </c>
      <c r="DO44" s="178">
        <f t="shared" ref="DO44" si="345">DO43-DO42</f>
        <v>2509.6362804000014</v>
      </c>
      <c r="DP44" s="178">
        <f t="shared" ref="DP44" si="346">DP43-DP42</f>
        <v>0</v>
      </c>
      <c r="DQ44" s="178">
        <f t="shared" ref="DQ44" si="347">DQ43-DQ42</f>
        <v>0</v>
      </c>
      <c r="DR44" s="178">
        <f t="shared" ref="DR44" si="348">DR43-DR42</f>
        <v>0</v>
      </c>
      <c r="DS44" s="178">
        <f t="shared" ref="DS44" si="349">DS43-DS42</f>
        <v>0</v>
      </c>
      <c r="DT44" s="178">
        <f t="shared" ref="DT44" si="350">DT43-DT42</f>
        <v>0</v>
      </c>
      <c r="DU44" s="178">
        <f t="shared" ref="DU44" si="351">DU43-DU42</f>
        <v>0</v>
      </c>
      <c r="DV44" s="178">
        <f t="shared" ref="DV44" si="352">DV43-DV42</f>
        <v>6241.2369999999992</v>
      </c>
      <c r="DW44" s="178">
        <f t="shared" ref="DW44" si="353">DW43-DW42</f>
        <v>5077.1038291000004</v>
      </c>
      <c r="DX44" s="178">
        <f t="shared" ref="DX44" si="354">DX43-DX42</f>
        <v>4480.1100000000006</v>
      </c>
      <c r="DY44" s="178">
        <f t="shared" ref="DY44" si="355">DY43-DY42</f>
        <v>3543.7042776000003</v>
      </c>
      <c r="DZ44" s="178">
        <f t="shared" ref="DZ44" si="356">DZ43-DZ42</f>
        <v>98.710000000000008</v>
      </c>
      <c r="EA44" s="178">
        <f t="shared" ref="EA44" si="357">EA43-EA42</f>
        <v>82.198488400000002</v>
      </c>
      <c r="EB44" s="178">
        <f t="shared" ref="EB44" si="358">EB43-EB42</f>
        <v>2349.3909999999996</v>
      </c>
      <c r="EC44" s="178">
        <f t="shared" ref="EC44" si="359">EC43-EC42</f>
        <v>1923.7638184</v>
      </c>
      <c r="ED44" s="178">
        <f t="shared" ref="ED44" si="360">ED43-ED42</f>
        <v>0</v>
      </c>
      <c r="EE44" s="178">
        <f t="shared" ref="EE44" si="361">EE43-EE42</f>
        <v>0</v>
      </c>
      <c r="EF44" s="178">
        <f t="shared" ref="EF44" si="362">EF43-EF42</f>
        <v>0</v>
      </c>
      <c r="EG44" s="178">
        <f t="shared" ref="EG44" si="363">EG43-EG42</f>
        <v>0</v>
      </c>
      <c r="EH44" s="178">
        <f t="shared" ref="EH44" si="364">EH43-EH42</f>
        <v>0</v>
      </c>
      <c r="EI44" s="178">
        <f t="shared" ref="EI44" si="365">EI43-EI42</f>
        <v>0</v>
      </c>
      <c r="EJ44" s="178">
        <f t="shared" ref="EJ44" si="366">EJ43-EJ42</f>
        <v>6928.2110000000002</v>
      </c>
      <c r="EK44" s="178">
        <f t="shared" ref="EK44" si="367">EK43-EK42</f>
        <v>5549.6665843999999</v>
      </c>
      <c r="EL44" s="178">
        <f t="shared" ref="EL44" si="368">EL43-EL42</f>
        <v>3960.3550000000009</v>
      </c>
      <c r="EM44" s="178">
        <f t="shared" ref="EM44" si="369">EM43-EM42</f>
        <v>3291.5193196000005</v>
      </c>
      <c r="EN44" s="178">
        <f t="shared" ref="EN44" si="370">EN43-EN42</f>
        <v>104.01</v>
      </c>
      <c r="EO44" s="178">
        <f t="shared" ref="EO44" si="371">EO43-EO42</f>
        <v>94.330551999999997</v>
      </c>
      <c r="EP44" s="178">
        <f t="shared" ref="EP44" si="372">EP43-EP42</f>
        <v>1675.068</v>
      </c>
      <c r="EQ44" s="178">
        <f t="shared" ref="EQ44" si="373">EQ43-EQ42</f>
        <v>1395.1587377000001</v>
      </c>
      <c r="ER44" s="178">
        <f t="shared" ref="ER44" si="374">ER43-ER42</f>
        <v>0</v>
      </c>
      <c r="ES44" s="178">
        <f t="shared" ref="ES44" si="375">ES43-ES42</f>
        <v>0</v>
      </c>
      <c r="ET44" s="178">
        <f t="shared" ref="ET44" si="376">ET43-ET42</f>
        <v>0</v>
      </c>
      <c r="EU44" s="178">
        <f t="shared" ref="EU44" si="377">EU43-EU42</f>
        <v>0</v>
      </c>
      <c r="EV44" s="178">
        <f t="shared" ref="EV44" si="378">EV43-EV42</f>
        <v>0</v>
      </c>
      <c r="EW44" s="178">
        <f t="shared" ref="EW44" si="379">EW43-EW42</f>
        <v>0</v>
      </c>
      <c r="EX44" s="178">
        <f t="shared" ref="EX44" si="380">EX43-EX42</f>
        <v>5739.4330000000018</v>
      </c>
      <c r="EY44" s="178">
        <f t="shared" ref="EY44" si="381">EY43-EY42</f>
        <v>4781.0086093</v>
      </c>
      <c r="EZ44" s="178">
        <f t="shared" ref="EZ44" si="382">EZ43-EZ42</f>
        <v>3695.665</v>
      </c>
      <c r="FA44" s="178">
        <f t="shared" ref="FA44" si="383">FA43-FA42</f>
        <v>3165.7318696999992</v>
      </c>
      <c r="FB44" s="178">
        <f t="shared" ref="FB44" si="384">FB43-FB42</f>
        <v>66.449999999999989</v>
      </c>
      <c r="FC44" s="178">
        <f t="shared" ref="FC44" si="385">FC43-FC42</f>
        <v>66.265860000000004</v>
      </c>
      <c r="FD44" s="178">
        <f t="shared" ref="FD44" si="386">FD43-FD42</f>
        <v>2533.0819999999994</v>
      </c>
      <c r="FE44" s="178">
        <f t="shared" ref="FE44" si="387">FE43-FE42</f>
        <v>2069.9757752999999</v>
      </c>
      <c r="FF44" s="178">
        <f t="shared" ref="FF44" si="388">FF43-FF42</f>
        <v>0</v>
      </c>
      <c r="FG44" s="178">
        <f t="shared" ref="FG44" si="389">FG43-FG42</f>
        <v>0</v>
      </c>
      <c r="FH44" s="178">
        <f t="shared" ref="FH44" si="390">FH43-FH42</f>
        <v>0</v>
      </c>
      <c r="FI44" s="178">
        <f t="shared" ref="FI44" si="391">FI43-FI42</f>
        <v>0</v>
      </c>
      <c r="FJ44" s="178">
        <f t="shared" ref="FJ44" si="392">FJ43-FJ42</f>
        <v>0</v>
      </c>
      <c r="FK44" s="178">
        <f t="shared" ref="FK44" si="393">FK43-FK42</f>
        <v>0</v>
      </c>
      <c r="FL44" s="178">
        <f t="shared" ref="FL44" si="394">FL43-FL42</f>
        <v>6301.3969999999999</v>
      </c>
      <c r="FM44" s="178">
        <f t="shared" ref="FM44" si="395">FM43-FM42</f>
        <v>5312.7713902999985</v>
      </c>
      <c r="FN44" s="178">
        <f t="shared" ref="FN44" si="396">FN43-FN42</f>
        <v>31757.790000000005</v>
      </c>
      <c r="FO44" s="178">
        <f t="shared" ref="FO44" si="397">FO43-FO42</f>
        <v>27208.0072874</v>
      </c>
      <c r="FP44" s="178">
        <f t="shared" ref="FP44" si="398">FP43-FP42</f>
        <v>286.66999999999996</v>
      </c>
      <c r="FQ44" s="178">
        <f t="shared" ref="FQ44" si="399">FQ43-FQ42</f>
        <v>260.33865040000001</v>
      </c>
      <c r="FR44" s="178">
        <f t="shared" ref="FR44" si="400">FR43-FR42</f>
        <v>24339.71</v>
      </c>
      <c r="FS44" s="178">
        <f t="shared" ref="FS44" si="401">FS43-FS42</f>
        <v>20602.588844500002</v>
      </c>
      <c r="FT44" s="178">
        <f t="shared" ref="FT44" si="402">FT43-FT42</f>
        <v>56384.170000000006</v>
      </c>
      <c r="FU44" s="178">
        <f t="shared" ref="FU44" si="403">FU43-FU42</f>
        <v>48070.934782299999</v>
      </c>
      <c r="FW44" s="149" t="s">
        <v>51</v>
      </c>
      <c r="FX44" s="231">
        <f t="shared" si="219"/>
        <v>85673.490779427637</v>
      </c>
      <c r="FY44" s="231">
        <f t="shared" si="220"/>
        <v>90814.752293577985</v>
      </c>
      <c r="FZ44" s="231">
        <f t="shared" si="221"/>
        <v>84645.991445666383</v>
      </c>
      <c r="GA44" s="231">
        <f t="shared" si="222"/>
        <v>85256.083014612057</v>
      </c>
    </row>
    <row r="45" spans="1:187"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  <c r="EK45" s="134"/>
      <c r="EL45" s="134"/>
      <c r="EM45" s="134"/>
      <c r="EN45" s="134"/>
      <c r="EO45" s="134"/>
      <c r="EP45" s="134"/>
      <c r="EQ45" s="134"/>
      <c r="ER45" s="134"/>
      <c r="ES45" s="134"/>
      <c r="ET45" s="134"/>
      <c r="EU45" s="134"/>
      <c r="EV45" s="134"/>
      <c r="EW45" s="134"/>
      <c r="EX45" s="134"/>
      <c r="EY45" s="134"/>
      <c r="EZ45" s="134"/>
      <c r="FA45" s="134"/>
      <c r="FB45" s="134"/>
      <c r="FC45" s="134"/>
      <c r="FD45" s="134"/>
      <c r="FE45" s="134"/>
      <c r="FF45" s="134"/>
      <c r="FG45" s="134"/>
      <c r="FH45" s="134"/>
      <c r="FI45" s="134"/>
      <c r="FJ45" s="134"/>
      <c r="FK45" s="134"/>
      <c r="FL45" s="134"/>
      <c r="FM45" s="134"/>
      <c r="FN45" s="134"/>
      <c r="FO45" s="134"/>
      <c r="FP45" s="134"/>
      <c r="FQ45" s="134"/>
      <c r="FR45" s="134"/>
      <c r="FS45" s="134"/>
      <c r="FT45" s="134"/>
      <c r="FU45" s="134"/>
    </row>
    <row r="46" spans="1:187">
      <c r="A46" s="35" t="s">
        <v>171</v>
      </c>
    </row>
    <row r="47" spans="1:187">
      <c r="A47" s="153" t="s">
        <v>28</v>
      </c>
      <c r="B47" s="413">
        <v>42461</v>
      </c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1" t="s">
        <v>172</v>
      </c>
      <c r="Q47" s="412"/>
      <c r="R47" s="412"/>
      <c r="S47" s="412"/>
      <c r="T47" s="412"/>
      <c r="U47" s="412"/>
      <c r="V47" s="412"/>
      <c r="W47" s="412"/>
      <c r="X47" s="412"/>
      <c r="Y47" s="412"/>
      <c r="Z47" s="412"/>
      <c r="AA47" s="412"/>
      <c r="AB47" s="412"/>
      <c r="AC47" s="412"/>
      <c r="AD47" s="411" t="s">
        <v>173</v>
      </c>
      <c r="AE47" s="412"/>
      <c r="AF47" s="412"/>
      <c r="AG47" s="412"/>
      <c r="AH47" s="412"/>
      <c r="AI47" s="412"/>
      <c r="AJ47" s="412"/>
      <c r="AK47" s="412"/>
      <c r="AL47" s="412"/>
      <c r="AM47" s="412"/>
      <c r="AN47" s="412"/>
      <c r="AO47" s="412"/>
      <c r="AP47" s="412"/>
      <c r="AQ47" s="412"/>
      <c r="AR47" s="411" t="s">
        <v>174</v>
      </c>
      <c r="AS47" s="412"/>
      <c r="AT47" s="412"/>
      <c r="AU47" s="412"/>
      <c r="AV47" s="412"/>
      <c r="AW47" s="412"/>
      <c r="AX47" s="412"/>
      <c r="AY47" s="412"/>
      <c r="AZ47" s="412"/>
      <c r="BA47" s="412"/>
      <c r="BB47" s="412"/>
      <c r="BC47" s="412"/>
      <c r="BD47" s="412"/>
      <c r="BE47" s="412"/>
      <c r="BF47" s="411" t="s">
        <v>163</v>
      </c>
      <c r="BG47" s="412"/>
      <c r="BH47" s="412"/>
      <c r="BI47" s="412"/>
      <c r="BJ47" s="412"/>
      <c r="BK47" s="412"/>
      <c r="BL47" s="412"/>
      <c r="BM47" s="412"/>
      <c r="BN47" s="412"/>
      <c r="BO47" s="412"/>
      <c r="BP47" s="412"/>
      <c r="BQ47" s="412"/>
      <c r="BR47" s="412"/>
      <c r="BS47" s="412"/>
      <c r="BT47" s="411" t="s">
        <v>175</v>
      </c>
      <c r="BU47" s="412"/>
      <c r="BV47" s="412"/>
      <c r="BW47" s="412"/>
      <c r="BX47" s="412"/>
      <c r="BY47" s="412"/>
      <c r="BZ47" s="412"/>
      <c r="CA47" s="412"/>
      <c r="CB47" s="412"/>
      <c r="CC47" s="412"/>
      <c r="CD47" s="412"/>
      <c r="CE47" s="412"/>
      <c r="CF47" s="412"/>
      <c r="CG47" s="412"/>
      <c r="CH47" s="411" t="s">
        <v>176</v>
      </c>
      <c r="CI47" s="412"/>
      <c r="CJ47" s="412"/>
      <c r="CK47" s="412"/>
      <c r="CL47" s="412"/>
      <c r="CM47" s="412"/>
      <c r="CN47" s="412"/>
      <c r="CO47" s="412"/>
      <c r="CP47" s="412"/>
      <c r="CQ47" s="412"/>
      <c r="CR47" s="412"/>
      <c r="CS47" s="412"/>
      <c r="CT47" s="412"/>
      <c r="CU47" s="412"/>
      <c r="CV47" s="413">
        <v>42675</v>
      </c>
      <c r="CW47" s="412"/>
      <c r="CX47" s="412"/>
      <c r="CY47" s="412"/>
      <c r="CZ47" s="412"/>
      <c r="DA47" s="412"/>
      <c r="DB47" s="412"/>
      <c r="DC47" s="412"/>
      <c r="DD47" s="412"/>
      <c r="DE47" s="412"/>
      <c r="DF47" s="412"/>
      <c r="DG47" s="412"/>
      <c r="DH47" s="412"/>
      <c r="DI47" s="412"/>
      <c r="DJ47" s="413">
        <v>42705</v>
      </c>
      <c r="DK47" s="412"/>
      <c r="DL47" s="412"/>
      <c r="DM47" s="412"/>
      <c r="DN47" s="412"/>
      <c r="DO47" s="412"/>
      <c r="DP47" s="412"/>
      <c r="DQ47" s="412"/>
      <c r="DR47" s="412"/>
      <c r="DS47" s="412"/>
      <c r="DT47" s="412"/>
      <c r="DU47" s="412"/>
      <c r="DV47" s="412"/>
      <c r="DW47" s="412"/>
      <c r="DX47" s="413">
        <v>42736</v>
      </c>
      <c r="DY47" s="412"/>
      <c r="DZ47" s="412"/>
      <c r="EA47" s="412"/>
      <c r="EB47" s="412"/>
      <c r="EC47" s="412"/>
      <c r="ED47" s="412"/>
      <c r="EE47" s="412"/>
      <c r="EF47" s="412"/>
      <c r="EG47" s="412"/>
      <c r="EH47" s="412"/>
      <c r="EI47" s="412"/>
      <c r="EJ47" s="412"/>
      <c r="EK47" s="412"/>
      <c r="EL47" s="413">
        <v>42767</v>
      </c>
      <c r="EM47" s="412"/>
      <c r="EN47" s="412"/>
      <c r="EO47" s="412"/>
      <c r="EP47" s="412"/>
      <c r="EQ47" s="412"/>
      <c r="ER47" s="412"/>
      <c r="ES47" s="412"/>
      <c r="ET47" s="412"/>
      <c r="EU47" s="412"/>
      <c r="EV47" s="412"/>
      <c r="EW47" s="412"/>
      <c r="EX47" s="412"/>
      <c r="EY47" s="412"/>
      <c r="EZ47" s="413">
        <v>42795</v>
      </c>
      <c r="FA47" s="412"/>
      <c r="FB47" s="412"/>
      <c r="FC47" s="412"/>
      <c r="FD47" s="412"/>
      <c r="FE47" s="412"/>
      <c r="FF47" s="412"/>
      <c r="FG47" s="412"/>
      <c r="FH47" s="412"/>
      <c r="FI47" s="412"/>
      <c r="FJ47" s="412"/>
      <c r="FK47" s="412"/>
      <c r="FL47" s="412"/>
      <c r="FM47" s="412"/>
      <c r="FN47" s="413" t="s">
        <v>20</v>
      </c>
      <c r="FO47" s="412"/>
      <c r="FP47" s="412"/>
      <c r="FQ47" s="412"/>
      <c r="FR47" s="412"/>
      <c r="FS47" s="412"/>
      <c r="FT47" s="412"/>
      <c r="FU47" s="412"/>
    </row>
    <row r="48" spans="1:187">
      <c r="A48" s="351"/>
      <c r="B48" s="412" t="s">
        <v>25</v>
      </c>
      <c r="C48" s="412"/>
      <c r="D48" s="412" t="s">
        <v>26</v>
      </c>
      <c r="E48" s="412"/>
      <c r="F48" s="412" t="s">
        <v>27</v>
      </c>
      <c r="G48" s="412"/>
      <c r="H48" s="412" t="s">
        <v>25</v>
      </c>
      <c r="I48" s="412"/>
      <c r="J48" s="412" t="s">
        <v>26</v>
      </c>
      <c r="K48" s="412"/>
      <c r="L48" s="412" t="s">
        <v>27</v>
      </c>
      <c r="M48" s="412"/>
      <c r="N48" s="412" t="s">
        <v>20</v>
      </c>
      <c r="O48" s="412"/>
      <c r="P48" s="412" t="s">
        <v>25</v>
      </c>
      <c r="Q48" s="412"/>
      <c r="R48" s="412" t="s">
        <v>26</v>
      </c>
      <c r="S48" s="412"/>
      <c r="T48" s="412" t="s">
        <v>27</v>
      </c>
      <c r="U48" s="412"/>
      <c r="V48" s="412" t="s">
        <v>25</v>
      </c>
      <c r="W48" s="412"/>
      <c r="X48" s="412" t="s">
        <v>26</v>
      </c>
      <c r="Y48" s="412"/>
      <c r="Z48" s="412" t="s">
        <v>27</v>
      </c>
      <c r="AA48" s="412"/>
      <c r="AB48" s="412" t="s">
        <v>20</v>
      </c>
      <c r="AC48" s="412"/>
      <c r="AD48" s="412" t="s">
        <v>25</v>
      </c>
      <c r="AE48" s="412"/>
      <c r="AF48" s="412" t="s">
        <v>26</v>
      </c>
      <c r="AG48" s="412"/>
      <c r="AH48" s="412" t="s">
        <v>27</v>
      </c>
      <c r="AI48" s="412"/>
      <c r="AJ48" s="412" t="s">
        <v>25</v>
      </c>
      <c r="AK48" s="412"/>
      <c r="AL48" s="412" t="s">
        <v>26</v>
      </c>
      <c r="AM48" s="412"/>
      <c r="AN48" s="412" t="s">
        <v>27</v>
      </c>
      <c r="AO48" s="412"/>
      <c r="AP48" s="412" t="s">
        <v>20</v>
      </c>
      <c r="AQ48" s="412"/>
      <c r="AR48" s="412" t="s">
        <v>25</v>
      </c>
      <c r="AS48" s="412"/>
      <c r="AT48" s="412" t="s">
        <v>26</v>
      </c>
      <c r="AU48" s="412"/>
      <c r="AV48" s="412" t="s">
        <v>27</v>
      </c>
      <c r="AW48" s="412"/>
      <c r="AX48" s="351" t="s">
        <v>25</v>
      </c>
      <c r="AY48" s="351"/>
      <c r="AZ48" s="351" t="s">
        <v>26</v>
      </c>
      <c r="BA48" s="351"/>
      <c r="BB48" s="351" t="s">
        <v>27</v>
      </c>
      <c r="BC48" s="351"/>
      <c r="BD48" s="412" t="s">
        <v>20</v>
      </c>
      <c r="BE48" s="412"/>
      <c r="BF48" s="412" t="s">
        <v>25</v>
      </c>
      <c r="BG48" s="412"/>
      <c r="BH48" s="412" t="s">
        <v>26</v>
      </c>
      <c r="BI48" s="412"/>
      <c r="BJ48" s="412" t="s">
        <v>27</v>
      </c>
      <c r="BK48" s="412"/>
      <c r="BL48" s="351" t="s">
        <v>25</v>
      </c>
      <c r="BM48" s="351"/>
      <c r="BN48" s="351" t="s">
        <v>26</v>
      </c>
      <c r="BO48" s="351"/>
      <c r="BP48" s="351" t="s">
        <v>27</v>
      </c>
      <c r="BQ48" s="351"/>
      <c r="BR48" s="412" t="s">
        <v>20</v>
      </c>
      <c r="BS48" s="412"/>
      <c r="BT48" s="412" t="s">
        <v>25</v>
      </c>
      <c r="BU48" s="412"/>
      <c r="BV48" s="412" t="s">
        <v>26</v>
      </c>
      <c r="BW48" s="412"/>
      <c r="BX48" s="412" t="s">
        <v>27</v>
      </c>
      <c r="BY48" s="412"/>
      <c r="BZ48" s="351" t="s">
        <v>25</v>
      </c>
      <c r="CA48" s="351"/>
      <c r="CB48" s="351" t="s">
        <v>26</v>
      </c>
      <c r="CC48" s="351"/>
      <c r="CD48" s="351" t="s">
        <v>27</v>
      </c>
      <c r="CE48" s="351"/>
      <c r="CF48" s="412" t="s">
        <v>20</v>
      </c>
      <c r="CG48" s="412"/>
      <c r="CH48" s="412" t="s">
        <v>25</v>
      </c>
      <c r="CI48" s="412"/>
      <c r="CJ48" s="412" t="s">
        <v>26</v>
      </c>
      <c r="CK48" s="412"/>
      <c r="CL48" s="412" t="s">
        <v>27</v>
      </c>
      <c r="CM48" s="412"/>
      <c r="CN48" s="412" t="s">
        <v>25</v>
      </c>
      <c r="CO48" s="412"/>
      <c r="CP48" s="412" t="s">
        <v>26</v>
      </c>
      <c r="CQ48" s="412"/>
      <c r="CR48" s="412" t="s">
        <v>27</v>
      </c>
      <c r="CS48" s="412"/>
      <c r="CT48" s="412" t="s">
        <v>20</v>
      </c>
      <c r="CU48" s="412"/>
      <c r="CV48" s="412" t="s">
        <v>25</v>
      </c>
      <c r="CW48" s="412"/>
      <c r="CX48" s="412" t="s">
        <v>26</v>
      </c>
      <c r="CY48" s="412"/>
      <c r="CZ48" s="412" t="s">
        <v>27</v>
      </c>
      <c r="DA48" s="412"/>
      <c r="DB48" s="412" t="s">
        <v>25</v>
      </c>
      <c r="DC48" s="412"/>
      <c r="DD48" s="412" t="s">
        <v>26</v>
      </c>
      <c r="DE48" s="412"/>
      <c r="DF48" s="412" t="s">
        <v>27</v>
      </c>
      <c r="DG48" s="412"/>
      <c r="DH48" s="412" t="s">
        <v>20</v>
      </c>
      <c r="DI48" s="412"/>
      <c r="DJ48" s="412" t="s">
        <v>25</v>
      </c>
      <c r="DK48" s="412"/>
      <c r="DL48" s="412" t="s">
        <v>26</v>
      </c>
      <c r="DM48" s="412"/>
      <c r="DN48" s="412" t="s">
        <v>27</v>
      </c>
      <c r="DO48" s="412"/>
      <c r="DP48" s="412" t="s">
        <v>25</v>
      </c>
      <c r="DQ48" s="412"/>
      <c r="DR48" s="412" t="s">
        <v>26</v>
      </c>
      <c r="DS48" s="412"/>
      <c r="DT48" s="412" t="s">
        <v>27</v>
      </c>
      <c r="DU48" s="412"/>
      <c r="DV48" s="412" t="s">
        <v>20</v>
      </c>
      <c r="DW48" s="412"/>
      <c r="DX48" s="412" t="s">
        <v>25</v>
      </c>
      <c r="DY48" s="412"/>
      <c r="DZ48" s="412" t="s">
        <v>26</v>
      </c>
      <c r="EA48" s="412"/>
      <c r="EB48" s="412" t="s">
        <v>27</v>
      </c>
      <c r="EC48" s="412"/>
      <c r="ED48" s="412" t="s">
        <v>25</v>
      </c>
      <c r="EE48" s="412"/>
      <c r="EF48" s="412" t="s">
        <v>26</v>
      </c>
      <c r="EG48" s="412"/>
      <c r="EH48" s="412" t="s">
        <v>27</v>
      </c>
      <c r="EI48" s="412"/>
      <c r="EJ48" s="412" t="s">
        <v>20</v>
      </c>
      <c r="EK48" s="412"/>
      <c r="EL48" s="412" t="s">
        <v>25</v>
      </c>
      <c r="EM48" s="412"/>
      <c r="EN48" s="412" t="s">
        <v>26</v>
      </c>
      <c r="EO48" s="412"/>
      <c r="EP48" s="412" t="s">
        <v>27</v>
      </c>
      <c r="EQ48" s="412"/>
      <c r="ER48" s="412" t="s">
        <v>25</v>
      </c>
      <c r="ES48" s="412"/>
      <c r="ET48" s="412" t="s">
        <v>26</v>
      </c>
      <c r="EU48" s="412"/>
      <c r="EV48" s="412" t="s">
        <v>27</v>
      </c>
      <c r="EW48" s="412"/>
      <c r="EX48" s="412" t="s">
        <v>20</v>
      </c>
      <c r="EY48" s="412"/>
      <c r="EZ48" s="412" t="s">
        <v>25</v>
      </c>
      <c r="FA48" s="412"/>
      <c r="FB48" s="412" t="s">
        <v>26</v>
      </c>
      <c r="FC48" s="412"/>
      <c r="FD48" s="412" t="s">
        <v>27</v>
      </c>
      <c r="FE48" s="412"/>
      <c r="FF48" s="412" t="s">
        <v>25</v>
      </c>
      <c r="FG48" s="412"/>
      <c r="FH48" s="412" t="s">
        <v>26</v>
      </c>
      <c r="FI48" s="412"/>
      <c r="FJ48" s="412" t="s">
        <v>27</v>
      </c>
      <c r="FK48" s="412"/>
      <c r="FL48" s="412" t="s">
        <v>20</v>
      </c>
      <c r="FM48" s="412"/>
      <c r="FN48" s="412" t="s">
        <v>25</v>
      </c>
      <c r="FO48" s="412"/>
      <c r="FP48" s="412" t="s">
        <v>26</v>
      </c>
      <c r="FQ48" s="412"/>
      <c r="FR48" s="412" t="s">
        <v>27</v>
      </c>
      <c r="FS48" s="412"/>
      <c r="FT48" s="412" t="s">
        <v>20</v>
      </c>
      <c r="FU48" s="412"/>
    </row>
    <row r="49" spans="1:183" ht="36">
      <c r="A49" s="175" t="s">
        <v>29</v>
      </c>
      <c r="B49" s="175" t="s">
        <v>30</v>
      </c>
      <c r="C49" s="175" t="s">
        <v>31</v>
      </c>
      <c r="D49" s="175" t="s">
        <v>30</v>
      </c>
      <c r="E49" s="175" t="s">
        <v>31</v>
      </c>
      <c r="F49" s="175" t="s">
        <v>30</v>
      </c>
      <c r="G49" s="175" t="s">
        <v>31</v>
      </c>
      <c r="H49" s="175" t="s">
        <v>30</v>
      </c>
      <c r="I49" s="175" t="s">
        <v>31</v>
      </c>
      <c r="J49" s="175" t="s">
        <v>30</v>
      </c>
      <c r="K49" s="175" t="s">
        <v>31</v>
      </c>
      <c r="L49" s="175" t="s">
        <v>30</v>
      </c>
      <c r="M49" s="175" t="s">
        <v>31</v>
      </c>
      <c r="N49" s="175" t="s">
        <v>30</v>
      </c>
      <c r="O49" s="175" t="s">
        <v>31</v>
      </c>
      <c r="P49" s="175" t="s">
        <v>30</v>
      </c>
      <c r="Q49" s="175" t="s">
        <v>31</v>
      </c>
      <c r="R49" s="175" t="s">
        <v>30</v>
      </c>
      <c r="S49" s="175" t="s">
        <v>31</v>
      </c>
      <c r="T49" s="175" t="s">
        <v>30</v>
      </c>
      <c r="U49" s="175" t="s">
        <v>31</v>
      </c>
      <c r="V49" s="175" t="s">
        <v>30</v>
      </c>
      <c r="W49" s="175" t="s">
        <v>31</v>
      </c>
      <c r="X49" s="175" t="s">
        <v>30</v>
      </c>
      <c r="Y49" s="175" t="s">
        <v>31</v>
      </c>
      <c r="Z49" s="175" t="s">
        <v>30</v>
      </c>
      <c r="AA49" s="175" t="s">
        <v>31</v>
      </c>
      <c r="AB49" s="175" t="s">
        <v>30</v>
      </c>
      <c r="AC49" s="175" t="s">
        <v>31</v>
      </c>
      <c r="AD49" s="175" t="s">
        <v>30</v>
      </c>
      <c r="AE49" s="175" t="s">
        <v>31</v>
      </c>
      <c r="AF49" s="175" t="s">
        <v>30</v>
      </c>
      <c r="AG49" s="175" t="s">
        <v>31</v>
      </c>
      <c r="AH49" s="175" t="s">
        <v>30</v>
      </c>
      <c r="AI49" s="175" t="s">
        <v>31</v>
      </c>
      <c r="AJ49" s="175" t="s">
        <v>30</v>
      </c>
      <c r="AK49" s="175" t="s">
        <v>31</v>
      </c>
      <c r="AL49" s="175" t="s">
        <v>30</v>
      </c>
      <c r="AM49" s="175" t="s">
        <v>31</v>
      </c>
      <c r="AN49" s="175" t="s">
        <v>30</v>
      </c>
      <c r="AO49" s="175" t="s">
        <v>31</v>
      </c>
      <c r="AP49" s="175" t="s">
        <v>30</v>
      </c>
      <c r="AQ49" s="175" t="s">
        <v>31</v>
      </c>
      <c r="AR49" s="175" t="s">
        <v>30</v>
      </c>
      <c r="AS49" s="175" t="s">
        <v>31</v>
      </c>
      <c r="AT49" s="175" t="s">
        <v>30</v>
      </c>
      <c r="AU49" s="175" t="s">
        <v>31</v>
      </c>
      <c r="AV49" s="175" t="s">
        <v>30</v>
      </c>
      <c r="AW49" s="175" t="s">
        <v>31</v>
      </c>
      <c r="AX49" s="175" t="s">
        <v>30</v>
      </c>
      <c r="AY49" s="175" t="s">
        <v>31</v>
      </c>
      <c r="AZ49" s="175" t="s">
        <v>30</v>
      </c>
      <c r="BA49" s="175" t="s">
        <v>31</v>
      </c>
      <c r="BB49" s="175" t="s">
        <v>30</v>
      </c>
      <c r="BC49" s="175" t="s">
        <v>31</v>
      </c>
      <c r="BD49" s="175" t="s">
        <v>30</v>
      </c>
      <c r="BE49" s="175" t="s">
        <v>31</v>
      </c>
      <c r="BF49" s="175" t="s">
        <v>30</v>
      </c>
      <c r="BG49" s="175" t="s">
        <v>31</v>
      </c>
      <c r="BH49" s="175" t="s">
        <v>30</v>
      </c>
      <c r="BI49" s="175" t="s">
        <v>31</v>
      </c>
      <c r="BJ49" s="175" t="s">
        <v>30</v>
      </c>
      <c r="BK49" s="175" t="s">
        <v>31</v>
      </c>
      <c r="BL49" s="175" t="s">
        <v>30</v>
      </c>
      <c r="BM49" s="175" t="s">
        <v>31</v>
      </c>
      <c r="BN49" s="175" t="s">
        <v>30</v>
      </c>
      <c r="BO49" s="175" t="s">
        <v>31</v>
      </c>
      <c r="BP49" s="175" t="s">
        <v>30</v>
      </c>
      <c r="BQ49" s="175" t="s">
        <v>31</v>
      </c>
      <c r="BR49" s="175" t="s">
        <v>30</v>
      </c>
      <c r="BS49" s="175" t="s">
        <v>31</v>
      </c>
      <c r="BT49" s="175" t="s">
        <v>30</v>
      </c>
      <c r="BU49" s="175" t="s">
        <v>31</v>
      </c>
      <c r="BV49" s="175" t="s">
        <v>30</v>
      </c>
      <c r="BW49" s="175" t="s">
        <v>31</v>
      </c>
      <c r="BX49" s="175" t="s">
        <v>30</v>
      </c>
      <c r="BY49" s="175" t="s">
        <v>31</v>
      </c>
      <c r="BZ49" s="175" t="s">
        <v>30</v>
      </c>
      <c r="CA49" s="175" t="s">
        <v>31</v>
      </c>
      <c r="CB49" s="175" t="s">
        <v>30</v>
      </c>
      <c r="CC49" s="175" t="s">
        <v>31</v>
      </c>
      <c r="CD49" s="175" t="s">
        <v>30</v>
      </c>
      <c r="CE49" s="175" t="s">
        <v>31</v>
      </c>
      <c r="CF49" s="175" t="s">
        <v>30</v>
      </c>
      <c r="CG49" s="175" t="s">
        <v>31</v>
      </c>
      <c r="CH49" s="175" t="s">
        <v>30</v>
      </c>
      <c r="CI49" s="175" t="s">
        <v>31</v>
      </c>
      <c r="CJ49" s="175" t="s">
        <v>30</v>
      </c>
      <c r="CK49" s="175" t="s">
        <v>31</v>
      </c>
      <c r="CL49" s="175" t="s">
        <v>30</v>
      </c>
      <c r="CM49" s="175" t="s">
        <v>31</v>
      </c>
      <c r="CN49" s="175" t="s">
        <v>30</v>
      </c>
      <c r="CO49" s="175" t="s">
        <v>31</v>
      </c>
      <c r="CP49" s="175" t="s">
        <v>30</v>
      </c>
      <c r="CQ49" s="175" t="s">
        <v>31</v>
      </c>
      <c r="CR49" s="175" t="s">
        <v>30</v>
      </c>
      <c r="CS49" s="175" t="s">
        <v>31</v>
      </c>
      <c r="CT49" s="175" t="s">
        <v>30</v>
      </c>
      <c r="CU49" s="175" t="s">
        <v>31</v>
      </c>
      <c r="CV49" s="175" t="s">
        <v>30</v>
      </c>
      <c r="CW49" s="175" t="s">
        <v>31</v>
      </c>
      <c r="CX49" s="175" t="s">
        <v>30</v>
      </c>
      <c r="CY49" s="175" t="s">
        <v>31</v>
      </c>
      <c r="CZ49" s="175" t="s">
        <v>30</v>
      </c>
      <c r="DA49" s="175" t="s">
        <v>31</v>
      </c>
      <c r="DB49" s="175" t="s">
        <v>30</v>
      </c>
      <c r="DC49" s="175" t="s">
        <v>31</v>
      </c>
      <c r="DD49" s="175" t="s">
        <v>30</v>
      </c>
      <c r="DE49" s="175" t="s">
        <v>31</v>
      </c>
      <c r="DF49" s="175" t="s">
        <v>30</v>
      </c>
      <c r="DG49" s="175" t="s">
        <v>31</v>
      </c>
      <c r="DH49" s="175" t="s">
        <v>30</v>
      </c>
      <c r="DI49" s="175" t="s">
        <v>31</v>
      </c>
      <c r="DJ49" s="175" t="s">
        <v>30</v>
      </c>
      <c r="DK49" s="175" t="s">
        <v>31</v>
      </c>
      <c r="DL49" s="175" t="s">
        <v>30</v>
      </c>
      <c r="DM49" s="175" t="s">
        <v>31</v>
      </c>
      <c r="DN49" s="175" t="s">
        <v>30</v>
      </c>
      <c r="DO49" s="175" t="s">
        <v>31</v>
      </c>
      <c r="DP49" s="175" t="s">
        <v>30</v>
      </c>
      <c r="DQ49" s="175" t="s">
        <v>31</v>
      </c>
      <c r="DR49" s="175" t="s">
        <v>30</v>
      </c>
      <c r="DS49" s="175" t="s">
        <v>31</v>
      </c>
      <c r="DT49" s="175" t="s">
        <v>30</v>
      </c>
      <c r="DU49" s="175" t="s">
        <v>31</v>
      </c>
      <c r="DV49" s="175" t="s">
        <v>30</v>
      </c>
      <c r="DW49" s="175" t="s">
        <v>31</v>
      </c>
      <c r="DX49" s="175" t="s">
        <v>30</v>
      </c>
      <c r="DY49" s="175" t="s">
        <v>31</v>
      </c>
      <c r="DZ49" s="175" t="s">
        <v>30</v>
      </c>
      <c r="EA49" s="175" t="s">
        <v>31</v>
      </c>
      <c r="EB49" s="175" t="s">
        <v>30</v>
      </c>
      <c r="EC49" s="175" t="s">
        <v>31</v>
      </c>
      <c r="ED49" s="175" t="s">
        <v>30</v>
      </c>
      <c r="EE49" s="175" t="s">
        <v>31</v>
      </c>
      <c r="EF49" s="175" t="s">
        <v>30</v>
      </c>
      <c r="EG49" s="175" t="s">
        <v>31</v>
      </c>
      <c r="EH49" s="175" t="s">
        <v>30</v>
      </c>
      <c r="EI49" s="175" t="s">
        <v>31</v>
      </c>
      <c r="EJ49" s="175" t="s">
        <v>30</v>
      </c>
      <c r="EK49" s="175" t="s">
        <v>31</v>
      </c>
      <c r="EL49" s="175" t="s">
        <v>30</v>
      </c>
      <c r="EM49" s="175" t="s">
        <v>31</v>
      </c>
      <c r="EN49" s="175" t="s">
        <v>30</v>
      </c>
      <c r="EO49" s="175" t="s">
        <v>31</v>
      </c>
      <c r="EP49" s="175" t="s">
        <v>30</v>
      </c>
      <c r="EQ49" s="175" t="s">
        <v>31</v>
      </c>
      <c r="ER49" s="175" t="s">
        <v>30</v>
      </c>
      <c r="ES49" s="175" t="s">
        <v>31</v>
      </c>
      <c r="ET49" s="175" t="s">
        <v>30</v>
      </c>
      <c r="EU49" s="175" t="s">
        <v>31</v>
      </c>
      <c r="EV49" s="175" t="s">
        <v>30</v>
      </c>
      <c r="EW49" s="175" t="s">
        <v>31</v>
      </c>
      <c r="EX49" s="175" t="s">
        <v>30</v>
      </c>
      <c r="EY49" s="175" t="s">
        <v>31</v>
      </c>
      <c r="EZ49" s="175" t="s">
        <v>30</v>
      </c>
      <c r="FA49" s="175" t="s">
        <v>31</v>
      </c>
      <c r="FB49" s="175" t="s">
        <v>30</v>
      </c>
      <c r="FC49" s="175" t="s">
        <v>31</v>
      </c>
      <c r="FD49" s="175" t="s">
        <v>30</v>
      </c>
      <c r="FE49" s="175" t="s">
        <v>31</v>
      </c>
      <c r="FF49" s="175" t="s">
        <v>30</v>
      </c>
      <c r="FG49" s="175" t="s">
        <v>31</v>
      </c>
      <c r="FH49" s="175" t="s">
        <v>30</v>
      </c>
      <c r="FI49" s="175" t="s">
        <v>31</v>
      </c>
      <c r="FJ49" s="175" t="s">
        <v>30</v>
      </c>
      <c r="FK49" s="175" t="s">
        <v>31</v>
      </c>
      <c r="FL49" s="175" t="s">
        <v>30</v>
      </c>
      <c r="FM49" s="175" t="s">
        <v>31</v>
      </c>
      <c r="FN49" s="175" t="s">
        <v>30</v>
      </c>
      <c r="FO49" s="175" t="s">
        <v>31</v>
      </c>
      <c r="FP49" s="175" t="s">
        <v>30</v>
      </c>
      <c r="FQ49" s="175" t="s">
        <v>31</v>
      </c>
      <c r="FR49" s="175" t="s">
        <v>30</v>
      </c>
      <c r="FS49" s="175" t="s">
        <v>31</v>
      </c>
      <c r="FT49" s="175" t="s">
        <v>30</v>
      </c>
      <c r="FU49" s="175" t="s">
        <v>31</v>
      </c>
      <c r="FW49" s="234" t="s">
        <v>185</v>
      </c>
      <c r="FX49" s="233" t="s">
        <v>25</v>
      </c>
      <c r="FY49" s="233" t="s">
        <v>26</v>
      </c>
      <c r="FZ49" s="233" t="s">
        <v>27</v>
      </c>
      <c r="GA49" s="233" t="s">
        <v>20</v>
      </c>
    </row>
    <row r="50" spans="1:183">
      <c r="A50" s="146" t="s">
        <v>17</v>
      </c>
      <c r="B50" s="171">
        <v>0</v>
      </c>
      <c r="C50" s="171">
        <v>0</v>
      </c>
      <c r="D50" s="171">
        <v>0</v>
      </c>
      <c r="E50" s="171">
        <v>0</v>
      </c>
      <c r="F50" s="171">
        <v>0</v>
      </c>
      <c r="G50" s="171">
        <v>0</v>
      </c>
      <c r="H50" s="171">
        <v>0</v>
      </c>
      <c r="I50" s="171">
        <v>0</v>
      </c>
      <c r="J50" s="171">
        <v>0</v>
      </c>
      <c r="K50" s="171">
        <v>0</v>
      </c>
      <c r="L50" s="171">
        <v>0</v>
      </c>
      <c r="M50" s="171">
        <v>0</v>
      </c>
      <c r="N50" s="171">
        <v>0</v>
      </c>
      <c r="O50" s="171">
        <v>0</v>
      </c>
      <c r="P50" s="171">
        <v>0</v>
      </c>
      <c r="Q50" s="171">
        <v>0</v>
      </c>
      <c r="R50" s="171">
        <v>0</v>
      </c>
      <c r="S50" s="171">
        <v>0</v>
      </c>
      <c r="T50" s="171">
        <v>0</v>
      </c>
      <c r="U50" s="171">
        <v>0</v>
      </c>
      <c r="V50" s="171">
        <v>0</v>
      </c>
      <c r="W50" s="171">
        <v>0</v>
      </c>
      <c r="X50" s="171">
        <v>0</v>
      </c>
      <c r="Y50" s="171">
        <v>0</v>
      </c>
      <c r="Z50" s="171">
        <v>0</v>
      </c>
      <c r="AA50" s="171">
        <v>0</v>
      </c>
      <c r="AB50" s="171">
        <v>0</v>
      </c>
      <c r="AC50" s="171">
        <v>0</v>
      </c>
      <c r="AD50" s="171">
        <v>0</v>
      </c>
      <c r="AE50" s="171">
        <v>0</v>
      </c>
      <c r="AF50" s="171">
        <v>0</v>
      </c>
      <c r="AG50" s="171">
        <v>0</v>
      </c>
      <c r="AH50" s="171">
        <v>0</v>
      </c>
      <c r="AI50" s="171">
        <v>0</v>
      </c>
      <c r="AJ50" s="171">
        <v>0</v>
      </c>
      <c r="AK50" s="171">
        <v>0</v>
      </c>
      <c r="AL50" s="171">
        <v>0</v>
      </c>
      <c r="AM50" s="171">
        <v>0</v>
      </c>
      <c r="AN50" s="171">
        <v>0</v>
      </c>
      <c r="AO50" s="171">
        <v>0</v>
      </c>
      <c r="AP50" s="171">
        <v>0</v>
      </c>
      <c r="AQ50" s="171">
        <v>0</v>
      </c>
      <c r="AR50" s="147">
        <v>0</v>
      </c>
      <c r="AS50" s="147">
        <v>0</v>
      </c>
      <c r="AT50" s="147">
        <v>0</v>
      </c>
      <c r="AU50" s="147">
        <v>0</v>
      </c>
      <c r="AV50" s="147">
        <v>0</v>
      </c>
      <c r="AW50" s="147">
        <v>0</v>
      </c>
      <c r="AX50" s="147">
        <v>0</v>
      </c>
      <c r="AY50" s="147">
        <v>0</v>
      </c>
      <c r="AZ50" s="147">
        <v>0</v>
      </c>
      <c r="BA50" s="147">
        <v>0</v>
      </c>
      <c r="BB50" s="147">
        <v>0</v>
      </c>
      <c r="BC50" s="147">
        <v>0</v>
      </c>
      <c r="BD50" s="147">
        <v>0</v>
      </c>
      <c r="BE50" s="147">
        <v>0</v>
      </c>
      <c r="BF50" s="147">
        <v>0</v>
      </c>
      <c r="BG50" s="147">
        <v>0</v>
      </c>
      <c r="BH50" s="147">
        <v>0</v>
      </c>
      <c r="BI50" s="147">
        <v>0</v>
      </c>
      <c r="BJ50" s="147">
        <v>0</v>
      </c>
      <c r="BK50" s="147">
        <v>0</v>
      </c>
      <c r="BL50" s="147">
        <v>0</v>
      </c>
      <c r="BM50" s="147">
        <v>0</v>
      </c>
      <c r="BN50" s="147">
        <v>0</v>
      </c>
      <c r="BO50" s="147">
        <v>0</v>
      </c>
      <c r="BP50" s="147">
        <v>0</v>
      </c>
      <c r="BQ50" s="147">
        <v>0</v>
      </c>
      <c r="BR50" s="147">
        <v>0</v>
      </c>
      <c r="BS50" s="147">
        <v>0</v>
      </c>
      <c r="BT50" s="171">
        <v>11.39</v>
      </c>
      <c r="BU50" s="171">
        <v>20.501999999999999</v>
      </c>
      <c r="BV50" s="171">
        <v>0</v>
      </c>
      <c r="BW50" s="171">
        <v>0</v>
      </c>
      <c r="BX50" s="171">
        <v>0</v>
      </c>
      <c r="BY50" s="171">
        <v>0</v>
      </c>
      <c r="BZ50" s="171">
        <v>0</v>
      </c>
      <c r="CA50" s="171">
        <v>0</v>
      </c>
      <c r="CB50" s="171">
        <v>0</v>
      </c>
      <c r="CC50" s="171">
        <v>0</v>
      </c>
      <c r="CD50" s="171">
        <v>0</v>
      </c>
      <c r="CE50" s="171">
        <v>0</v>
      </c>
      <c r="CF50" s="171">
        <v>11.39</v>
      </c>
      <c r="CG50" s="171">
        <v>20.501999999999999</v>
      </c>
      <c r="CH50" s="171">
        <v>0</v>
      </c>
      <c r="CI50" s="171">
        <v>0</v>
      </c>
      <c r="CJ50" s="171">
        <v>0</v>
      </c>
      <c r="CK50" s="171">
        <v>0</v>
      </c>
      <c r="CL50" s="171">
        <v>0</v>
      </c>
      <c r="CM50" s="171">
        <v>0</v>
      </c>
      <c r="CN50" s="171">
        <v>0</v>
      </c>
      <c r="CO50" s="171">
        <v>0</v>
      </c>
      <c r="CP50" s="171">
        <v>0</v>
      </c>
      <c r="CQ50" s="171">
        <v>0</v>
      </c>
      <c r="CR50" s="171">
        <v>0</v>
      </c>
      <c r="CS50" s="171">
        <v>0</v>
      </c>
      <c r="CT50" s="171">
        <v>0</v>
      </c>
      <c r="CU50" s="171">
        <v>0</v>
      </c>
      <c r="CV50" s="171">
        <v>0</v>
      </c>
      <c r="CW50" s="171">
        <v>0</v>
      </c>
      <c r="CX50" s="171">
        <v>0</v>
      </c>
      <c r="CY50" s="171">
        <v>0</v>
      </c>
      <c r="CZ50" s="171">
        <v>0</v>
      </c>
      <c r="DA50" s="171">
        <v>0</v>
      </c>
      <c r="DB50" s="171">
        <v>0</v>
      </c>
      <c r="DC50" s="171">
        <v>0</v>
      </c>
      <c r="DD50" s="171">
        <v>0</v>
      </c>
      <c r="DE50" s="171">
        <v>0</v>
      </c>
      <c r="DF50" s="171">
        <v>0</v>
      </c>
      <c r="DG50" s="171">
        <v>0</v>
      </c>
      <c r="DH50" s="171">
        <f t="shared" ref="DH50:DI57" si="404">CV50+CX50+CZ50</f>
        <v>0</v>
      </c>
      <c r="DI50" s="171">
        <f t="shared" si="404"/>
        <v>0</v>
      </c>
      <c r="DJ50" s="171">
        <v>0</v>
      </c>
      <c r="DK50" s="171">
        <v>0</v>
      </c>
      <c r="DL50" s="171">
        <v>0</v>
      </c>
      <c r="DM50" s="171">
        <v>0</v>
      </c>
      <c r="DN50" s="171">
        <v>0</v>
      </c>
      <c r="DO50" s="171">
        <v>0</v>
      </c>
      <c r="DP50" s="171">
        <v>0</v>
      </c>
      <c r="DQ50" s="171">
        <v>0</v>
      </c>
      <c r="DR50" s="171">
        <v>0</v>
      </c>
      <c r="DS50" s="171">
        <v>0</v>
      </c>
      <c r="DT50" s="171">
        <v>0</v>
      </c>
      <c r="DU50" s="171">
        <v>0</v>
      </c>
      <c r="DV50" s="171">
        <f t="shared" ref="DV50:DV57" si="405">DJ50+DL50+DN50</f>
        <v>0</v>
      </c>
      <c r="DW50" s="171">
        <f t="shared" ref="DW50:DW57" si="406">DK50+DM50+DO50</f>
        <v>0</v>
      </c>
      <c r="DX50" s="171">
        <v>0</v>
      </c>
      <c r="DY50" s="171">
        <v>0</v>
      </c>
      <c r="DZ50" s="171">
        <v>0</v>
      </c>
      <c r="EA50" s="171">
        <v>0</v>
      </c>
      <c r="EB50" s="171">
        <v>0</v>
      </c>
      <c r="EC50" s="171">
        <v>0</v>
      </c>
      <c r="ED50" s="171"/>
      <c r="EE50" s="171"/>
      <c r="EF50" s="171"/>
      <c r="EG50" s="171"/>
      <c r="EH50" s="171"/>
      <c r="EI50" s="171"/>
      <c r="EJ50" s="171">
        <v>0</v>
      </c>
      <c r="EK50" s="171">
        <v>0</v>
      </c>
      <c r="EL50" s="171">
        <v>0</v>
      </c>
      <c r="EM50" s="171">
        <v>0</v>
      </c>
      <c r="EN50" s="171">
        <v>0</v>
      </c>
      <c r="EO50" s="171">
        <v>0</v>
      </c>
      <c r="EP50" s="171">
        <v>0</v>
      </c>
      <c r="EQ50" s="171">
        <v>0</v>
      </c>
      <c r="ER50" s="171"/>
      <c r="ES50" s="171"/>
      <c r="ET50" s="171"/>
      <c r="EU50" s="171"/>
      <c r="EV50" s="171"/>
      <c r="EW50" s="171"/>
      <c r="EX50" s="171">
        <v>0</v>
      </c>
      <c r="EY50" s="171">
        <v>0</v>
      </c>
      <c r="EZ50" s="171">
        <v>0</v>
      </c>
      <c r="FA50" s="171">
        <v>0</v>
      </c>
      <c r="FB50" s="171">
        <v>0</v>
      </c>
      <c r="FC50" s="171">
        <v>0</v>
      </c>
      <c r="FD50" s="171">
        <v>0</v>
      </c>
      <c r="FE50" s="171">
        <v>0</v>
      </c>
      <c r="FF50" s="171"/>
      <c r="FG50" s="171"/>
      <c r="FH50" s="171"/>
      <c r="FI50" s="171"/>
      <c r="FJ50" s="171"/>
      <c r="FK50" s="171"/>
      <c r="FL50" s="171">
        <v>0</v>
      </c>
      <c r="FM50" s="171">
        <v>0</v>
      </c>
      <c r="FN50" s="171">
        <f>B50+P50+AD50+AR50+BF50+BT50+CH50+CV50+DJ50+DX50+EL50+EZ50+(H50+V50+AJ50+AX50+BL50+BZ50+CN50+DB50+DP50+ED50+ER50+FF50)</f>
        <v>11.39</v>
      </c>
      <c r="FO50" s="171">
        <f t="shared" ref="FO50:FO57" si="407">C50+Q50+AE50+AS50+BG50+BU50+CI50+CW50+DK50+DY50+EM50+FA50+(I50+W50+AK50+AY50+BM50+CA50+CO50+DC50+DQ50+EE50+ES50+FG50)</f>
        <v>20.501999999999999</v>
      </c>
      <c r="FP50" s="171">
        <f t="shared" ref="FP50:FP57" si="408">D50+R50+AF50+AT50+BH50+BV50+CJ50+CX50+DL50+DZ50+EN50+FB50+(J50+X50+AL50+AZ50+BN50+CB50+CP50+DD50+DR50+EF50+ET50+FH50)</f>
        <v>0</v>
      </c>
      <c r="FQ50" s="171">
        <f t="shared" ref="FQ50:FQ57" si="409">E50+S50+AG50+AU50+BI50+BW50+CK50+CY50+DM50+EA50+EO50+FC50+(K50+Y50+AM50+BA50+BO50+CC50+CQ50+DE50+DS50+EG50+EU50+FI50)</f>
        <v>0</v>
      </c>
      <c r="FR50" s="171">
        <f t="shared" ref="FR50:FR57" si="410">F50+T50+AH50+AV50+BJ50+BX50+CL50+CZ50+DN50+EB50+EP50+FD50+(L50+Z50+AN50+BB50+BP50+CD50+CR50+DF50+DT50+EH50+EV50+FJ50)</f>
        <v>0</v>
      </c>
      <c r="FS50" s="171">
        <f t="shared" ref="FS50:FS57" si="411">G50+U50+AI50+AW50+BK50+BY50+CM50+DA50+DO50+EC50+EQ50+FE50+(M50+AA50+AO50+BC50+BQ50+CE50+CS50+DG50+DU50+EI50+EW50+FK50)</f>
        <v>0</v>
      </c>
      <c r="FT50" s="171">
        <f>FN50+FP50+FR50</f>
        <v>11.39</v>
      </c>
      <c r="FU50" s="171">
        <f>FO50+FQ50+FS50</f>
        <v>20.501999999999999</v>
      </c>
      <c r="FW50" s="135" t="s">
        <v>17</v>
      </c>
      <c r="FX50" s="44">
        <f>IF(FN50&lt;=0,0,FO50*10^5/FN50)</f>
        <v>180000</v>
      </c>
      <c r="FY50" s="44">
        <f>IF(FP50&lt;=0,0,FQ50*10^5/FP50)</f>
        <v>0</v>
      </c>
      <c r="FZ50" s="44">
        <f>IF(FR50&lt;=0,0,FS50*10^5/FR50)</f>
        <v>0</v>
      </c>
      <c r="GA50" s="44">
        <f>IF(FT50&lt;=0,0,FU50*10^5/FT50)</f>
        <v>180000</v>
      </c>
    </row>
    <row r="51" spans="1:183">
      <c r="A51" s="146" t="s">
        <v>11</v>
      </c>
      <c r="B51" s="171">
        <v>1464.73</v>
      </c>
      <c r="C51" s="171">
        <v>1411.0168965</v>
      </c>
      <c r="D51" s="171">
        <v>0</v>
      </c>
      <c r="E51" s="171">
        <v>0</v>
      </c>
      <c r="F51" s="171">
        <v>5.0999999999999996</v>
      </c>
      <c r="G51" s="171">
        <v>5.0818443000000002</v>
      </c>
      <c r="H51" s="171">
        <v>0</v>
      </c>
      <c r="I51" s="171">
        <v>0</v>
      </c>
      <c r="J51" s="171">
        <v>0</v>
      </c>
      <c r="K51" s="171">
        <v>0</v>
      </c>
      <c r="L51" s="171">
        <v>0</v>
      </c>
      <c r="M51" s="171">
        <v>0</v>
      </c>
      <c r="N51" s="171">
        <v>1469.83</v>
      </c>
      <c r="O51" s="171">
        <v>1416.0987408000001</v>
      </c>
      <c r="P51" s="171">
        <v>2133.6</v>
      </c>
      <c r="Q51" s="171">
        <v>2420.6861963999991</v>
      </c>
      <c r="R51" s="171">
        <v>0</v>
      </c>
      <c r="S51" s="171">
        <v>0</v>
      </c>
      <c r="T51" s="171">
        <v>763.22</v>
      </c>
      <c r="U51" s="171">
        <v>871.61046689999978</v>
      </c>
      <c r="V51" s="171">
        <v>0</v>
      </c>
      <c r="W51" s="171">
        <v>0</v>
      </c>
      <c r="X51" s="171">
        <v>0</v>
      </c>
      <c r="Y51" s="171">
        <v>0</v>
      </c>
      <c r="Z51" s="171">
        <v>0</v>
      </c>
      <c r="AA51" s="171">
        <v>0</v>
      </c>
      <c r="AB51" s="171">
        <v>2896.8199999999997</v>
      </c>
      <c r="AC51" s="171">
        <v>3292.2966632999987</v>
      </c>
      <c r="AD51" s="171">
        <v>2242.5700000000002</v>
      </c>
      <c r="AE51" s="171">
        <v>2924.6842441000003</v>
      </c>
      <c r="AF51" s="171">
        <v>0</v>
      </c>
      <c r="AG51" s="171">
        <v>0</v>
      </c>
      <c r="AH51" s="171">
        <v>206.8</v>
      </c>
      <c r="AI51" s="171">
        <v>276.07724599999995</v>
      </c>
      <c r="AJ51" s="171">
        <v>0</v>
      </c>
      <c r="AK51" s="171">
        <v>0</v>
      </c>
      <c r="AL51" s="171">
        <v>0</v>
      </c>
      <c r="AM51" s="171">
        <v>0</v>
      </c>
      <c r="AN51" s="171">
        <v>0</v>
      </c>
      <c r="AO51" s="171">
        <v>0</v>
      </c>
      <c r="AP51" s="171">
        <v>2449.3700000000003</v>
      </c>
      <c r="AQ51" s="171">
        <v>3200.7614901000002</v>
      </c>
      <c r="AR51" s="147">
        <v>2960.1500000000005</v>
      </c>
      <c r="AS51" s="147">
        <v>3922.4823192000008</v>
      </c>
      <c r="AT51" s="147">
        <v>0</v>
      </c>
      <c r="AU51" s="147">
        <v>0</v>
      </c>
      <c r="AV51" s="147">
        <v>18.96</v>
      </c>
      <c r="AW51" s="147">
        <v>24.887026800000001</v>
      </c>
      <c r="AX51" s="147">
        <v>0</v>
      </c>
      <c r="AY51" s="147">
        <v>0</v>
      </c>
      <c r="AZ51" s="147">
        <v>0</v>
      </c>
      <c r="BA51" s="147">
        <v>0</v>
      </c>
      <c r="BB51" s="147">
        <v>0</v>
      </c>
      <c r="BC51" s="147">
        <v>0</v>
      </c>
      <c r="BD51" s="147">
        <v>2979.1100000000006</v>
      </c>
      <c r="BE51" s="147">
        <v>3947.3693460000009</v>
      </c>
      <c r="BF51" s="147">
        <v>2772.2500000000005</v>
      </c>
      <c r="BG51" s="147">
        <v>3591.1714153000007</v>
      </c>
      <c r="BH51" s="147">
        <v>0</v>
      </c>
      <c r="BI51" s="147">
        <v>0</v>
      </c>
      <c r="BJ51" s="147">
        <v>639.82999999999993</v>
      </c>
      <c r="BK51" s="147">
        <v>766.73032169999988</v>
      </c>
      <c r="BL51" s="147">
        <v>0</v>
      </c>
      <c r="BM51" s="147">
        <v>0</v>
      </c>
      <c r="BN51" s="147">
        <v>0</v>
      </c>
      <c r="BO51" s="147">
        <v>0</v>
      </c>
      <c r="BP51" s="147">
        <v>0</v>
      </c>
      <c r="BQ51" s="147">
        <v>0</v>
      </c>
      <c r="BR51" s="147">
        <v>3412.0800000000004</v>
      </c>
      <c r="BS51" s="147">
        <v>4357.9017370000001</v>
      </c>
      <c r="BT51" s="171">
        <v>2699.4499999999994</v>
      </c>
      <c r="BU51" s="171">
        <v>3631.5733145000004</v>
      </c>
      <c r="BV51" s="171">
        <v>0</v>
      </c>
      <c r="BW51" s="171">
        <v>0</v>
      </c>
      <c r="BX51" s="171">
        <v>531.06999999999994</v>
      </c>
      <c r="BY51" s="171">
        <v>649.37836519999996</v>
      </c>
      <c r="BZ51" s="171">
        <v>0</v>
      </c>
      <c r="CA51" s="171">
        <v>0</v>
      </c>
      <c r="CB51" s="171">
        <v>0</v>
      </c>
      <c r="CC51" s="171">
        <v>0</v>
      </c>
      <c r="CD51" s="171">
        <v>0</v>
      </c>
      <c r="CE51" s="171">
        <v>0</v>
      </c>
      <c r="CF51" s="171">
        <v>3230.5199999999995</v>
      </c>
      <c r="CG51" s="171">
        <v>4280.9516797000006</v>
      </c>
      <c r="CH51" s="171">
        <v>2692.6100000000006</v>
      </c>
      <c r="CI51" s="171">
        <v>3925.3950152999996</v>
      </c>
      <c r="CJ51" s="171">
        <v>0</v>
      </c>
      <c r="CK51" s="171">
        <v>0</v>
      </c>
      <c r="CL51" s="171">
        <v>611.66999999999985</v>
      </c>
      <c r="CM51" s="171">
        <v>754.94735809999997</v>
      </c>
      <c r="CN51" s="171">
        <v>0</v>
      </c>
      <c r="CO51" s="171">
        <v>0</v>
      </c>
      <c r="CP51" s="171">
        <v>0</v>
      </c>
      <c r="CQ51" s="171">
        <v>0</v>
      </c>
      <c r="CR51" s="171">
        <v>0</v>
      </c>
      <c r="CS51" s="171">
        <v>0</v>
      </c>
      <c r="CT51" s="171">
        <v>3304.2800000000007</v>
      </c>
      <c r="CU51" s="171">
        <v>4680.3423733999998</v>
      </c>
      <c r="CV51" s="171">
        <v>1956.2900000000004</v>
      </c>
      <c r="CW51" s="171">
        <v>2897.9849834000001</v>
      </c>
      <c r="CX51" s="171">
        <v>0</v>
      </c>
      <c r="CY51" s="171">
        <v>0</v>
      </c>
      <c r="CZ51" s="171">
        <v>431.12000000000006</v>
      </c>
      <c r="DA51" s="171">
        <v>624.51586740000005</v>
      </c>
      <c r="DB51" s="171">
        <v>0</v>
      </c>
      <c r="DC51" s="171">
        <v>0</v>
      </c>
      <c r="DD51" s="171">
        <v>0</v>
      </c>
      <c r="DE51" s="171">
        <v>0</v>
      </c>
      <c r="DF51" s="171">
        <v>0</v>
      </c>
      <c r="DG51" s="171">
        <v>0</v>
      </c>
      <c r="DH51" s="171">
        <f t="shared" si="404"/>
        <v>2387.4100000000003</v>
      </c>
      <c r="DI51" s="171">
        <f t="shared" si="404"/>
        <v>3522.5008508000001</v>
      </c>
      <c r="DJ51" s="171">
        <v>1676.6500000000005</v>
      </c>
      <c r="DK51" s="171">
        <v>2636.2364397999995</v>
      </c>
      <c r="DL51" s="171">
        <v>0</v>
      </c>
      <c r="DM51" s="171">
        <v>0</v>
      </c>
      <c r="DN51" s="171">
        <v>1145.19</v>
      </c>
      <c r="DO51" s="171">
        <v>1545.8699928000001</v>
      </c>
      <c r="DP51" s="171">
        <v>0</v>
      </c>
      <c r="DQ51" s="171">
        <v>0</v>
      </c>
      <c r="DR51" s="171">
        <v>0</v>
      </c>
      <c r="DS51" s="171">
        <v>0</v>
      </c>
      <c r="DT51" s="171">
        <v>0</v>
      </c>
      <c r="DU51" s="171">
        <v>0</v>
      </c>
      <c r="DV51" s="171">
        <f t="shared" si="405"/>
        <v>2821.8400000000006</v>
      </c>
      <c r="DW51" s="171">
        <f t="shared" si="406"/>
        <v>4182.1064325999996</v>
      </c>
      <c r="DX51" s="171">
        <v>0</v>
      </c>
      <c r="DY51" s="171">
        <v>0</v>
      </c>
      <c r="DZ51" s="171">
        <v>0</v>
      </c>
      <c r="EA51" s="171">
        <v>0</v>
      </c>
      <c r="EB51" s="171">
        <v>0</v>
      </c>
      <c r="EC51" s="171">
        <v>0</v>
      </c>
      <c r="ED51" s="171"/>
      <c r="EE51" s="171"/>
      <c r="EF51" s="171"/>
      <c r="EG51" s="171"/>
      <c r="EH51" s="171"/>
      <c r="EI51" s="171"/>
      <c r="EJ51" s="171">
        <v>0</v>
      </c>
      <c r="EK51" s="171">
        <v>0</v>
      </c>
      <c r="EL51" s="171">
        <v>0</v>
      </c>
      <c r="EM51" s="171">
        <v>0</v>
      </c>
      <c r="EN51" s="171">
        <v>0</v>
      </c>
      <c r="EO51" s="171">
        <v>0</v>
      </c>
      <c r="EP51" s="171">
        <v>0</v>
      </c>
      <c r="EQ51" s="171">
        <v>0</v>
      </c>
      <c r="ER51" s="171"/>
      <c r="ES51" s="171"/>
      <c r="ET51" s="171"/>
      <c r="EU51" s="171"/>
      <c r="EV51" s="171"/>
      <c r="EW51" s="171"/>
      <c r="EX51" s="171">
        <v>0</v>
      </c>
      <c r="EY51" s="171">
        <v>0</v>
      </c>
      <c r="EZ51" s="171">
        <v>0</v>
      </c>
      <c r="FA51" s="171">
        <v>0</v>
      </c>
      <c r="FB51" s="171">
        <v>0</v>
      </c>
      <c r="FC51" s="171">
        <v>0</v>
      </c>
      <c r="FD51" s="171">
        <v>0</v>
      </c>
      <c r="FE51" s="171">
        <v>0</v>
      </c>
      <c r="FF51" s="171"/>
      <c r="FG51" s="171"/>
      <c r="FH51" s="171"/>
      <c r="FI51" s="171"/>
      <c r="FJ51" s="171"/>
      <c r="FK51" s="171"/>
      <c r="FL51" s="171">
        <v>0</v>
      </c>
      <c r="FM51" s="171">
        <v>0</v>
      </c>
      <c r="FN51" s="171">
        <f t="shared" ref="FN51:FN57" si="412">B51+P51+AD51+AR51+BF51+BT51+CH51+CV51+DJ51+DX51+EL51+EZ51+(H51+V51+AJ51+AX51+BL51+BZ51+CN51+DB51+DP51+ED51+ER51+FF51)</f>
        <v>20598.300000000003</v>
      </c>
      <c r="FO51" s="171">
        <f t="shared" si="407"/>
        <v>27361.230824500002</v>
      </c>
      <c r="FP51" s="171">
        <f t="shared" si="408"/>
        <v>0</v>
      </c>
      <c r="FQ51" s="171">
        <f t="shared" si="409"/>
        <v>0</v>
      </c>
      <c r="FR51" s="171">
        <f t="shared" si="410"/>
        <v>4352.9599999999991</v>
      </c>
      <c r="FS51" s="171">
        <f t="shared" si="411"/>
        <v>5519.0984891999997</v>
      </c>
      <c r="FT51" s="171">
        <f t="shared" ref="FT51:FT58" si="413">FN51+FP51+FR51</f>
        <v>24951.260000000002</v>
      </c>
      <c r="FU51" s="171">
        <f t="shared" ref="FU51:FU58" si="414">FO51+FQ51+FS51</f>
        <v>32880.3293137</v>
      </c>
      <c r="FW51" s="135" t="s">
        <v>11</v>
      </c>
      <c r="FX51" s="44">
        <f t="shared" ref="FX51:FX59" si="415">IF(FN51&lt;=0,0,FO51*10^5/FN51)</f>
        <v>132832.4707597229</v>
      </c>
      <c r="FY51" s="44">
        <f t="shared" ref="FY51:FY59" si="416">IF(FP51&lt;=0,0,FQ51*10^5/FP51)</f>
        <v>0</v>
      </c>
      <c r="FZ51" s="44">
        <f t="shared" ref="FZ51:FZ59" si="417">IF(FR51&lt;=0,0,FS51*10^5/FR51)</f>
        <v>126789.55214842316</v>
      </c>
      <c r="GA51" s="44">
        <f t="shared" ref="GA51:GA59" si="418">IF(FT51&lt;=0,0,FU51*10^5/FT51)</f>
        <v>131778.23209609452</v>
      </c>
    </row>
    <row r="52" spans="1:183">
      <c r="A52" s="146" t="s">
        <v>12</v>
      </c>
      <c r="B52" s="171">
        <v>10.26</v>
      </c>
      <c r="C52" s="171">
        <v>15.82605</v>
      </c>
      <c r="D52" s="171">
        <v>0</v>
      </c>
      <c r="E52" s="171">
        <v>0</v>
      </c>
      <c r="F52" s="171">
        <v>0</v>
      </c>
      <c r="G52" s="171">
        <v>0</v>
      </c>
      <c r="H52" s="171">
        <v>0</v>
      </c>
      <c r="I52" s="171">
        <v>0</v>
      </c>
      <c r="J52" s="171">
        <v>0</v>
      </c>
      <c r="K52" s="171">
        <v>0</v>
      </c>
      <c r="L52" s="171">
        <v>0</v>
      </c>
      <c r="M52" s="171">
        <v>0</v>
      </c>
      <c r="N52" s="171">
        <v>10.26</v>
      </c>
      <c r="O52" s="171">
        <v>15.82605</v>
      </c>
      <c r="P52" s="171">
        <v>0</v>
      </c>
      <c r="Q52" s="171">
        <v>0</v>
      </c>
      <c r="R52" s="171">
        <v>0</v>
      </c>
      <c r="S52" s="171">
        <v>0</v>
      </c>
      <c r="T52" s="171">
        <v>0</v>
      </c>
      <c r="U52" s="171">
        <v>0</v>
      </c>
      <c r="V52" s="171">
        <v>0</v>
      </c>
      <c r="W52" s="171">
        <v>0</v>
      </c>
      <c r="X52" s="171">
        <v>0</v>
      </c>
      <c r="Y52" s="171">
        <v>0</v>
      </c>
      <c r="Z52" s="171">
        <v>0</v>
      </c>
      <c r="AA52" s="171">
        <v>0</v>
      </c>
      <c r="AB52" s="171">
        <v>0</v>
      </c>
      <c r="AC52" s="171">
        <v>0</v>
      </c>
      <c r="AD52" s="171">
        <v>0</v>
      </c>
      <c r="AE52" s="171">
        <v>0</v>
      </c>
      <c r="AF52" s="171">
        <v>0</v>
      </c>
      <c r="AG52" s="171">
        <v>0</v>
      </c>
      <c r="AH52" s="171">
        <v>0</v>
      </c>
      <c r="AI52" s="171">
        <v>0</v>
      </c>
      <c r="AJ52" s="171">
        <v>0</v>
      </c>
      <c r="AK52" s="171">
        <v>0</v>
      </c>
      <c r="AL52" s="171">
        <v>0</v>
      </c>
      <c r="AM52" s="171">
        <v>0</v>
      </c>
      <c r="AN52" s="171">
        <v>0</v>
      </c>
      <c r="AO52" s="171">
        <v>0</v>
      </c>
      <c r="AP52" s="171">
        <v>0</v>
      </c>
      <c r="AQ52" s="171">
        <v>0</v>
      </c>
      <c r="AR52" s="147">
        <v>25.810000000000002</v>
      </c>
      <c r="AS52" s="147">
        <v>36.824095</v>
      </c>
      <c r="AT52" s="147">
        <v>0</v>
      </c>
      <c r="AU52" s="147">
        <v>0</v>
      </c>
      <c r="AV52" s="147">
        <v>0</v>
      </c>
      <c r="AW52" s="147">
        <v>0</v>
      </c>
      <c r="AX52" s="147">
        <v>0</v>
      </c>
      <c r="AY52" s="147">
        <v>0</v>
      </c>
      <c r="AZ52" s="147">
        <v>0</v>
      </c>
      <c r="BA52" s="147">
        <v>0</v>
      </c>
      <c r="BB52" s="147">
        <v>0</v>
      </c>
      <c r="BC52" s="147">
        <v>0</v>
      </c>
      <c r="BD52" s="147">
        <v>25.810000000000002</v>
      </c>
      <c r="BE52" s="147">
        <v>36.824095</v>
      </c>
      <c r="BF52" s="147">
        <v>0</v>
      </c>
      <c r="BG52" s="147">
        <v>0</v>
      </c>
      <c r="BH52" s="147">
        <v>0</v>
      </c>
      <c r="BI52" s="147">
        <v>0</v>
      </c>
      <c r="BJ52" s="147">
        <v>0</v>
      </c>
      <c r="BK52" s="147">
        <v>0</v>
      </c>
      <c r="BL52" s="147">
        <v>0</v>
      </c>
      <c r="BM52" s="147">
        <v>0</v>
      </c>
      <c r="BN52" s="147">
        <v>0</v>
      </c>
      <c r="BO52" s="147">
        <v>0</v>
      </c>
      <c r="BP52" s="147">
        <v>0</v>
      </c>
      <c r="BQ52" s="147">
        <v>0</v>
      </c>
      <c r="BR52" s="147">
        <v>0</v>
      </c>
      <c r="BS52" s="147">
        <v>0</v>
      </c>
      <c r="BT52" s="171">
        <v>0</v>
      </c>
      <c r="BU52" s="171">
        <v>0</v>
      </c>
      <c r="BV52" s="171">
        <v>0</v>
      </c>
      <c r="BW52" s="171">
        <v>0</v>
      </c>
      <c r="BX52" s="171">
        <v>18.809999999999999</v>
      </c>
      <c r="BY52" s="171">
        <v>22.591498099999999</v>
      </c>
      <c r="BZ52" s="171">
        <v>0</v>
      </c>
      <c r="CA52" s="171">
        <v>0</v>
      </c>
      <c r="CB52" s="171">
        <v>0</v>
      </c>
      <c r="CC52" s="171">
        <v>0</v>
      </c>
      <c r="CD52" s="171">
        <v>0</v>
      </c>
      <c r="CE52" s="171">
        <v>0</v>
      </c>
      <c r="CF52" s="171">
        <v>18.809999999999999</v>
      </c>
      <c r="CG52" s="171">
        <v>22.591498099999999</v>
      </c>
      <c r="CH52" s="171">
        <v>0</v>
      </c>
      <c r="CI52" s="171">
        <v>0</v>
      </c>
      <c r="CJ52" s="171">
        <v>0</v>
      </c>
      <c r="CK52" s="171">
        <v>0</v>
      </c>
      <c r="CL52" s="171">
        <v>0</v>
      </c>
      <c r="CM52" s="171">
        <v>0</v>
      </c>
      <c r="CN52" s="171">
        <v>0</v>
      </c>
      <c r="CO52" s="171">
        <v>0</v>
      </c>
      <c r="CP52" s="171">
        <v>0</v>
      </c>
      <c r="CQ52" s="171">
        <v>0</v>
      </c>
      <c r="CR52" s="171">
        <v>0</v>
      </c>
      <c r="CS52" s="171">
        <v>0</v>
      </c>
      <c r="CT52" s="171">
        <v>0</v>
      </c>
      <c r="CU52" s="171">
        <v>0</v>
      </c>
      <c r="CV52" s="171">
        <v>0</v>
      </c>
      <c r="CW52" s="171">
        <v>0</v>
      </c>
      <c r="CX52" s="171">
        <v>0</v>
      </c>
      <c r="CY52" s="171">
        <v>0</v>
      </c>
      <c r="CZ52" s="171">
        <v>0</v>
      </c>
      <c r="DA52" s="171">
        <v>0</v>
      </c>
      <c r="DB52" s="171">
        <v>0</v>
      </c>
      <c r="DC52" s="171">
        <v>0</v>
      </c>
      <c r="DD52" s="171">
        <v>0</v>
      </c>
      <c r="DE52" s="171">
        <v>0</v>
      </c>
      <c r="DF52" s="171">
        <v>0</v>
      </c>
      <c r="DG52" s="171">
        <v>0</v>
      </c>
      <c r="DH52" s="171">
        <f t="shared" si="404"/>
        <v>0</v>
      </c>
      <c r="DI52" s="171">
        <f t="shared" si="404"/>
        <v>0</v>
      </c>
      <c r="DJ52" s="171">
        <v>15.9</v>
      </c>
      <c r="DK52" s="171">
        <v>28.62</v>
      </c>
      <c r="DL52" s="171">
        <v>0</v>
      </c>
      <c r="DM52" s="171">
        <v>0</v>
      </c>
      <c r="DN52" s="171">
        <v>0</v>
      </c>
      <c r="DO52" s="171">
        <v>0</v>
      </c>
      <c r="DP52" s="171">
        <v>0</v>
      </c>
      <c r="DQ52" s="171">
        <v>0</v>
      </c>
      <c r="DR52" s="171">
        <v>0</v>
      </c>
      <c r="DS52" s="171">
        <v>0</v>
      </c>
      <c r="DT52" s="171">
        <v>0</v>
      </c>
      <c r="DU52" s="171">
        <v>0</v>
      </c>
      <c r="DV52" s="171">
        <f t="shared" si="405"/>
        <v>15.9</v>
      </c>
      <c r="DW52" s="171">
        <f t="shared" si="406"/>
        <v>28.62</v>
      </c>
      <c r="DX52" s="171">
        <v>0</v>
      </c>
      <c r="DY52" s="171">
        <v>0</v>
      </c>
      <c r="DZ52" s="171">
        <v>0</v>
      </c>
      <c r="EA52" s="171">
        <v>0</v>
      </c>
      <c r="EB52" s="171">
        <v>0</v>
      </c>
      <c r="EC52" s="171">
        <v>0</v>
      </c>
      <c r="ED52" s="171"/>
      <c r="EE52" s="171"/>
      <c r="EF52" s="171"/>
      <c r="EG52" s="171"/>
      <c r="EH52" s="171"/>
      <c r="EI52" s="171"/>
      <c r="EJ52" s="171">
        <v>0</v>
      </c>
      <c r="EK52" s="171">
        <v>0</v>
      </c>
      <c r="EL52" s="171">
        <v>0</v>
      </c>
      <c r="EM52" s="171">
        <v>0</v>
      </c>
      <c r="EN52" s="171">
        <v>0</v>
      </c>
      <c r="EO52" s="171">
        <v>0</v>
      </c>
      <c r="EP52" s="171">
        <v>0</v>
      </c>
      <c r="EQ52" s="171">
        <v>0</v>
      </c>
      <c r="ER52" s="171"/>
      <c r="ES52" s="171"/>
      <c r="ET52" s="171"/>
      <c r="EU52" s="171"/>
      <c r="EV52" s="171"/>
      <c r="EW52" s="171"/>
      <c r="EX52" s="171">
        <v>0</v>
      </c>
      <c r="EY52" s="171">
        <v>0</v>
      </c>
      <c r="EZ52" s="171">
        <v>0</v>
      </c>
      <c r="FA52" s="171">
        <v>0</v>
      </c>
      <c r="FB52" s="171">
        <v>0</v>
      </c>
      <c r="FC52" s="171">
        <v>0</v>
      </c>
      <c r="FD52" s="171">
        <v>0</v>
      </c>
      <c r="FE52" s="171">
        <v>0</v>
      </c>
      <c r="FF52" s="171"/>
      <c r="FG52" s="171"/>
      <c r="FH52" s="171"/>
      <c r="FI52" s="171"/>
      <c r="FJ52" s="171"/>
      <c r="FK52" s="171"/>
      <c r="FL52" s="171">
        <v>0</v>
      </c>
      <c r="FM52" s="171">
        <v>0</v>
      </c>
      <c r="FN52" s="171">
        <f t="shared" si="412"/>
        <v>51.97</v>
      </c>
      <c r="FO52" s="171">
        <f t="shared" si="407"/>
        <v>81.270144999999999</v>
      </c>
      <c r="FP52" s="171">
        <f t="shared" si="408"/>
        <v>0</v>
      </c>
      <c r="FQ52" s="171">
        <f t="shared" si="409"/>
        <v>0</v>
      </c>
      <c r="FR52" s="171">
        <f t="shared" si="410"/>
        <v>18.809999999999999</v>
      </c>
      <c r="FS52" s="171">
        <f t="shared" si="411"/>
        <v>22.591498099999999</v>
      </c>
      <c r="FT52" s="171">
        <f t="shared" si="413"/>
        <v>70.78</v>
      </c>
      <c r="FU52" s="171">
        <f t="shared" si="414"/>
        <v>103.86164309999999</v>
      </c>
      <c r="FW52" s="135" t="s">
        <v>12</v>
      </c>
      <c r="FX52" s="44">
        <f t="shared" si="415"/>
        <v>156378.95901481624</v>
      </c>
      <c r="FY52" s="44">
        <f t="shared" si="416"/>
        <v>0</v>
      </c>
      <c r="FZ52" s="44">
        <f t="shared" si="417"/>
        <v>120103.65816055291</v>
      </c>
      <c r="GA52" s="44">
        <f t="shared" si="418"/>
        <v>146738.68762362248</v>
      </c>
    </row>
    <row r="53" spans="1:183">
      <c r="A53" s="146" t="s">
        <v>13</v>
      </c>
      <c r="B53" s="171">
        <v>39.29</v>
      </c>
      <c r="C53" s="171">
        <v>44.020515999999994</v>
      </c>
      <c r="D53" s="171">
        <v>0</v>
      </c>
      <c r="E53" s="171">
        <v>0</v>
      </c>
      <c r="F53" s="171">
        <v>0</v>
      </c>
      <c r="G53" s="171">
        <v>0</v>
      </c>
      <c r="H53" s="171">
        <v>0</v>
      </c>
      <c r="I53" s="171">
        <v>0</v>
      </c>
      <c r="J53" s="171">
        <v>0</v>
      </c>
      <c r="K53" s="171">
        <v>0</v>
      </c>
      <c r="L53" s="171">
        <v>0</v>
      </c>
      <c r="M53" s="171">
        <v>0</v>
      </c>
      <c r="N53" s="171">
        <v>39.29</v>
      </c>
      <c r="O53" s="171">
        <v>44.020515999999994</v>
      </c>
      <c r="P53" s="171">
        <v>0</v>
      </c>
      <c r="Q53" s="171">
        <v>0</v>
      </c>
      <c r="R53" s="171">
        <v>0</v>
      </c>
      <c r="S53" s="171">
        <v>0</v>
      </c>
      <c r="T53" s="171">
        <v>0</v>
      </c>
      <c r="U53" s="171">
        <v>0</v>
      </c>
      <c r="V53" s="171">
        <v>0</v>
      </c>
      <c r="W53" s="171">
        <v>0</v>
      </c>
      <c r="X53" s="171">
        <v>0</v>
      </c>
      <c r="Y53" s="171">
        <v>0</v>
      </c>
      <c r="Z53" s="171">
        <v>0</v>
      </c>
      <c r="AA53" s="171">
        <v>0</v>
      </c>
      <c r="AB53" s="171">
        <v>0</v>
      </c>
      <c r="AC53" s="171">
        <v>0</v>
      </c>
      <c r="AD53" s="171">
        <v>40.040000000000006</v>
      </c>
      <c r="AE53" s="171">
        <v>62.362299999999998</v>
      </c>
      <c r="AF53" s="171">
        <v>0</v>
      </c>
      <c r="AG53" s="171">
        <v>0</v>
      </c>
      <c r="AH53" s="171">
        <v>0</v>
      </c>
      <c r="AI53" s="171">
        <v>0</v>
      </c>
      <c r="AJ53" s="171">
        <v>0</v>
      </c>
      <c r="AK53" s="171">
        <v>0</v>
      </c>
      <c r="AL53" s="171">
        <v>0</v>
      </c>
      <c r="AM53" s="171">
        <v>0</v>
      </c>
      <c r="AN53" s="171">
        <v>0</v>
      </c>
      <c r="AO53" s="171">
        <v>0</v>
      </c>
      <c r="AP53" s="171">
        <v>40.040000000000006</v>
      </c>
      <c r="AQ53" s="171">
        <v>62.362299999999998</v>
      </c>
      <c r="AR53" s="147">
        <v>40.93</v>
      </c>
      <c r="AS53" s="147">
        <v>63.748474999999999</v>
      </c>
      <c r="AT53" s="147">
        <v>0</v>
      </c>
      <c r="AU53" s="147">
        <v>0</v>
      </c>
      <c r="AV53" s="147">
        <v>0</v>
      </c>
      <c r="AW53" s="147">
        <v>0</v>
      </c>
      <c r="AX53" s="147">
        <v>0</v>
      </c>
      <c r="AY53" s="147">
        <v>0</v>
      </c>
      <c r="AZ53" s="147">
        <v>0</v>
      </c>
      <c r="BA53" s="147">
        <v>0</v>
      </c>
      <c r="BB53" s="147">
        <v>0</v>
      </c>
      <c r="BC53" s="147">
        <v>0</v>
      </c>
      <c r="BD53" s="147">
        <v>40.93</v>
      </c>
      <c r="BE53" s="147">
        <v>63.748474999999999</v>
      </c>
      <c r="BF53" s="147">
        <v>0</v>
      </c>
      <c r="BG53" s="147">
        <v>0</v>
      </c>
      <c r="BH53" s="147">
        <v>0</v>
      </c>
      <c r="BI53" s="147">
        <v>0</v>
      </c>
      <c r="BJ53" s="147">
        <v>0</v>
      </c>
      <c r="BK53" s="147">
        <v>0</v>
      </c>
      <c r="BL53" s="147">
        <v>0</v>
      </c>
      <c r="BM53" s="147">
        <v>0</v>
      </c>
      <c r="BN53" s="147">
        <v>0</v>
      </c>
      <c r="BO53" s="147">
        <v>0</v>
      </c>
      <c r="BP53" s="147">
        <v>0</v>
      </c>
      <c r="BQ53" s="147">
        <v>0</v>
      </c>
      <c r="BR53" s="147">
        <v>0</v>
      </c>
      <c r="BS53" s="147">
        <v>0</v>
      </c>
      <c r="BT53" s="171">
        <v>39.08</v>
      </c>
      <c r="BU53" s="171">
        <v>61.257899999999999</v>
      </c>
      <c r="BV53" s="171">
        <v>0</v>
      </c>
      <c r="BW53" s="171">
        <v>0</v>
      </c>
      <c r="BX53" s="171">
        <v>0</v>
      </c>
      <c r="BY53" s="171">
        <v>0</v>
      </c>
      <c r="BZ53" s="171">
        <v>0</v>
      </c>
      <c r="CA53" s="171">
        <v>0</v>
      </c>
      <c r="CB53" s="171">
        <v>0</v>
      </c>
      <c r="CC53" s="171">
        <v>0</v>
      </c>
      <c r="CD53" s="171">
        <v>0</v>
      </c>
      <c r="CE53" s="171">
        <v>0</v>
      </c>
      <c r="CF53" s="171">
        <v>39.08</v>
      </c>
      <c r="CG53" s="171">
        <v>61.257899999999999</v>
      </c>
      <c r="CH53" s="171">
        <v>38.83</v>
      </c>
      <c r="CI53" s="171">
        <v>60.866025</v>
      </c>
      <c r="CJ53" s="171">
        <v>0</v>
      </c>
      <c r="CK53" s="171">
        <v>0</v>
      </c>
      <c r="CL53" s="171">
        <v>0</v>
      </c>
      <c r="CM53" s="171">
        <v>0</v>
      </c>
      <c r="CN53" s="171">
        <v>0</v>
      </c>
      <c r="CO53" s="171">
        <v>0</v>
      </c>
      <c r="CP53" s="171">
        <v>0</v>
      </c>
      <c r="CQ53" s="171">
        <v>0</v>
      </c>
      <c r="CR53" s="171">
        <v>0</v>
      </c>
      <c r="CS53" s="171">
        <v>0</v>
      </c>
      <c r="CT53" s="171">
        <v>38.83</v>
      </c>
      <c r="CU53" s="171">
        <v>60.866025</v>
      </c>
      <c r="CV53" s="171">
        <v>39.26</v>
      </c>
      <c r="CW53" s="171">
        <v>63.44455</v>
      </c>
      <c r="CX53" s="171">
        <v>0</v>
      </c>
      <c r="CY53" s="171">
        <v>0</v>
      </c>
      <c r="CZ53" s="171">
        <v>0</v>
      </c>
      <c r="DA53" s="171">
        <v>0</v>
      </c>
      <c r="DB53" s="171">
        <v>0</v>
      </c>
      <c r="DC53" s="171">
        <v>0</v>
      </c>
      <c r="DD53" s="171">
        <v>0</v>
      </c>
      <c r="DE53" s="171">
        <v>0</v>
      </c>
      <c r="DF53" s="171">
        <v>0</v>
      </c>
      <c r="DG53" s="171">
        <v>0</v>
      </c>
      <c r="DH53" s="171">
        <f t="shared" si="404"/>
        <v>39.26</v>
      </c>
      <c r="DI53" s="171">
        <f t="shared" si="404"/>
        <v>63.44455</v>
      </c>
      <c r="DJ53" s="171">
        <v>60.53</v>
      </c>
      <c r="DK53" s="171">
        <v>100.374425</v>
      </c>
      <c r="DL53" s="171">
        <v>0</v>
      </c>
      <c r="DM53" s="171">
        <v>0</v>
      </c>
      <c r="DN53" s="171">
        <v>0</v>
      </c>
      <c r="DO53" s="171">
        <v>0</v>
      </c>
      <c r="DP53" s="171">
        <v>0</v>
      </c>
      <c r="DQ53" s="171">
        <v>0</v>
      </c>
      <c r="DR53" s="171">
        <v>0</v>
      </c>
      <c r="DS53" s="171">
        <v>0</v>
      </c>
      <c r="DT53" s="171">
        <v>0</v>
      </c>
      <c r="DU53" s="171">
        <v>0</v>
      </c>
      <c r="DV53" s="171">
        <f t="shared" si="405"/>
        <v>60.53</v>
      </c>
      <c r="DW53" s="171">
        <f t="shared" si="406"/>
        <v>100.374425</v>
      </c>
      <c r="DX53" s="171">
        <v>0</v>
      </c>
      <c r="DY53" s="171">
        <v>0</v>
      </c>
      <c r="DZ53" s="171">
        <v>0</v>
      </c>
      <c r="EA53" s="171">
        <v>0</v>
      </c>
      <c r="EB53" s="171">
        <v>0</v>
      </c>
      <c r="EC53" s="171">
        <v>0</v>
      </c>
      <c r="ED53" s="171"/>
      <c r="EE53" s="171"/>
      <c r="EF53" s="171"/>
      <c r="EG53" s="171"/>
      <c r="EH53" s="171"/>
      <c r="EI53" s="171"/>
      <c r="EJ53" s="171">
        <v>0</v>
      </c>
      <c r="EK53" s="171">
        <v>0</v>
      </c>
      <c r="EL53" s="171">
        <v>0</v>
      </c>
      <c r="EM53" s="171">
        <v>0</v>
      </c>
      <c r="EN53" s="171">
        <v>0</v>
      </c>
      <c r="EO53" s="171">
        <v>0</v>
      </c>
      <c r="EP53" s="171">
        <v>0</v>
      </c>
      <c r="EQ53" s="171">
        <v>0</v>
      </c>
      <c r="ER53" s="171"/>
      <c r="ES53" s="171"/>
      <c r="ET53" s="171"/>
      <c r="EU53" s="171"/>
      <c r="EV53" s="171"/>
      <c r="EW53" s="171"/>
      <c r="EX53" s="171">
        <v>0</v>
      </c>
      <c r="EY53" s="171">
        <v>0</v>
      </c>
      <c r="EZ53" s="171">
        <v>0</v>
      </c>
      <c r="FA53" s="171">
        <v>0</v>
      </c>
      <c r="FB53" s="171">
        <v>0</v>
      </c>
      <c r="FC53" s="171">
        <v>0</v>
      </c>
      <c r="FD53" s="171">
        <v>0</v>
      </c>
      <c r="FE53" s="171">
        <v>0</v>
      </c>
      <c r="FF53" s="171"/>
      <c r="FG53" s="171"/>
      <c r="FH53" s="171"/>
      <c r="FI53" s="171"/>
      <c r="FJ53" s="171"/>
      <c r="FK53" s="171"/>
      <c r="FL53" s="171">
        <v>0</v>
      </c>
      <c r="FM53" s="171">
        <v>0</v>
      </c>
      <c r="FN53" s="171">
        <f t="shared" si="412"/>
        <v>297.96000000000004</v>
      </c>
      <c r="FO53" s="171">
        <f t="shared" si="407"/>
        <v>456.07419099999993</v>
      </c>
      <c r="FP53" s="171">
        <f t="shared" si="408"/>
        <v>0</v>
      </c>
      <c r="FQ53" s="171">
        <f t="shared" si="409"/>
        <v>0</v>
      </c>
      <c r="FR53" s="171">
        <f t="shared" si="410"/>
        <v>0</v>
      </c>
      <c r="FS53" s="171">
        <f t="shared" si="411"/>
        <v>0</v>
      </c>
      <c r="FT53" s="171">
        <f t="shared" si="413"/>
        <v>297.96000000000004</v>
      </c>
      <c r="FU53" s="171">
        <f t="shared" si="414"/>
        <v>456.07419099999993</v>
      </c>
      <c r="FW53" s="135" t="s">
        <v>13</v>
      </c>
      <c r="FX53" s="44">
        <f t="shared" si="415"/>
        <v>153065.57625184584</v>
      </c>
      <c r="FY53" s="44">
        <f t="shared" si="416"/>
        <v>0</v>
      </c>
      <c r="FZ53" s="44">
        <f t="shared" si="417"/>
        <v>0</v>
      </c>
      <c r="GA53" s="44">
        <f t="shared" si="418"/>
        <v>153065.57625184584</v>
      </c>
    </row>
    <row r="54" spans="1:183">
      <c r="A54" s="146" t="s">
        <v>18</v>
      </c>
      <c r="B54" s="171">
        <v>31.024999999999999</v>
      </c>
      <c r="C54" s="171">
        <v>31.259699999999999</v>
      </c>
      <c r="D54" s="171">
        <v>0</v>
      </c>
      <c r="E54" s="171">
        <v>0</v>
      </c>
      <c r="F54" s="171">
        <v>466.44799999999998</v>
      </c>
      <c r="G54" s="171">
        <v>393.11974200000009</v>
      </c>
      <c r="H54" s="171">
        <v>0</v>
      </c>
      <c r="I54" s="171">
        <v>0</v>
      </c>
      <c r="J54" s="171">
        <v>0</v>
      </c>
      <c r="K54" s="171">
        <v>0</v>
      </c>
      <c r="L54" s="171">
        <v>0</v>
      </c>
      <c r="M54" s="171">
        <v>0</v>
      </c>
      <c r="N54" s="171">
        <v>497.47299999999996</v>
      </c>
      <c r="O54" s="171">
        <v>424.3794420000001</v>
      </c>
      <c r="P54" s="171">
        <v>109.91</v>
      </c>
      <c r="Q54" s="171">
        <v>103.12295</v>
      </c>
      <c r="R54" s="171">
        <v>0</v>
      </c>
      <c r="S54" s="171">
        <v>0</v>
      </c>
      <c r="T54" s="171">
        <v>282.74399999999997</v>
      </c>
      <c r="U54" s="171">
        <v>242.90434349999998</v>
      </c>
      <c r="V54" s="171">
        <v>0</v>
      </c>
      <c r="W54" s="171">
        <v>0</v>
      </c>
      <c r="X54" s="171">
        <v>0</v>
      </c>
      <c r="Y54" s="171">
        <v>0</v>
      </c>
      <c r="Z54" s="171">
        <v>0</v>
      </c>
      <c r="AA54" s="171">
        <v>0</v>
      </c>
      <c r="AB54" s="171">
        <v>392.654</v>
      </c>
      <c r="AC54" s="171">
        <v>346.02729349999998</v>
      </c>
      <c r="AD54" s="171">
        <v>77.924999999999983</v>
      </c>
      <c r="AE54" s="171">
        <v>78.116754999999998</v>
      </c>
      <c r="AF54" s="171">
        <v>0</v>
      </c>
      <c r="AG54" s="171">
        <v>0</v>
      </c>
      <c r="AH54" s="171">
        <v>278.108</v>
      </c>
      <c r="AI54" s="171">
        <v>258.11715490000012</v>
      </c>
      <c r="AJ54" s="171">
        <v>0</v>
      </c>
      <c r="AK54" s="171">
        <v>0</v>
      </c>
      <c r="AL54" s="171">
        <v>0</v>
      </c>
      <c r="AM54" s="171">
        <v>0</v>
      </c>
      <c r="AN54" s="171">
        <v>0</v>
      </c>
      <c r="AO54" s="171">
        <v>0</v>
      </c>
      <c r="AP54" s="171">
        <v>356.03300000000002</v>
      </c>
      <c r="AQ54" s="171">
        <v>336.23390990000013</v>
      </c>
      <c r="AR54" s="147">
        <v>51.674999999999997</v>
      </c>
      <c r="AS54" s="147">
        <v>51.792597499999999</v>
      </c>
      <c r="AT54" s="147">
        <v>0</v>
      </c>
      <c r="AU54" s="147">
        <v>0</v>
      </c>
      <c r="AV54" s="147">
        <v>254.24800000000002</v>
      </c>
      <c r="AW54" s="147">
        <v>234.57171209999998</v>
      </c>
      <c r="AX54" s="147">
        <v>0</v>
      </c>
      <c r="AY54" s="147">
        <v>0</v>
      </c>
      <c r="AZ54" s="147">
        <v>0</v>
      </c>
      <c r="BA54" s="147">
        <v>0</v>
      </c>
      <c r="BB54" s="147">
        <v>0</v>
      </c>
      <c r="BC54" s="147">
        <v>0</v>
      </c>
      <c r="BD54" s="147">
        <v>305.923</v>
      </c>
      <c r="BE54" s="147">
        <v>286.36430959999996</v>
      </c>
      <c r="BF54" s="147">
        <v>49.824999999999996</v>
      </c>
      <c r="BG54" s="147">
        <v>49.800575000000002</v>
      </c>
      <c r="BH54" s="147">
        <v>0</v>
      </c>
      <c r="BI54" s="147">
        <v>0</v>
      </c>
      <c r="BJ54" s="147">
        <v>192.36699999999999</v>
      </c>
      <c r="BK54" s="147">
        <v>166.18323700000002</v>
      </c>
      <c r="BL54" s="147">
        <v>0</v>
      </c>
      <c r="BM54" s="147">
        <v>0</v>
      </c>
      <c r="BN54" s="147">
        <v>0</v>
      </c>
      <c r="BO54" s="147">
        <v>0</v>
      </c>
      <c r="BP54" s="147">
        <v>0</v>
      </c>
      <c r="BQ54" s="147">
        <v>0</v>
      </c>
      <c r="BR54" s="147">
        <v>242.19199999999998</v>
      </c>
      <c r="BS54" s="147">
        <v>215.98381200000003</v>
      </c>
      <c r="BT54" s="171">
        <v>49.1</v>
      </c>
      <c r="BU54" s="171">
        <v>49.475250000000003</v>
      </c>
      <c r="BV54" s="171">
        <v>0</v>
      </c>
      <c r="BW54" s="171">
        <v>0</v>
      </c>
      <c r="BX54" s="171">
        <v>650.80300000000022</v>
      </c>
      <c r="BY54" s="171">
        <v>559.63989279999987</v>
      </c>
      <c r="BZ54" s="171">
        <v>0</v>
      </c>
      <c r="CA54" s="171">
        <v>0</v>
      </c>
      <c r="CB54" s="171">
        <v>0</v>
      </c>
      <c r="CC54" s="171">
        <v>0</v>
      </c>
      <c r="CD54" s="171">
        <v>0</v>
      </c>
      <c r="CE54" s="171">
        <v>0</v>
      </c>
      <c r="CF54" s="171">
        <v>699.90300000000025</v>
      </c>
      <c r="CG54" s="171">
        <v>609.11514279999983</v>
      </c>
      <c r="CH54" s="171">
        <v>53.186</v>
      </c>
      <c r="CI54" s="171">
        <v>52.210500000000003</v>
      </c>
      <c r="CJ54" s="171">
        <v>0</v>
      </c>
      <c r="CK54" s="171">
        <v>0</v>
      </c>
      <c r="CL54" s="171">
        <v>448.64900000000011</v>
      </c>
      <c r="CM54" s="171">
        <v>408.26342149999999</v>
      </c>
      <c r="CN54" s="171">
        <v>0</v>
      </c>
      <c r="CO54" s="171">
        <v>0</v>
      </c>
      <c r="CP54" s="171">
        <v>0</v>
      </c>
      <c r="CQ54" s="171">
        <v>0</v>
      </c>
      <c r="CR54" s="171">
        <v>0</v>
      </c>
      <c r="CS54" s="171">
        <v>0</v>
      </c>
      <c r="CT54" s="171">
        <v>501.83500000000009</v>
      </c>
      <c r="CU54" s="171">
        <v>460.47392150000002</v>
      </c>
      <c r="CV54" s="171">
        <v>25.4</v>
      </c>
      <c r="CW54" s="171">
        <v>25.06427</v>
      </c>
      <c r="CX54" s="171">
        <v>0</v>
      </c>
      <c r="CY54" s="171">
        <v>0</v>
      </c>
      <c r="CZ54" s="171">
        <v>413.63299999999998</v>
      </c>
      <c r="DA54" s="171">
        <v>238.36060429999989</v>
      </c>
      <c r="DB54" s="171">
        <v>0</v>
      </c>
      <c r="DC54" s="171">
        <v>0</v>
      </c>
      <c r="DD54" s="171">
        <v>0</v>
      </c>
      <c r="DE54" s="171">
        <v>0</v>
      </c>
      <c r="DF54" s="171">
        <v>0</v>
      </c>
      <c r="DG54" s="171">
        <v>0</v>
      </c>
      <c r="DH54" s="171">
        <f t="shared" si="404"/>
        <v>439.03299999999996</v>
      </c>
      <c r="DI54" s="171">
        <f t="shared" si="404"/>
        <v>263.42487429999989</v>
      </c>
      <c r="DJ54" s="171">
        <v>45.975000000000001</v>
      </c>
      <c r="DK54" s="171">
        <v>46.407705</v>
      </c>
      <c r="DL54" s="171">
        <v>0</v>
      </c>
      <c r="DM54" s="171">
        <v>0</v>
      </c>
      <c r="DN54" s="171">
        <v>477.69500000000005</v>
      </c>
      <c r="DO54" s="171">
        <v>437.60826089999995</v>
      </c>
      <c r="DP54" s="171">
        <v>0</v>
      </c>
      <c r="DQ54" s="171">
        <v>0</v>
      </c>
      <c r="DR54" s="171">
        <v>0</v>
      </c>
      <c r="DS54" s="171">
        <v>0</v>
      </c>
      <c r="DT54" s="171">
        <v>0</v>
      </c>
      <c r="DU54" s="171">
        <v>0</v>
      </c>
      <c r="DV54" s="171">
        <f t="shared" si="405"/>
        <v>523.67000000000007</v>
      </c>
      <c r="DW54" s="171">
        <f t="shared" si="406"/>
        <v>484.01596589999997</v>
      </c>
      <c r="DX54" s="171">
        <v>0</v>
      </c>
      <c r="DY54" s="171">
        <v>0</v>
      </c>
      <c r="DZ54" s="171">
        <v>0</v>
      </c>
      <c r="EA54" s="171">
        <v>0</v>
      </c>
      <c r="EB54" s="171">
        <v>0</v>
      </c>
      <c r="EC54" s="171">
        <v>0</v>
      </c>
      <c r="ED54" s="171"/>
      <c r="EE54" s="171"/>
      <c r="EF54" s="171"/>
      <c r="EG54" s="171"/>
      <c r="EH54" s="171"/>
      <c r="EI54" s="171"/>
      <c r="EJ54" s="171">
        <v>0</v>
      </c>
      <c r="EK54" s="171">
        <v>0</v>
      </c>
      <c r="EL54" s="171">
        <v>0</v>
      </c>
      <c r="EM54" s="171">
        <v>0</v>
      </c>
      <c r="EN54" s="171">
        <v>0</v>
      </c>
      <c r="EO54" s="171">
        <v>0</v>
      </c>
      <c r="EP54" s="171">
        <v>0</v>
      </c>
      <c r="EQ54" s="171">
        <v>0</v>
      </c>
      <c r="ER54" s="171"/>
      <c r="ES54" s="171"/>
      <c r="ET54" s="171"/>
      <c r="EU54" s="171"/>
      <c r="EV54" s="171"/>
      <c r="EW54" s="171"/>
      <c r="EX54" s="171">
        <v>0</v>
      </c>
      <c r="EY54" s="171">
        <v>0</v>
      </c>
      <c r="EZ54" s="171">
        <v>0</v>
      </c>
      <c r="FA54" s="171">
        <v>0</v>
      </c>
      <c r="FB54" s="171">
        <v>0</v>
      </c>
      <c r="FC54" s="171">
        <v>0</v>
      </c>
      <c r="FD54" s="171">
        <v>0</v>
      </c>
      <c r="FE54" s="171">
        <v>0</v>
      </c>
      <c r="FF54" s="171"/>
      <c r="FG54" s="171"/>
      <c r="FH54" s="171"/>
      <c r="FI54" s="171"/>
      <c r="FJ54" s="171"/>
      <c r="FK54" s="171"/>
      <c r="FL54" s="171">
        <v>0</v>
      </c>
      <c r="FM54" s="171">
        <v>0</v>
      </c>
      <c r="FN54" s="171">
        <f t="shared" si="412"/>
        <v>494.02099999999996</v>
      </c>
      <c r="FO54" s="171">
        <f t="shared" si="407"/>
        <v>487.25030250000009</v>
      </c>
      <c r="FP54" s="171">
        <f t="shared" si="408"/>
        <v>0</v>
      </c>
      <c r="FQ54" s="171">
        <f t="shared" si="409"/>
        <v>0</v>
      </c>
      <c r="FR54" s="171">
        <f t="shared" si="410"/>
        <v>3464.6950000000002</v>
      </c>
      <c r="FS54" s="171">
        <f t="shared" si="411"/>
        <v>2938.7683689999999</v>
      </c>
      <c r="FT54" s="171">
        <f t="shared" si="413"/>
        <v>3958.7160000000003</v>
      </c>
      <c r="FU54" s="171">
        <f t="shared" si="414"/>
        <v>3426.0186715</v>
      </c>
      <c r="FW54" s="135" t="s">
        <v>18</v>
      </c>
      <c r="FX54" s="44">
        <f t="shared" si="415"/>
        <v>98629.471722862014</v>
      </c>
      <c r="FY54" s="44">
        <f t="shared" si="416"/>
        <v>0</v>
      </c>
      <c r="FZ54" s="44">
        <f t="shared" si="417"/>
        <v>84820.4060963519</v>
      </c>
      <c r="GA54" s="44">
        <f t="shared" si="418"/>
        <v>86543.684151628942</v>
      </c>
    </row>
    <row r="55" spans="1:183">
      <c r="A55" s="146" t="s">
        <v>15</v>
      </c>
      <c r="B55" s="171">
        <v>233.625</v>
      </c>
      <c r="C55" s="171">
        <v>224.986525</v>
      </c>
      <c r="D55" s="171">
        <v>0</v>
      </c>
      <c r="E55" s="171">
        <v>0</v>
      </c>
      <c r="F55" s="171">
        <v>429.36999999999995</v>
      </c>
      <c r="G55" s="171">
        <v>362.65133729999997</v>
      </c>
      <c r="H55" s="171">
        <v>0</v>
      </c>
      <c r="I55" s="171">
        <v>0</v>
      </c>
      <c r="J55" s="171">
        <v>0</v>
      </c>
      <c r="K55" s="171">
        <v>0</v>
      </c>
      <c r="L55" s="171">
        <v>0</v>
      </c>
      <c r="M55" s="171">
        <v>0</v>
      </c>
      <c r="N55" s="171">
        <v>662.99499999999989</v>
      </c>
      <c r="O55" s="171">
        <v>587.63786229999994</v>
      </c>
      <c r="P55" s="171">
        <v>167.375</v>
      </c>
      <c r="Q55" s="171">
        <v>158.60484</v>
      </c>
      <c r="R55" s="171">
        <v>0</v>
      </c>
      <c r="S55" s="171">
        <v>0</v>
      </c>
      <c r="T55" s="171">
        <v>1342.76</v>
      </c>
      <c r="U55" s="171">
        <v>1138.0037508</v>
      </c>
      <c r="V55" s="171">
        <v>0</v>
      </c>
      <c r="W55" s="171">
        <v>0</v>
      </c>
      <c r="X55" s="171">
        <v>0</v>
      </c>
      <c r="Y55" s="171">
        <v>0</v>
      </c>
      <c r="Z55" s="171">
        <v>0</v>
      </c>
      <c r="AA55" s="171">
        <v>0</v>
      </c>
      <c r="AB55" s="171">
        <v>1510.135</v>
      </c>
      <c r="AC55" s="171">
        <v>1296.6085908</v>
      </c>
      <c r="AD55" s="171">
        <v>1380.33</v>
      </c>
      <c r="AE55" s="171">
        <v>1080.7974687999999</v>
      </c>
      <c r="AF55" s="171">
        <v>0</v>
      </c>
      <c r="AG55" s="171">
        <v>0</v>
      </c>
      <c r="AH55" s="171">
        <v>757.99199999999996</v>
      </c>
      <c r="AI55" s="171">
        <v>671.68403670000021</v>
      </c>
      <c r="AJ55" s="171">
        <v>0</v>
      </c>
      <c r="AK55" s="171">
        <v>0</v>
      </c>
      <c r="AL55" s="171">
        <v>0</v>
      </c>
      <c r="AM55" s="171">
        <v>0</v>
      </c>
      <c r="AN55" s="171">
        <v>0</v>
      </c>
      <c r="AO55" s="171">
        <v>0</v>
      </c>
      <c r="AP55" s="171">
        <v>2138.3220000000001</v>
      </c>
      <c r="AQ55" s="171">
        <v>1752.4815055000001</v>
      </c>
      <c r="AR55" s="147">
        <v>1116.43</v>
      </c>
      <c r="AS55" s="147">
        <v>888.21478969999998</v>
      </c>
      <c r="AT55" s="147">
        <v>0</v>
      </c>
      <c r="AU55" s="147">
        <v>0</v>
      </c>
      <c r="AV55" s="147">
        <v>1484.7980000000002</v>
      </c>
      <c r="AW55" s="147">
        <v>1326.3231797000001</v>
      </c>
      <c r="AX55" s="147">
        <v>0</v>
      </c>
      <c r="AY55" s="147">
        <v>0</v>
      </c>
      <c r="AZ55" s="147">
        <v>0</v>
      </c>
      <c r="BA55" s="147">
        <v>0</v>
      </c>
      <c r="BB55" s="147">
        <v>0</v>
      </c>
      <c r="BC55" s="147">
        <v>0</v>
      </c>
      <c r="BD55" s="147">
        <v>2601.2280000000001</v>
      </c>
      <c r="BE55" s="147">
        <v>2214.5379694000003</v>
      </c>
      <c r="BF55" s="147">
        <v>309.00000000000006</v>
      </c>
      <c r="BG55" s="147">
        <v>298.87219249999998</v>
      </c>
      <c r="BH55" s="147">
        <v>20</v>
      </c>
      <c r="BI55" s="147">
        <v>19.5</v>
      </c>
      <c r="BJ55" s="147">
        <v>849.54500000000007</v>
      </c>
      <c r="BK55" s="147">
        <v>732.21446419999984</v>
      </c>
      <c r="BL55" s="147">
        <v>0</v>
      </c>
      <c r="BM55" s="147">
        <v>0</v>
      </c>
      <c r="BN55" s="147">
        <v>0</v>
      </c>
      <c r="BO55" s="147">
        <v>0</v>
      </c>
      <c r="BP55" s="147">
        <v>0</v>
      </c>
      <c r="BQ55" s="147">
        <v>0</v>
      </c>
      <c r="BR55" s="147">
        <v>1178.5450000000001</v>
      </c>
      <c r="BS55" s="147">
        <v>1050.5866566999998</v>
      </c>
      <c r="BT55" s="171">
        <v>340.22500000000002</v>
      </c>
      <c r="BU55" s="171">
        <v>327.03742999999997</v>
      </c>
      <c r="BV55" s="171">
        <v>0</v>
      </c>
      <c r="BW55" s="171">
        <v>0</v>
      </c>
      <c r="BX55" s="171">
        <v>716.46499999999992</v>
      </c>
      <c r="BY55" s="171">
        <v>617.83690290000004</v>
      </c>
      <c r="BZ55" s="171">
        <v>0</v>
      </c>
      <c r="CA55" s="171">
        <v>0</v>
      </c>
      <c r="CB55" s="171">
        <v>0</v>
      </c>
      <c r="CC55" s="171">
        <v>0</v>
      </c>
      <c r="CD55" s="171">
        <v>0</v>
      </c>
      <c r="CE55" s="171">
        <v>0</v>
      </c>
      <c r="CF55" s="171">
        <v>1056.69</v>
      </c>
      <c r="CG55" s="171">
        <v>944.87433290000001</v>
      </c>
      <c r="CH55" s="171">
        <v>173.70000000000002</v>
      </c>
      <c r="CI55" s="171">
        <v>166.808595</v>
      </c>
      <c r="CJ55" s="171">
        <v>0</v>
      </c>
      <c r="CK55" s="171">
        <v>0</v>
      </c>
      <c r="CL55" s="171">
        <v>644.46999999999991</v>
      </c>
      <c r="CM55" s="171">
        <v>576.74195380000015</v>
      </c>
      <c r="CN55" s="171">
        <v>0</v>
      </c>
      <c r="CO55" s="171">
        <v>0</v>
      </c>
      <c r="CP55" s="171">
        <v>0</v>
      </c>
      <c r="CQ55" s="171">
        <v>0</v>
      </c>
      <c r="CR55" s="171">
        <v>0</v>
      </c>
      <c r="CS55" s="171">
        <v>0</v>
      </c>
      <c r="CT55" s="171">
        <v>818.17</v>
      </c>
      <c r="CU55" s="171">
        <v>743.55054880000012</v>
      </c>
      <c r="CV55" s="171">
        <v>406.82499999999999</v>
      </c>
      <c r="CW55" s="171">
        <v>381.86419000000001</v>
      </c>
      <c r="CX55" s="171">
        <v>10</v>
      </c>
      <c r="CY55" s="171">
        <v>9.75</v>
      </c>
      <c r="CZ55" s="171">
        <v>710.51400000000012</v>
      </c>
      <c r="DA55" s="171">
        <v>622.34512330000007</v>
      </c>
      <c r="DB55" s="171">
        <v>0</v>
      </c>
      <c r="DC55" s="171">
        <v>0</v>
      </c>
      <c r="DD55" s="171">
        <v>0</v>
      </c>
      <c r="DE55" s="171">
        <v>0</v>
      </c>
      <c r="DF55" s="171">
        <v>0</v>
      </c>
      <c r="DG55" s="171">
        <v>0</v>
      </c>
      <c r="DH55" s="171">
        <f t="shared" si="404"/>
        <v>1127.3390000000002</v>
      </c>
      <c r="DI55" s="171">
        <f t="shared" si="404"/>
        <v>1013.9593133000001</v>
      </c>
      <c r="DJ55" s="171">
        <v>423.22500000000002</v>
      </c>
      <c r="DK55" s="171">
        <v>404.67129749999998</v>
      </c>
      <c r="DL55" s="171">
        <v>16.7</v>
      </c>
      <c r="DM55" s="171">
        <v>16.282499999999999</v>
      </c>
      <c r="DN55" s="171">
        <v>810.20600000000002</v>
      </c>
      <c r="DO55" s="171">
        <v>742.0039792</v>
      </c>
      <c r="DP55" s="171">
        <v>0</v>
      </c>
      <c r="DQ55" s="171">
        <v>0</v>
      </c>
      <c r="DR55" s="171">
        <v>0</v>
      </c>
      <c r="DS55" s="171">
        <v>0</v>
      </c>
      <c r="DT55" s="171">
        <v>0</v>
      </c>
      <c r="DU55" s="171">
        <v>0</v>
      </c>
      <c r="DV55" s="171">
        <f t="shared" si="405"/>
        <v>1250.1310000000001</v>
      </c>
      <c r="DW55" s="171">
        <f t="shared" si="406"/>
        <v>1162.9577767000001</v>
      </c>
      <c r="DX55" s="171">
        <v>0</v>
      </c>
      <c r="DY55" s="171">
        <v>0</v>
      </c>
      <c r="DZ55" s="171">
        <v>0</v>
      </c>
      <c r="EA55" s="171">
        <v>0</v>
      </c>
      <c r="EB55" s="171">
        <v>0</v>
      </c>
      <c r="EC55" s="171">
        <v>0</v>
      </c>
      <c r="ED55" s="171"/>
      <c r="EE55" s="171"/>
      <c r="EF55" s="171"/>
      <c r="EG55" s="171"/>
      <c r="EH55" s="171"/>
      <c r="EI55" s="171"/>
      <c r="EJ55" s="171">
        <v>0</v>
      </c>
      <c r="EK55" s="171">
        <v>0</v>
      </c>
      <c r="EL55" s="171">
        <v>0</v>
      </c>
      <c r="EM55" s="171">
        <v>0</v>
      </c>
      <c r="EN55" s="171">
        <v>0</v>
      </c>
      <c r="EO55" s="171">
        <v>0</v>
      </c>
      <c r="EP55" s="171">
        <v>0</v>
      </c>
      <c r="EQ55" s="171">
        <v>0</v>
      </c>
      <c r="ER55" s="171"/>
      <c r="ES55" s="171"/>
      <c r="ET55" s="171"/>
      <c r="EU55" s="171"/>
      <c r="EV55" s="171"/>
      <c r="EW55" s="171"/>
      <c r="EX55" s="171">
        <v>0</v>
      </c>
      <c r="EY55" s="171">
        <v>0</v>
      </c>
      <c r="EZ55" s="171">
        <v>0</v>
      </c>
      <c r="FA55" s="171">
        <v>0</v>
      </c>
      <c r="FB55" s="171">
        <v>0</v>
      </c>
      <c r="FC55" s="171">
        <v>0</v>
      </c>
      <c r="FD55" s="171">
        <v>0</v>
      </c>
      <c r="FE55" s="171">
        <v>0</v>
      </c>
      <c r="FF55" s="171"/>
      <c r="FG55" s="171"/>
      <c r="FH55" s="171"/>
      <c r="FI55" s="171"/>
      <c r="FJ55" s="171"/>
      <c r="FK55" s="171"/>
      <c r="FL55" s="171">
        <v>0</v>
      </c>
      <c r="FM55" s="171">
        <v>0</v>
      </c>
      <c r="FN55" s="171">
        <f t="shared" si="412"/>
        <v>4550.7350000000006</v>
      </c>
      <c r="FO55" s="171">
        <f t="shared" si="407"/>
        <v>3931.8573285000002</v>
      </c>
      <c r="FP55" s="171">
        <f t="shared" si="408"/>
        <v>46.7</v>
      </c>
      <c r="FQ55" s="171">
        <f t="shared" si="409"/>
        <v>45.532499999999999</v>
      </c>
      <c r="FR55" s="171">
        <f t="shared" si="410"/>
        <v>7746.1200000000008</v>
      </c>
      <c r="FS55" s="171">
        <f t="shared" si="411"/>
        <v>6789.8047279000011</v>
      </c>
      <c r="FT55" s="171">
        <f t="shared" si="413"/>
        <v>12343.555</v>
      </c>
      <c r="FU55" s="171">
        <f t="shared" si="414"/>
        <v>10767.194556400002</v>
      </c>
      <c r="FW55" s="135" t="s">
        <v>15</v>
      </c>
      <c r="FX55" s="44">
        <f t="shared" si="415"/>
        <v>86400.489778024858</v>
      </c>
      <c r="FY55" s="44">
        <f t="shared" si="416"/>
        <v>97500</v>
      </c>
      <c r="FZ55" s="44">
        <f t="shared" si="417"/>
        <v>87654.267270581913</v>
      </c>
      <c r="GA55" s="44">
        <f t="shared" si="418"/>
        <v>87229.283268879997</v>
      </c>
    </row>
    <row r="56" spans="1:183">
      <c r="A56" s="146" t="s">
        <v>16</v>
      </c>
      <c r="B56" s="171">
        <v>6.125</v>
      </c>
      <c r="C56" s="171">
        <v>6.149375</v>
      </c>
      <c r="D56" s="171">
        <v>0</v>
      </c>
      <c r="E56" s="171">
        <v>0</v>
      </c>
      <c r="F56" s="171">
        <v>0.79999999999999993</v>
      </c>
      <c r="G56" s="171">
        <v>1.0065887</v>
      </c>
      <c r="H56" s="171">
        <v>0</v>
      </c>
      <c r="I56" s="171">
        <v>0</v>
      </c>
      <c r="J56" s="171">
        <v>0</v>
      </c>
      <c r="K56" s="171">
        <v>0</v>
      </c>
      <c r="L56" s="171">
        <v>0</v>
      </c>
      <c r="M56" s="171">
        <v>0</v>
      </c>
      <c r="N56" s="171">
        <v>6.9249999999999998</v>
      </c>
      <c r="O56" s="171">
        <v>7.1559637</v>
      </c>
      <c r="P56" s="171">
        <v>0</v>
      </c>
      <c r="Q56" s="171">
        <v>0</v>
      </c>
      <c r="R56" s="171">
        <v>0</v>
      </c>
      <c r="S56" s="171">
        <v>0</v>
      </c>
      <c r="T56" s="171">
        <v>30.675000000000001</v>
      </c>
      <c r="U56" s="171">
        <v>30.717749299999998</v>
      </c>
      <c r="V56" s="171">
        <v>0</v>
      </c>
      <c r="W56" s="171">
        <v>0</v>
      </c>
      <c r="X56" s="171">
        <v>0</v>
      </c>
      <c r="Y56" s="171">
        <v>0</v>
      </c>
      <c r="Z56" s="171">
        <v>0</v>
      </c>
      <c r="AA56" s="171">
        <v>0</v>
      </c>
      <c r="AB56" s="171">
        <v>30.675000000000001</v>
      </c>
      <c r="AC56" s="171">
        <v>30.717749299999998</v>
      </c>
      <c r="AD56" s="171">
        <v>0.2</v>
      </c>
      <c r="AE56" s="171">
        <v>0.18806</v>
      </c>
      <c r="AF56" s="171">
        <v>0</v>
      </c>
      <c r="AG56" s="171">
        <v>0</v>
      </c>
      <c r="AH56" s="171">
        <v>150.61799999999999</v>
      </c>
      <c r="AI56" s="171">
        <v>157.16216990000001</v>
      </c>
      <c r="AJ56" s="171">
        <v>0</v>
      </c>
      <c r="AK56" s="171">
        <v>0</v>
      </c>
      <c r="AL56" s="171">
        <v>0</v>
      </c>
      <c r="AM56" s="171">
        <v>0</v>
      </c>
      <c r="AN56" s="171">
        <v>0</v>
      </c>
      <c r="AO56" s="171">
        <v>0</v>
      </c>
      <c r="AP56" s="171">
        <v>150.81799999999998</v>
      </c>
      <c r="AQ56" s="171">
        <v>157.35022990000002</v>
      </c>
      <c r="AR56" s="147">
        <v>18.125</v>
      </c>
      <c r="AS56" s="147">
        <v>18.4778375</v>
      </c>
      <c r="AT56" s="147">
        <v>0</v>
      </c>
      <c r="AU56" s="147">
        <v>0</v>
      </c>
      <c r="AV56" s="147">
        <v>82.742999999999995</v>
      </c>
      <c r="AW56" s="147">
        <v>89.609469700000005</v>
      </c>
      <c r="AX56" s="147">
        <v>0</v>
      </c>
      <c r="AY56" s="147">
        <v>0</v>
      </c>
      <c r="AZ56" s="147">
        <v>0</v>
      </c>
      <c r="BA56" s="147">
        <v>0</v>
      </c>
      <c r="BB56" s="147">
        <v>0</v>
      </c>
      <c r="BC56" s="147">
        <v>0</v>
      </c>
      <c r="BD56" s="147">
        <v>100.86799999999999</v>
      </c>
      <c r="BE56" s="147">
        <v>108.0873072</v>
      </c>
      <c r="BF56" s="147">
        <v>29.625</v>
      </c>
      <c r="BG56" s="147">
        <v>29.665627499999999</v>
      </c>
      <c r="BH56" s="147">
        <v>0</v>
      </c>
      <c r="BI56" s="147">
        <v>0</v>
      </c>
      <c r="BJ56" s="147">
        <v>546.05999999999995</v>
      </c>
      <c r="BK56" s="147">
        <v>490.91446990000003</v>
      </c>
      <c r="BL56" s="147">
        <v>0</v>
      </c>
      <c r="BM56" s="147">
        <v>0</v>
      </c>
      <c r="BN56" s="147">
        <v>0</v>
      </c>
      <c r="BO56" s="147">
        <v>0</v>
      </c>
      <c r="BP56" s="147">
        <v>0</v>
      </c>
      <c r="BQ56" s="147">
        <v>0</v>
      </c>
      <c r="BR56" s="147">
        <v>575.68499999999995</v>
      </c>
      <c r="BS56" s="147">
        <v>520.5800974</v>
      </c>
      <c r="BT56" s="171">
        <v>39</v>
      </c>
      <c r="BU56" s="171">
        <v>38.537500000000001</v>
      </c>
      <c r="BV56" s="171">
        <v>0</v>
      </c>
      <c r="BW56" s="171">
        <v>0</v>
      </c>
      <c r="BX56" s="171">
        <v>98.47</v>
      </c>
      <c r="BY56" s="171">
        <v>95.72915239999999</v>
      </c>
      <c r="BZ56" s="171">
        <v>0</v>
      </c>
      <c r="CA56" s="171">
        <v>0</v>
      </c>
      <c r="CB56" s="171">
        <v>0</v>
      </c>
      <c r="CC56" s="171">
        <v>0</v>
      </c>
      <c r="CD56" s="171">
        <v>0</v>
      </c>
      <c r="CE56" s="171">
        <v>0</v>
      </c>
      <c r="CF56" s="171">
        <v>137.47</v>
      </c>
      <c r="CG56" s="171">
        <v>134.2666524</v>
      </c>
      <c r="CH56" s="171">
        <v>31</v>
      </c>
      <c r="CI56" s="171">
        <v>30.265260000000001</v>
      </c>
      <c r="CJ56" s="171">
        <v>0</v>
      </c>
      <c r="CK56" s="171">
        <v>0</v>
      </c>
      <c r="CL56" s="171">
        <v>109.63499999999999</v>
      </c>
      <c r="CM56" s="171">
        <v>117.47988510000002</v>
      </c>
      <c r="CN56" s="171">
        <v>0</v>
      </c>
      <c r="CO56" s="171">
        <v>0</v>
      </c>
      <c r="CP56" s="171">
        <v>0</v>
      </c>
      <c r="CQ56" s="171">
        <v>0</v>
      </c>
      <c r="CR56" s="171">
        <v>0</v>
      </c>
      <c r="CS56" s="171">
        <v>0</v>
      </c>
      <c r="CT56" s="171">
        <v>140.63499999999999</v>
      </c>
      <c r="CU56" s="171">
        <v>147.74514510000003</v>
      </c>
      <c r="CV56" s="171">
        <v>22.4</v>
      </c>
      <c r="CW56" s="171">
        <v>21.913150000000002</v>
      </c>
      <c r="CX56" s="171">
        <v>0</v>
      </c>
      <c r="CY56" s="171">
        <v>0</v>
      </c>
      <c r="CZ56" s="171">
        <v>38.754000000000005</v>
      </c>
      <c r="DA56" s="171">
        <v>38.026030599999999</v>
      </c>
      <c r="DB56" s="171">
        <v>0</v>
      </c>
      <c r="DC56" s="171">
        <v>0</v>
      </c>
      <c r="DD56" s="171">
        <v>0</v>
      </c>
      <c r="DE56" s="171">
        <v>0</v>
      </c>
      <c r="DF56" s="171">
        <v>0</v>
      </c>
      <c r="DG56" s="171">
        <v>0</v>
      </c>
      <c r="DH56" s="171">
        <f t="shared" si="404"/>
        <v>61.154000000000003</v>
      </c>
      <c r="DI56" s="171">
        <f t="shared" si="404"/>
        <v>59.9391806</v>
      </c>
      <c r="DJ56" s="171">
        <v>32.924999999999997</v>
      </c>
      <c r="DK56" s="171">
        <v>32.259822499999999</v>
      </c>
      <c r="DL56" s="171">
        <v>0</v>
      </c>
      <c r="DM56" s="171">
        <v>0</v>
      </c>
      <c r="DN56" s="171">
        <v>59.445</v>
      </c>
      <c r="DO56" s="171">
        <v>62.350167599999999</v>
      </c>
      <c r="DP56" s="171">
        <v>0</v>
      </c>
      <c r="DQ56" s="171">
        <v>0</v>
      </c>
      <c r="DR56" s="171">
        <v>0</v>
      </c>
      <c r="DS56" s="171">
        <v>0</v>
      </c>
      <c r="DT56" s="171">
        <v>0</v>
      </c>
      <c r="DU56" s="171">
        <v>0</v>
      </c>
      <c r="DV56" s="171">
        <f t="shared" si="405"/>
        <v>92.37</v>
      </c>
      <c r="DW56" s="171">
        <f t="shared" si="406"/>
        <v>94.609990100000005</v>
      </c>
      <c r="DX56" s="171">
        <v>0</v>
      </c>
      <c r="DY56" s="171">
        <v>0</v>
      </c>
      <c r="DZ56" s="171">
        <v>0</v>
      </c>
      <c r="EA56" s="171">
        <v>0</v>
      </c>
      <c r="EB56" s="171">
        <v>0</v>
      </c>
      <c r="EC56" s="171">
        <v>0</v>
      </c>
      <c r="ED56" s="171"/>
      <c r="EE56" s="171"/>
      <c r="EF56" s="171"/>
      <c r="EG56" s="171"/>
      <c r="EH56" s="171"/>
      <c r="EI56" s="171"/>
      <c r="EJ56" s="171">
        <v>0</v>
      </c>
      <c r="EK56" s="171">
        <v>0</v>
      </c>
      <c r="EL56" s="171">
        <v>0</v>
      </c>
      <c r="EM56" s="171">
        <v>0</v>
      </c>
      <c r="EN56" s="171">
        <v>0</v>
      </c>
      <c r="EO56" s="171">
        <v>0</v>
      </c>
      <c r="EP56" s="171">
        <v>0</v>
      </c>
      <c r="EQ56" s="171">
        <v>0</v>
      </c>
      <c r="ER56" s="171"/>
      <c r="ES56" s="171"/>
      <c r="ET56" s="171"/>
      <c r="EU56" s="171"/>
      <c r="EV56" s="171"/>
      <c r="EW56" s="171"/>
      <c r="EX56" s="171">
        <v>0</v>
      </c>
      <c r="EY56" s="171">
        <v>0</v>
      </c>
      <c r="EZ56" s="171">
        <v>0</v>
      </c>
      <c r="FA56" s="171">
        <v>0</v>
      </c>
      <c r="FB56" s="171">
        <v>0</v>
      </c>
      <c r="FC56" s="171">
        <v>0</v>
      </c>
      <c r="FD56" s="171">
        <v>0</v>
      </c>
      <c r="FE56" s="171">
        <v>0</v>
      </c>
      <c r="FF56" s="171"/>
      <c r="FG56" s="171"/>
      <c r="FH56" s="171"/>
      <c r="FI56" s="171"/>
      <c r="FJ56" s="171"/>
      <c r="FK56" s="171"/>
      <c r="FL56" s="171">
        <v>0</v>
      </c>
      <c r="FM56" s="171">
        <v>0</v>
      </c>
      <c r="FN56" s="171">
        <f t="shared" si="412"/>
        <v>179.39999999999998</v>
      </c>
      <c r="FO56" s="171">
        <f t="shared" si="407"/>
        <v>177.45663250000001</v>
      </c>
      <c r="FP56" s="171">
        <f t="shared" si="408"/>
        <v>0</v>
      </c>
      <c r="FQ56" s="171">
        <f t="shared" si="409"/>
        <v>0</v>
      </c>
      <c r="FR56" s="171">
        <f t="shared" si="410"/>
        <v>1117.1999999999998</v>
      </c>
      <c r="FS56" s="171">
        <f t="shared" si="411"/>
        <v>1082.9956832</v>
      </c>
      <c r="FT56" s="171">
        <f t="shared" si="413"/>
        <v>1296.5999999999999</v>
      </c>
      <c r="FU56" s="171">
        <f t="shared" si="414"/>
        <v>1260.4523157000001</v>
      </c>
      <c r="FW56" s="135" t="s">
        <v>16</v>
      </c>
      <c r="FX56" s="44">
        <f t="shared" si="415"/>
        <v>98916.740523968794</v>
      </c>
      <c r="FY56" s="44">
        <f t="shared" si="416"/>
        <v>0</v>
      </c>
      <c r="FZ56" s="44">
        <f t="shared" si="417"/>
        <v>96938.389115646278</v>
      </c>
      <c r="GA56" s="44">
        <f t="shared" si="418"/>
        <v>97212.117515039339</v>
      </c>
    </row>
    <row r="57" spans="1:183">
      <c r="A57" s="146" t="s">
        <v>148</v>
      </c>
      <c r="B57" s="171"/>
      <c r="C57" s="171"/>
      <c r="D57" s="171"/>
      <c r="E57" s="171"/>
      <c r="F57" s="171"/>
      <c r="G57" s="171"/>
      <c r="H57" s="171">
        <v>253.40000000000003</v>
      </c>
      <c r="I57" s="171">
        <v>194.04286530000002</v>
      </c>
      <c r="J57" s="171">
        <v>0</v>
      </c>
      <c r="K57" s="171">
        <v>0</v>
      </c>
      <c r="L57" s="171">
        <v>30.7</v>
      </c>
      <c r="M57" s="171">
        <v>67.006886599999987</v>
      </c>
      <c r="N57" s="171">
        <v>284.10000000000002</v>
      </c>
      <c r="O57" s="171">
        <v>261.04975189999999</v>
      </c>
      <c r="P57" s="171"/>
      <c r="Q57" s="171"/>
      <c r="R57" s="171"/>
      <c r="S57" s="171"/>
      <c r="T57" s="171"/>
      <c r="U57" s="171"/>
      <c r="V57" s="171">
        <v>403.66500000000002</v>
      </c>
      <c r="W57" s="171">
        <v>471.42916410000004</v>
      </c>
      <c r="X57" s="171">
        <v>0</v>
      </c>
      <c r="Y57" s="171">
        <v>0</v>
      </c>
      <c r="Z57" s="171">
        <v>164.35999999999999</v>
      </c>
      <c r="AA57" s="171">
        <v>373.54655439999999</v>
      </c>
      <c r="AB57" s="171">
        <v>568.02499999999998</v>
      </c>
      <c r="AC57" s="171">
        <v>844.97571850000008</v>
      </c>
      <c r="AD57" s="171"/>
      <c r="AE57" s="171"/>
      <c r="AF57" s="171"/>
      <c r="AG57" s="171"/>
      <c r="AH57" s="171"/>
      <c r="AI57" s="171"/>
      <c r="AJ57" s="171">
        <v>430.14500000000004</v>
      </c>
      <c r="AK57" s="171">
        <v>422.37226400000009</v>
      </c>
      <c r="AL57" s="171">
        <v>0</v>
      </c>
      <c r="AM57" s="171">
        <v>0</v>
      </c>
      <c r="AN57" s="171">
        <v>134.13</v>
      </c>
      <c r="AO57" s="171">
        <v>306.18429470000001</v>
      </c>
      <c r="AP57" s="171">
        <v>564.27500000000009</v>
      </c>
      <c r="AQ57" s="171">
        <v>728.5565587000001</v>
      </c>
      <c r="AR57" s="147"/>
      <c r="AS57" s="147"/>
      <c r="AT57" s="147"/>
      <c r="AU57" s="147"/>
      <c r="AV57" s="147"/>
      <c r="AW57" s="147"/>
      <c r="AX57" s="147">
        <v>437.67999999999995</v>
      </c>
      <c r="AY57" s="147">
        <v>391.73102479999989</v>
      </c>
      <c r="AZ57" s="147">
        <v>0</v>
      </c>
      <c r="BA57" s="147">
        <v>0</v>
      </c>
      <c r="BB57" s="147">
        <v>26.5</v>
      </c>
      <c r="BC57" s="147">
        <v>56.960948900000005</v>
      </c>
      <c r="BD57" s="147">
        <v>464.17999999999995</v>
      </c>
      <c r="BE57" s="147">
        <v>448.69197369999989</v>
      </c>
      <c r="BF57" s="147"/>
      <c r="BG57" s="147"/>
      <c r="BH57" s="147"/>
      <c r="BI57" s="147"/>
      <c r="BJ57" s="147"/>
      <c r="BK57" s="147"/>
      <c r="BL57" s="147">
        <v>152.15</v>
      </c>
      <c r="BM57" s="147">
        <v>130.21985410000002</v>
      </c>
      <c r="BN57" s="147">
        <v>0</v>
      </c>
      <c r="BO57" s="147">
        <v>0</v>
      </c>
      <c r="BP57" s="147">
        <v>161.31399999999999</v>
      </c>
      <c r="BQ57" s="147">
        <v>394.01629709999992</v>
      </c>
      <c r="BR57" s="147">
        <v>313.464</v>
      </c>
      <c r="BS57" s="147">
        <v>524.23615119999999</v>
      </c>
      <c r="BT57" s="171"/>
      <c r="BU57" s="171"/>
      <c r="BV57" s="171"/>
      <c r="BW57" s="171"/>
      <c r="BX57" s="171"/>
      <c r="BY57" s="171"/>
      <c r="BZ57" s="171">
        <v>301.12500000000006</v>
      </c>
      <c r="CA57" s="171">
        <v>283.07253919999999</v>
      </c>
      <c r="CB57" s="171">
        <v>0</v>
      </c>
      <c r="CC57" s="171">
        <v>0</v>
      </c>
      <c r="CD57" s="171">
        <v>54.564999999999998</v>
      </c>
      <c r="CE57" s="171">
        <v>116.29716940000002</v>
      </c>
      <c r="CF57" s="171">
        <v>355.69000000000005</v>
      </c>
      <c r="CG57" s="171">
        <v>399.36970860000002</v>
      </c>
      <c r="CH57" s="171"/>
      <c r="CI57" s="171"/>
      <c r="CJ57" s="171"/>
      <c r="CK57" s="171"/>
      <c r="CL57" s="171"/>
      <c r="CM57" s="171"/>
      <c r="CN57" s="171">
        <v>196.04</v>
      </c>
      <c r="CO57" s="171">
        <v>186.97501469999997</v>
      </c>
      <c r="CP57" s="171">
        <v>0</v>
      </c>
      <c r="CQ57" s="171">
        <v>0</v>
      </c>
      <c r="CR57" s="171">
        <v>193.4</v>
      </c>
      <c r="CS57" s="171">
        <v>465.99256100000002</v>
      </c>
      <c r="CT57" s="171">
        <v>0</v>
      </c>
      <c r="CU57" s="171">
        <v>0</v>
      </c>
      <c r="CV57" s="171"/>
      <c r="CW57" s="171"/>
      <c r="CX57" s="171"/>
      <c r="CY57" s="171"/>
      <c r="CZ57" s="171"/>
      <c r="DA57" s="171"/>
      <c r="DB57" s="171">
        <v>184.185</v>
      </c>
      <c r="DC57" s="171">
        <v>200.9117723</v>
      </c>
      <c r="DD57" s="171">
        <v>0</v>
      </c>
      <c r="DE57" s="171">
        <v>0</v>
      </c>
      <c r="DF57" s="171">
        <v>45.192</v>
      </c>
      <c r="DG57" s="171">
        <v>64.332921400000004</v>
      </c>
      <c r="DH57" s="171">
        <f t="shared" si="404"/>
        <v>0</v>
      </c>
      <c r="DI57" s="171">
        <f t="shared" si="404"/>
        <v>0</v>
      </c>
      <c r="DJ57" s="171"/>
      <c r="DK57" s="171"/>
      <c r="DL57" s="171"/>
      <c r="DM57" s="171"/>
      <c r="DN57" s="171"/>
      <c r="DO57" s="171"/>
      <c r="DP57" s="171">
        <v>196.745</v>
      </c>
      <c r="DQ57" s="171">
        <v>109.82341950000001</v>
      </c>
      <c r="DR57" s="171">
        <v>30</v>
      </c>
      <c r="DS57" s="171">
        <v>72.900000000000006</v>
      </c>
      <c r="DT57" s="171">
        <v>5.5</v>
      </c>
      <c r="DU57" s="171">
        <v>18.893439600000001</v>
      </c>
      <c r="DV57" s="171">
        <f t="shared" si="405"/>
        <v>0</v>
      </c>
      <c r="DW57" s="171">
        <f t="shared" si="406"/>
        <v>0</v>
      </c>
      <c r="DX57" s="171"/>
      <c r="DY57" s="171"/>
      <c r="DZ57" s="171"/>
      <c r="EA57" s="171"/>
      <c r="EB57" s="171"/>
      <c r="EC57" s="171"/>
      <c r="ED57" s="171"/>
      <c r="EE57" s="171"/>
      <c r="EF57" s="171"/>
      <c r="EG57" s="171"/>
      <c r="EH57" s="171"/>
      <c r="EI57" s="171"/>
      <c r="EJ57" s="171"/>
      <c r="EK57" s="171"/>
      <c r="EL57" s="171"/>
      <c r="EM57" s="171"/>
      <c r="EN57" s="171"/>
      <c r="EO57" s="171"/>
      <c r="EP57" s="171"/>
      <c r="EQ57" s="171"/>
      <c r="ER57" s="171"/>
      <c r="ES57" s="171"/>
      <c r="ET57" s="171"/>
      <c r="EU57" s="171"/>
      <c r="EV57" s="171"/>
      <c r="EW57" s="171"/>
      <c r="EX57" s="171"/>
      <c r="EY57" s="171"/>
      <c r="EZ57" s="171"/>
      <c r="FA57" s="171"/>
      <c r="FB57" s="171"/>
      <c r="FC57" s="171"/>
      <c r="FD57" s="171"/>
      <c r="FE57" s="171"/>
      <c r="FF57" s="171"/>
      <c r="FG57" s="171"/>
      <c r="FH57" s="171"/>
      <c r="FI57" s="171"/>
      <c r="FJ57" s="171"/>
      <c r="FK57" s="171"/>
      <c r="FL57" s="171"/>
      <c r="FM57" s="171"/>
      <c r="FN57" s="171">
        <f t="shared" si="412"/>
        <v>2555.1349999999998</v>
      </c>
      <c r="FO57" s="171">
        <f t="shared" si="407"/>
        <v>2390.577918</v>
      </c>
      <c r="FP57" s="171">
        <f t="shared" si="408"/>
        <v>30</v>
      </c>
      <c r="FQ57" s="171">
        <f t="shared" si="409"/>
        <v>72.900000000000006</v>
      </c>
      <c r="FR57" s="171">
        <f t="shared" si="410"/>
        <v>815.66099999999994</v>
      </c>
      <c r="FS57" s="171">
        <f t="shared" si="411"/>
        <v>1863.2310731</v>
      </c>
      <c r="FT57" s="171">
        <f t="shared" si="413"/>
        <v>3400.7959999999998</v>
      </c>
      <c r="FU57" s="171">
        <f t="shared" si="414"/>
        <v>4326.7089911000003</v>
      </c>
      <c r="FW57" s="135" t="s">
        <v>148</v>
      </c>
      <c r="FX57" s="44">
        <f t="shared" si="415"/>
        <v>93559.74999364026</v>
      </c>
      <c r="FY57" s="44">
        <f t="shared" si="416"/>
        <v>243000.00000000003</v>
      </c>
      <c r="FZ57" s="44">
        <f t="shared" si="417"/>
        <v>228432.04138729203</v>
      </c>
      <c r="GA57" s="44">
        <f t="shared" si="418"/>
        <v>127226.36086081025</v>
      </c>
    </row>
    <row r="58" spans="1:183">
      <c r="A58" s="166" t="s">
        <v>20</v>
      </c>
      <c r="B58" s="176">
        <v>1785.0550000000001</v>
      </c>
      <c r="C58" s="176">
        <v>1733.2590625</v>
      </c>
      <c r="D58" s="176">
        <v>0</v>
      </c>
      <c r="E58" s="176">
        <v>0</v>
      </c>
      <c r="F58" s="176">
        <v>901.71799999999985</v>
      </c>
      <c r="G58" s="176">
        <v>761.85951230000001</v>
      </c>
      <c r="H58" s="176">
        <v>253.40000000000003</v>
      </c>
      <c r="I58" s="176">
        <v>194.04286530000002</v>
      </c>
      <c r="J58" s="176">
        <v>0</v>
      </c>
      <c r="K58" s="176">
        <v>0</v>
      </c>
      <c r="L58" s="176">
        <v>30.7</v>
      </c>
      <c r="M58" s="176">
        <v>67.006886599999987</v>
      </c>
      <c r="N58" s="176">
        <v>2970.873</v>
      </c>
      <c r="O58" s="176">
        <v>2756.1683267000003</v>
      </c>
      <c r="P58" s="176">
        <v>2410.8849999999998</v>
      </c>
      <c r="Q58" s="176">
        <v>2682.413986399999</v>
      </c>
      <c r="R58" s="176">
        <v>0</v>
      </c>
      <c r="S58" s="176">
        <v>0</v>
      </c>
      <c r="T58" s="176">
        <v>2419.3990000000003</v>
      </c>
      <c r="U58" s="176">
        <v>2283.2363104999995</v>
      </c>
      <c r="V58" s="176">
        <v>403.66500000000002</v>
      </c>
      <c r="W58" s="176">
        <v>471.42916410000004</v>
      </c>
      <c r="X58" s="176">
        <v>0</v>
      </c>
      <c r="Y58" s="176">
        <v>0</v>
      </c>
      <c r="Z58" s="176">
        <v>164.35999999999999</v>
      </c>
      <c r="AA58" s="176">
        <v>373.54655439999999</v>
      </c>
      <c r="AB58" s="176">
        <v>5398.3089999999993</v>
      </c>
      <c r="AC58" s="176">
        <v>5810.6260153999983</v>
      </c>
      <c r="AD58" s="176">
        <v>3741.0650000000001</v>
      </c>
      <c r="AE58" s="176">
        <v>4146.1488279000005</v>
      </c>
      <c r="AF58" s="176">
        <v>0</v>
      </c>
      <c r="AG58" s="176">
        <v>0</v>
      </c>
      <c r="AH58" s="176">
        <v>1393.518</v>
      </c>
      <c r="AI58" s="176">
        <v>1363.0406075000003</v>
      </c>
      <c r="AJ58" s="176">
        <v>430.14500000000004</v>
      </c>
      <c r="AK58" s="176">
        <v>422.37226400000009</v>
      </c>
      <c r="AL58" s="176">
        <v>0</v>
      </c>
      <c r="AM58" s="176">
        <v>0</v>
      </c>
      <c r="AN58" s="176">
        <v>134.13</v>
      </c>
      <c r="AO58" s="176">
        <v>306.18429470000001</v>
      </c>
      <c r="AP58" s="176">
        <v>5698.8580000000002</v>
      </c>
      <c r="AQ58" s="176">
        <v>6237.7459941000006</v>
      </c>
      <c r="AR58" s="176">
        <v>4213.1200000000008</v>
      </c>
      <c r="AS58" s="176">
        <v>4981.5401138999996</v>
      </c>
      <c r="AT58" s="176">
        <v>0</v>
      </c>
      <c r="AU58" s="176">
        <v>0</v>
      </c>
      <c r="AV58" s="176">
        <v>1840.7490000000003</v>
      </c>
      <c r="AW58" s="176">
        <v>1675.3913883000002</v>
      </c>
      <c r="AX58" s="176">
        <v>437.67999999999995</v>
      </c>
      <c r="AY58" s="176">
        <v>391.73102479999989</v>
      </c>
      <c r="AZ58" s="176">
        <v>0</v>
      </c>
      <c r="BA58" s="176">
        <v>0</v>
      </c>
      <c r="BB58" s="176">
        <v>26.5</v>
      </c>
      <c r="BC58" s="176">
        <v>56.960948900000005</v>
      </c>
      <c r="BD58" s="345">
        <v>6518.0490000000009</v>
      </c>
      <c r="BE58" s="345">
        <v>7105.6234759000008</v>
      </c>
      <c r="BF58" s="345">
        <v>3160.7000000000003</v>
      </c>
      <c r="BG58" s="345">
        <v>3969.5098103000009</v>
      </c>
      <c r="BH58" s="345">
        <v>20</v>
      </c>
      <c r="BI58" s="345">
        <v>19.5</v>
      </c>
      <c r="BJ58" s="345">
        <v>2227.8019999999997</v>
      </c>
      <c r="BK58" s="345">
        <v>2156.0424927999998</v>
      </c>
      <c r="BL58" s="345">
        <v>152.15</v>
      </c>
      <c r="BM58" s="345">
        <v>130.21985410000002</v>
      </c>
      <c r="BN58" s="345">
        <v>0</v>
      </c>
      <c r="BO58" s="345">
        <v>0</v>
      </c>
      <c r="BP58" s="345">
        <v>161.31399999999999</v>
      </c>
      <c r="BQ58" s="345">
        <v>394.01629709999992</v>
      </c>
      <c r="BR58" s="345">
        <v>5721.9660000000003</v>
      </c>
      <c r="BS58" s="345">
        <v>6669.2884543</v>
      </c>
      <c r="BT58" s="176">
        <v>3178.244999999999</v>
      </c>
      <c r="BU58" s="176">
        <v>4128.3833945000006</v>
      </c>
      <c r="BV58" s="176">
        <v>0</v>
      </c>
      <c r="BW58" s="176">
        <v>0</v>
      </c>
      <c r="BX58" s="176">
        <v>2015.6179999999999</v>
      </c>
      <c r="BY58" s="176">
        <v>1945.1758113999997</v>
      </c>
      <c r="BZ58" s="176">
        <v>301.12500000000006</v>
      </c>
      <c r="CA58" s="176">
        <v>283.07253919999999</v>
      </c>
      <c r="CB58" s="176">
        <v>0</v>
      </c>
      <c r="CC58" s="176">
        <v>0</v>
      </c>
      <c r="CD58" s="176">
        <v>54.564999999999998</v>
      </c>
      <c r="CE58" s="176">
        <v>116.29716940000002</v>
      </c>
      <c r="CF58" s="176">
        <v>5549.5529999999999</v>
      </c>
      <c r="CG58" s="176">
        <v>6472.9289145000002</v>
      </c>
      <c r="CH58" s="176">
        <v>2989.3260000000005</v>
      </c>
      <c r="CI58" s="176">
        <v>4235.5453952999997</v>
      </c>
      <c r="CJ58" s="176">
        <v>0</v>
      </c>
      <c r="CK58" s="176">
        <v>0</v>
      </c>
      <c r="CL58" s="176">
        <v>1814.4239999999998</v>
      </c>
      <c r="CM58" s="176">
        <v>1857.4326185000002</v>
      </c>
      <c r="CN58" s="176">
        <v>196.04</v>
      </c>
      <c r="CO58" s="176">
        <v>186.97501469999997</v>
      </c>
      <c r="CP58" s="176">
        <v>0</v>
      </c>
      <c r="CQ58" s="176">
        <v>0</v>
      </c>
      <c r="CR58" s="176">
        <v>193.4</v>
      </c>
      <c r="CS58" s="176">
        <v>465.99256100000002</v>
      </c>
      <c r="CT58" s="176">
        <v>4803.7500000000009</v>
      </c>
      <c r="CU58" s="176">
        <v>6092.9780137999996</v>
      </c>
      <c r="CV58" s="176">
        <v>0</v>
      </c>
      <c r="CW58" s="176">
        <v>0</v>
      </c>
      <c r="CX58" s="176">
        <v>0</v>
      </c>
      <c r="CY58" s="176">
        <v>0</v>
      </c>
      <c r="CZ58" s="176">
        <v>0</v>
      </c>
      <c r="DA58" s="176">
        <v>0</v>
      </c>
      <c r="DB58" s="176">
        <v>0</v>
      </c>
      <c r="DC58" s="176">
        <v>0</v>
      </c>
      <c r="DD58" s="176">
        <v>0</v>
      </c>
      <c r="DE58" s="176">
        <v>0</v>
      </c>
      <c r="DF58" s="176">
        <v>0</v>
      </c>
      <c r="DG58" s="176">
        <v>0</v>
      </c>
      <c r="DH58" s="176">
        <f>SUM(DH50:DH57)</f>
        <v>4054.1960000000004</v>
      </c>
      <c r="DI58" s="176">
        <f t="shared" ref="DI58" si="419">SUM(DI50:DI57)</f>
        <v>4923.2687690000002</v>
      </c>
      <c r="DJ58" s="176">
        <v>0</v>
      </c>
      <c r="DK58" s="176">
        <v>0</v>
      </c>
      <c r="DL58" s="176">
        <v>0</v>
      </c>
      <c r="DM58" s="176">
        <v>0</v>
      </c>
      <c r="DN58" s="176">
        <v>0</v>
      </c>
      <c r="DO58" s="176">
        <v>0</v>
      </c>
      <c r="DP58" s="176">
        <v>0</v>
      </c>
      <c r="DQ58" s="176">
        <v>0</v>
      </c>
      <c r="DR58" s="176">
        <v>0</v>
      </c>
      <c r="DS58" s="176">
        <v>0</v>
      </c>
      <c r="DT58" s="176">
        <v>0</v>
      </c>
      <c r="DU58" s="176">
        <v>0</v>
      </c>
      <c r="DV58" s="176">
        <f>SUM(DV50:DV57)</f>
        <v>4764.4410000000007</v>
      </c>
      <c r="DW58" s="176">
        <f t="shared" ref="DW58" si="420">SUM(DW50:DW57)</f>
        <v>6052.6845902999994</v>
      </c>
      <c r="DX58" s="176">
        <v>0</v>
      </c>
      <c r="DY58" s="176">
        <v>0</v>
      </c>
      <c r="DZ58" s="176">
        <v>0</v>
      </c>
      <c r="EA58" s="176">
        <v>0</v>
      </c>
      <c r="EB58" s="176">
        <v>0</v>
      </c>
      <c r="EC58" s="176">
        <v>0</v>
      </c>
      <c r="ED58" s="176">
        <v>0</v>
      </c>
      <c r="EE58" s="176">
        <v>0</v>
      </c>
      <c r="EF58" s="176">
        <v>0</v>
      </c>
      <c r="EG58" s="176">
        <v>0</v>
      </c>
      <c r="EH58" s="176">
        <v>0</v>
      </c>
      <c r="EI58" s="176">
        <v>0</v>
      </c>
      <c r="EJ58" s="176">
        <v>0</v>
      </c>
      <c r="EK58" s="176">
        <v>0</v>
      </c>
      <c r="EL58" s="176">
        <v>0</v>
      </c>
      <c r="EM58" s="176">
        <v>0</v>
      </c>
      <c r="EN58" s="176">
        <v>0</v>
      </c>
      <c r="EO58" s="176">
        <v>0</v>
      </c>
      <c r="EP58" s="176">
        <v>0</v>
      </c>
      <c r="EQ58" s="176">
        <v>0</v>
      </c>
      <c r="ER58" s="176">
        <v>0</v>
      </c>
      <c r="ES58" s="176">
        <v>0</v>
      </c>
      <c r="ET58" s="176">
        <v>0</v>
      </c>
      <c r="EU58" s="176">
        <v>0</v>
      </c>
      <c r="EV58" s="176">
        <v>0</v>
      </c>
      <c r="EW58" s="176">
        <v>0</v>
      </c>
      <c r="EX58" s="176">
        <v>0</v>
      </c>
      <c r="EY58" s="176">
        <v>0</v>
      </c>
      <c r="EZ58" s="176">
        <v>0</v>
      </c>
      <c r="FA58" s="176">
        <v>0</v>
      </c>
      <c r="FB58" s="176">
        <v>0</v>
      </c>
      <c r="FC58" s="176">
        <v>0</v>
      </c>
      <c r="FD58" s="176">
        <v>0</v>
      </c>
      <c r="FE58" s="176">
        <v>0</v>
      </c>
      <c r="FF58" s="176">
        <v>0</v>
      </c>
      <c r="FG58" s="176">
        <v>0</v>
      </c>
      <c r="FH58" s="176">
        <v>0</v>
      </c>
      <c r="FI58" s="176">
        <v>0</v>
      </c>
      <c r="FJ58" s="176">
        <v>0</v>
      </c>
      <c r="FK58" s="176">
        <v>0</v>
      </c>
      <c r="FL58" s="176">
        <v>0</v>
      </c>
      <c r="FM58" s="176">
        <v>0</v>
      </c>
      <c r="FN58" s="176">
        <f t="shared" ref="FN58:FS58" si="421">SUM(FN50:FN57)</f>
        <v>28738.911000000004</v>
      </c>
      <c r="FO58" s="176">
        <f t="shared" si="421"/>
        <v>34906.219342000004</v>
      </c>
      <c r="FP58" s="176">
        <f t="shared" si="421"/>
        <v>76.7</v>
      </c>
      <c r="FQ58" s="176">
        <f t="shared" si="421"/>
        <v>118.4325</v>
      </c>
      <c r="FR58" s="176">
        <f t="shared" si="421"/>
        <v>17515.446</v>
      </c>
      <c r="FS58" s="176">
        <f t="shared" si="421"/>
        <v>18216.489840500002</v>
      </c>
      <c r="FT58" s="176">
        <f t="shared" si="413"/>
        <v>46331.057000000001</v>
      </c>
      <c r="FU58" s="176">
        <f t="shared" si="414"/>
        <v>53241.141682500005</v>
      </c>
      <c r="FW58" s="232" t="s">
        <v>20</v>
      </c>
      <c r="FX58" s="44">
        <f t="shared" si="415"/>
        <v>121459.78440867156</v>
      </c>
      <c r="FY58" s="44">
        <f t="shared" si="416"/>
        <v>154410.03911342894</v>
      </c>
      <c r="FZ58" s="44">
        <f t="shared" si="417"/>
        <v>104002.43214189351</v>
      </c>
      <c r="GA58" s="44">
        <f t="shared" si="418"/>
        <v>114914.58457876324</v>
      </c>
    </row>
    <row r="59" spans="1:183" s="144" customFormat="1">
      <c r="A59" s="177" t="s">
        <v>51</v>
      </c>
      <c r="B59" s="178">
        <f>B58-B57</f>
        <v>1785.0550000000001</v>
      </c>
      <c r="C59" s="178">
        <f t="shared" ref="C59" si="422">C58-C57</f>
        <v>1733.2590625</v>
      </c>
      <c r="D59" s="178">
        <f t="shared" ref="D59" si="423">D58-D57</f>
        <v>0</v>
      </c>
      <c r="E59" s="178">
        <f t="shared" ref="E59" si="424">E58-E57</f>
        <v>0</v>
      </c>
      <c r="F59" s="178">
        <f t="shared" ref="F59" si="425">F58-F57</f>
        <v>901.71799999999985</v>
      </c>
      <c r="G59" s="178">
        <f t="shared" ref="G59" si="426">G58-G57</f>
        <v>761.85951230000001</v>
      </c>
      <c r="H59" s="178">
        <f t="shared" ref="H59" si="427">H58-H57</f>
        <v>0</v>
      </c>
      <c r="I59" s="178">
        <f t="shared" ref="I59" si="428">I58-I57</f>
        <v>0</v>
      </c>
      <c r="J59" s="178">
        <f t="shared" ref="J59" si="429">J58-J57</f>
        <v>0</v>
      </c>
      <c r="K59" s="178">
        <f t="shared" ref="K59" si="430">K58-K57</f>
        <v>0</v>
      </c>
      <c r="L59" s="178">
        <f t="shared" ref="L59" si="431">L58-L57</f>
        <v>0</v>
      </c>
      <c r="M59" s="178">
        <f t="shared" ref="M59" si="432">M58-M57</f>
        <v>0</v>
      </c>
      <c r="N59" s="178">
        <f t="shared" ref="N59" si="433">N58-N57</f>
        <v>2686.7730000000001</v>
      </c>
      <c r="O59" s="178">
        <f t="shared" ref="O59" si="434">O58-O57</f>
        <v>2495.1185748000003</v>
      </c>
      <c r="P59" s="178">
        <f>P58-P57</f>
        <v>2410.8849999999998</v>
      </c>
      <c r="Q59" s="178">
        <f t="shared" ref="Q59:AC59" si="435">Q58-Q57</f>
        <v>2682.413986399999</v>
      </c>
      <c r="R59" s="178">
        <f t="shared" si="435"/>
        <v>0</v>
      </c>
      <c r="S59" s="178">
        <f t="shared" si="435"/>
        <v>0</v>
      </c>
      <c r="T59" s="178">
        <f t="shared" si="435"/>
        <v>2419.3990000000003</v>
      </c>
      <c r="U59" s="178">
        <f t="shared" si="435"/>
        <v>2283.2363104999995</v>
      </c>
      <c r="V59" s="178">
        <f t="shared" si="435"/>
        <v>0</v>
      </c>
      <c r="W59" s="178">
        <f t="shared" si="435"/>
        <v>0</v>
      </c>
      <c r="X59" s="178">
        <f t="shared" si="435"/>
        <v>0</v>
      </c>
      <c r="Y59" s="178">
        <f t="shared" si="435"/>
        <v>0</v>
      </c>
      <c r="Z59" s="178">
        <f t="shared" si="435"/>
        <v>0</v>
      </c>
      <c r="AA59" s="178">
        <f t="shared" si="435"/>
        <v>0</v>
      </c>
      <c r="AB59" s="178">
        <f t="shared" si="435"/>
        <v>4830.2839999999997</v>
      </c>
      <c r="AC59" s="178">
        <f t="shared" si="435"/>
        <v>4965.6502968999985</v>
      </c>
      <c r="AD59" s="178">
        <f>AD58-AD57</f>
        <v>3741.0650000000001</v>
      </c>
      <c r="AE59" s="178">
        <f t="shared" ref="AE59:AQ59" si="436">AE58-AE57</f>
        <v>4146.1488279000005</v>
      </c>
      <c r="AF59" s="178">
        <f t="shared" si="436"/>
        <v>0</v>
      </c>
      <c r="AG59" s="178">
        <f t="shared" si="436"/>
        <v>0</v>
      </c>
      <c r="AH59" s="178">
        <f t="shared" si="436"/>
        <v>1393.518</v>
      </c>
      <c r="AI59" s="178">
        <f t="shared" si="436"/>
        <v>1363.0406075000003</v>
      </c>
      <c r="AJ59" s="178">
        <f t="shared" si="436"/>
        <v>0</v>
      </c>
      <c r="AK59" s="178">
        <f t="shared" si="436"/>
        <v>0</v>
      </c>
      <c r="AL59" s="178">
        <f t="shared" si="436"/>
        <v>0</v>
      </c>
      <c r="AM59" s="178">
        <f t="shared" si="436"/>
        <v>0</v>
      </c>
      <c r="AN59" s="178">
        <f t="shared" si="436"/>
        <v>0</v>
      </c>
      <c r="AO59" s="178">
        <f t="shared" si="436"/>
        <v>0</v>
      </c>
      <c r="AP59" s="178">
        <f t="shared" si="436"/>
        <v>5134.5830000000005</v>
      </c>
      <c r="AQ59" s="178">
        <f t="shared" si="436"/>
        <v>5509.1894354000005</v>
      </c>
      <c r="AR59" s="178">
        <f>AR58-AR57</f>
        <v>4213.1200000000008</v>
      </c>
      <c r="AS59" s="178">
        <f t="shared" ref="AS59:BE59" si="437">AS58-AS57</f>
        <v>4981.5401138999996</v>
      </c>
      <c r="AT59" s="178">
        <f t="shared" si="437"/>
        <v>0</v>
      </c>
      <c r="AU59" s="178">
        <f t="shared" si="437"/>
        <v>0</v>
      </c>
      <c r="AV59" s="178">
        <f t="shared" si="437"/>
        <v>1840.7490000000003</v>
      </c>
      <c r="AW59" s="178">
        <f t="shared" si="437"/>
        <v>1675.3913883000002</v>
      </c>
      <c r="AX59" s="178">
        <f t="shared" si="437"/>
        <v>0</v>
      </c>
      <c r="AY59" s="178">
        <f t="shared" si="437"/>
        <v>0</v>
      </c>
      <c r="AZ59" s="178">
        <f t="shared" si="437"/>
        <v>0</v>
      </c>
      <c r="BA59" s="178">
        <f t="shared" si="437"/>
        <v>0</v>
      </c>
      <c r="BB59" s="178">
        <f t="shared" si="437"/>
        <v>0</v>
      </c>
      <c r="BC59" s="178">
        <f t="shared" si="437"/>
        <v>0</v>
      </c>
      <c r="BD59" s="178">
        <f t="shared" si="437"/>
        <v>6053.8690000000006</v>
      </c>
      <c r="BE59" s="178">
        <f t="shared" si="437"/>
        <v>6656.931502200001</v>
      </c>
      <c r="BF59" s="178">
        <f>BF58-BF57</f>
        <v>3160.7000000000003</v>
      </c>
      <c r="BG59" s="178">
        <f t="shared" ref="BG59:BS59" si="438">BG58-BG57</f>
        <v>3969.5098103000009</v>
      </c>
      <c r="BH59" s="178">
        <f t="shared" si="438"/>
        <v>20</v>
      </c>
      <c r="BI59" s="178">
        <f t="shared" si="438"/>
        <v>19.5</v>
      </c>
      <c r="BJ59" s="178">
        <f t="shared" si="438"/>
        <v>2227.8019999999997</v>
      </c>
      <c r="BK59" s="178">
        <f t="shared" si="438"/>
        <v>2156.0424927999998</v>
      </c>
      <c r="BL59" s="178">
        <f t="shared" si="438"/>
        <v>0</v>
      </c>
      <c r="BM59" s="178">
        <f t="shared" si="438"/>
        <v>0</v>
      </c>
      <c r="BN59" s="178">
        <f t="shared" si="438"/>
        <v>0</v>
      </c>
      <c r="BO59" s="178">
        <f t="shared" si="438"/>
        <v>0</v>
      </c>
      <c r="BP59" s="178">
        <f t="shared" si="438"/>
        <v>0</v>
      </c>
      <c r="BQ59" s="178">
        <f t="shared" si="438"/>
        <v>0</v>
      </c>
      <c r="BR59" s="178">
        <f t="shared" si="438"/>
        <v>5408.5020000000004</v>
      </c>
      <c r="BS59" s="178">
        <f t="shared" si="438"/>
        <v>6145.0523031000002</v>
      </c>
      <c r="BT59" s="178">
        <f>BT58-BT57</f>
        <v>3178.244999999999</v>
      </c>
      <c r="BU59" s="178">
        <f t="shared" ref="BU59:CG59" si="439">BU58-BU57</f>
        <v>4128.3833945000006</v>
      </c>
      <c r="BV59" s="178">
        <f t="shared" si="439"/>
        <v>0</v>
      </c>
      <c r="BW59" s="178">
        <f t="shared" si="439"/>
        <v>0</v>
      </c>
      <c r="BX59" s="178">
        <f t="shared" si="439"/>
        <v>2015.6179999999999</v>
      </c>
      <c r="BY59" s="178">
        <f t="shared" si="439"/>
        <v>1945.1758113999997</v>
      </c>
      <c r="BZ59" s="178">
        <f t="shared" si="439"/>
        <v>0</v>
      </c>
      <c r="CA59" s="178">
        <f t="shared" si="439"/>
        <v>0</v>
      </c>
      <c r="CB59" s="178">
        <f t="shared" si="439"/>
        <v>0</v>
      </c>
      <c r="CC59" s="178">
        <f t="shared" si="439"/>
        <v>0</v>
      </c>
      <c r="CD59" s="178">
        <f t="shared" si="439"/>
        <v>0</v>
      </c>
      <c r="CE59" s="178">
        <f t="shared" si="439"/>
        <v>0</v>
      </c>
      <c r="CF59" s="178">
        <f t="shared" si="439"/>
        <v>5193.8629999999994</v>
      </c>
      <c r="CG59" s="178">
        <f t="shared" si="439"/>
        <v>6073.5592059000001</v>
      </c>
      <c r="CH59" s="178">
        <f>CH58-CH57</f>
        <v>2989.3260000000005</v>
      </c>
      <c r="CI59" s="178">
        <f t="shared" ref="CI59:CU59" si="440">CI58-CI57</f>
        <v>4235.5453952999997</v>
      </c>
      <c r="CJ59" s="178">
        <f t="shared" si="440"/>
        <v>0</v>
      </c>
      <c r="CK59" s="178">
        <f t="shared" si="440"/>
        <v>0</v>
      </c>
      <c r="CL59" s="178">
        <f t="shared" si="440"/>
        <v>1814.4239999999998</v>
      </c>
      <c r="CM59" s="178">
        <f t="shared" si="440"/>
        <v>1857.4326185000002</v>
      </c>
      <c r="CN59" s="178">
        <f t="shared" si="440"/>
        <v>0</v>
      </c>
      <c r="CO59" s="178">
        <f t="shared" si="440"/>
        <v>0</v>
      </c>
      <c r="CP59" s="178">
        <f t="shared" si="440"/>
        <v>0</v>
      </c>
      <c r="CQ59" s="178">
        <f t="shared" si="440"/>
        <v>0</v>
      </c>
      <c r="CR59" s="178">
        <f t="shared" si="440"/>
        <v>0</v>
      </c>
      <c r="CS59" s="178">
        <f t="shared" si="440"/>
        <v>0</v>
      </c>
      <c r="CT59" s="178">
        <f t="shared" si="440"/>
        <v>4803.7500000000009</v>
      </c>
      <c r="CU59" s="178">
        <f t="shared" si="440"/>
        <v>6092.9780137999996</v>
      </c>
      <c r="CV59" s="178">
        <f>CV58-CV57</f>
        <v>0</v>
      </c>
      <c r="CW59" s="178">
        <f t="shared" ref="CW59:DI59" si="441">CW58-CW57</f>
        <v>0</v>
      </c>
      <c r="CX59" s="178">
        <f t="shared" si="441"/>
        <v>0</v>
      </c>
      <c r="CY59" s="178">
        <f t="shared" si="441"/>
        <v>0</v>
      </c>
      <c r="CZ59" s="178">
        <f t="shared" si="441"/>
        <v>0</v>
      </c>
      <c r="DA59" s="178">
        <f t="shared" si="441"/>
        <v>0</v>
      </c>
      <c r="DB59" s="178">
        <f t="shared" si="441"/>
        <v>-184.185</v>
      </c>
      <c r="DC59" s="178">
        <f t="shared" si="441"/>
        <v>-200.9117723</v>
      </c>
      <c r="DD59" s="178">
        <f t="shared" si="441"/>
        <v>0</v>
      </c>
      <c r="DE59" s="178">
        <f t="shared" si="441"/>
        <v>0</v>
      </c>
      <c r="DF59" s="178">
        <f t="shared" si="441"/>
        <v>-45.192</v>
      </c>
      <c r="DG59" s="178">
        <f t="shared" si="441"/>
        <v>-64.332921400000004</v>
      </c>
      <c r="DH59" s="178">
        <f t="shared" si="441"/>
        <v>4054.1960000000004</v>
      </c>
      <c r="DI59" s="178">
        <f t="shared" si="441"/>
        <v>4923.2687690000002</v>
      </c>
      <c r="DJ59" s="178">
        <f t="shared" ref="DJ59" si="442">DJ58-DJ57</f>
        <v>0</v>
      </c>
      <c r="DK59" s="178">
        <f t="shared" ref="DK59" si="443">DK58-DK57</f>
        <v>0</v>
      </c>
      <c r="DL59" s="178">
        <f t="shared" ref="DL59" si="444">DL58-DL57</f>
        <v>0</v>
      </c>
      <c r="DM59" s="178">
        <f t="shared" ref="DM59" si="445">DM58-DM57</f>
        <v>0</v>
      </c>
      <c r="DN59" s="178">
        <f t="shared" ref="DN59" si="446">DN58-DN57</f>
        <v>0</v>
      </c>
      <c r="DO59" s="178">
        <f t="shared" ref="DO59" si="447">DO58-DO57</f>
        <v>0</v>
      </c>
      <c r="DP59" s="178">
        <f t="shared" ref="DP59" si="448">DP58-DP57</f>
        <v>-196.745</v>
      </c>
      <c r="DQ59" s="178">
        <f t="shared" ref="DQ59" si="449">DQ58-DQ57</f>
        <v>-109.82341950000001</v>
      </c>
      <c r="DR59" s="178">
        <f t="shared" ref="DR59" si="450">DR58-DR57</f>
        <v>-30</v>
      </c>
      <c r="DS59" s="178">
        <f t="shared" ref="DS59" si="451">DS58-DS57</f>
        <v>-72.900000000000006</v>
      </c>
      <c r="DT59" s="178">
        <f t="shared" ref="DT59" si="452">DT58-DT57</f>
        <v>-5.5</v>
      </c>
      <c r="DU59" s="178">
        <f t="shared" ref="DU59:DW59" si="453">DU58-DU57</f>
        <v>-18.893439600000001</v>
      </c>
      <c r="DV59" s="178">
        <f t="shared" si="453"/>
        <v>4764.4410000000007</v>
      </c>
      <c r="DW59" s="178">
        <f t="shared" si="453"/>
        <v>6052.6845902999994</v>
      </c>
      <c r="DX59" s="178">
        <f t="shared" ref="DX59" si="454">DX58-DX57</f>
        <v>0</v>
      </c>
      <c r="DY59" s="178">
        <f t="shared" ref="DY59" si="455">DY58-DY57</f>
        <v>0</v>
      </c>
      <c r="DZ59" s="178">
        <f t="shared" ref="DZ59" si="456">DZ58-DZ57</f>
        <v>0</v>
      </c>
      <c r="EA59" s="178">
        <f t="shared" ref="EA59" si="457">EA58-EA57</f>
        <v>0</v>
      </c>
      <c r="EB59" s="178">
        <f t="shared" ref="EB59" si="458">EB58-EB57</f>
        <v>0</v>
      </c>
      <c r="EC59" s="178">
        <f t="shared" ref="EC59" si="459">EC58-EC57</f>
        <v>0</v>
      </c>
      <c r="ED59" s="178">
        <f t="shared" ref="ED59" si="460">ED58-ED57</f>
        <v>0</v>
      </c>
      <c r="EE59" s="178">
        <f t="shared" ref="EE59" si="461">EE58-EE57</f>
        <v>0</v>
      </c>
      <c r="EF59" s="178">
        <f t="shared" ref="EF59" si="462">EF58-EF57</f>
        <v>0</v>
      </c>
      <c r="EG59" s="178">
        <f t="shared" ref="EG59" si="463">EG58-EG57</f>
        <v>0</v>
      </c>
      <c r="EH59" s="178">
        <f t="shared" ref="EH59" si="464">EH58-EH57</f>
        <v>0</v>
      </c>
      <c r="EI59" s="178">
        <f t="shared" ref="EI59" si="465">EI58-EI57</f>
        <v>0</v>
      </c>
      <c r="EJ59" s="178">
        <f t="shared" ref="EJ59" si="466">EJ58-EJ57</f>
        <v>0</v>
      </c>
      <c r="EK59" s="178">
        <f t="shared" ref="EK59" si="467">EK58-EK57</f>
        <v>0</v>
      </c>
      <c r="EL59" s="178">
        <f t="shared" ref="EL59" si="468">EL58-EL57</f>
        <v>0</v>
      </c>
      <c r="EM59" s="178">
        <f t="shared" ref="EM59" si="469">EM58-EM57</f>
        <v>0</v>
      </c>
      <c r="EN59" s="178">
        <f t="shared" ref="EN59" si="470">EN58-EN57</f>
        <v>0</v>
      </c>
      <c r="EO59" s="178">
        <f t="shared" ref="EO59" si="471">EO58-EO57</f>
        <v>0</v>
      </c>
      <c r="EP59" s="178">
        <f t="shared" ref="EP59" si="472">EP58-EP57</f>
        <v>0</v>
      </c>
      <c r="EQ59" s="178">
        <f t="shared" ref="EQ59" si="473">EQ58-EQ57</f>
        <v>0</v>
      </c>
      <c r="ER59" s="178">
        <f t="shared" ref="ER59" si="474">ER58-ER57</f>
        <v>0</v>
      </c>
      <c r="ES59" s="178">
        <f t="shared" ref="ES59" si="475">ES58-ES57</f>
        <v>0</v>
      </c>
      <c r="ET59" s="178">
        <f t="shared" ref="ET59" si="476">ET58-ET57</f>
        <v>0</v>
      </c>
      <c r="EU59" s="178">
        <f t="shared" ref="EU59" si="477">EU58-EU57</f>
        <v>0</v>
      </c>
      <c r="EV59" s="178">
        <f t="shared" ref="EV59" si="478">EV58-EV57</f>
        <v>0</v>
      </c>
      <c r="EW59" s="178">
        <f t="shared" ref="EW59" si="479">EW58-EW57</f>
        <v>0</v>
      </c>
      <c r="EX59" s="178">
        <f t="shared" ref="EX59" si="480">EX58-EX57</f>
        <v>0</v>
      </c>
      <c r="EY59" s="178">
        <f t="shared" ref="EY59" si="481">EY58-EY57</f>
        <v>0</v>
      </c>
      <c r="EZ59" s="178">
        <f t="shared" ref="EZ59" si="482">EZ58-EZ57</f>
        <v>0</v>
      </c>
      <c r="FA59" s="178">
        <f t="shared" ref="FA59" si="483">FA58-FA57</f>
        <v>0</v>
      </c>
      <c r="FB59" s="178">
        <f t="shared" ref="FB59" si="484">FB58-FB57</f>
        <v>0</v>
      </c>
      <c r="FC59" s="178">
        <f t="shared" ref="FC59" si="485">FC58-FC57</f>
        <v>0</v>
      </c>
      <c r="FD59" s="178">
        <f t="shared" ref="FD59" si="486">FD58-FD57</f>
        <v>0</v>
      </c>
      <c r="FE59" s="178">
        <f t="shared" ref="FE59" si="487">FE58-FE57</f>
        <v>0</v>
      </c>
      <c r="FF59" s="178">
        <f t="shared" ref="FF59" si="488">FF58-FF57</f>
        <v>0</v>
      </c>
      <c r="FG59" s="178">
        <f t="shared" ref="FG59" si="489">FG58-FG57</f>
        <v>0</v>
      </c>
      <c r="FH59" s="178">
        <f t="shared" ref="FH59" si="490">FH58-FH57</f>
        <v>0</v>
      </c>
      <c r="FI59" s="178">
        <f t="shared" ref="FI59" si="491">FI58-FI57</f>
        <v>0</v>
      </c>
      <c r="FJ59" s="178">
        <f t="shared" ref="FJ59" si="492">FJ58-FJ57</f>
        <v>0</v>
      </c>
      <c r="FK59" s="178">
        <f t="shared" ref="FK59" si="493">FK58-FK57</f>
        <v>0</v>
      </c>
      <c r="FL59" s="178">
        <f t="shared" ref="FL59" si="494">FL58-FL57</f>
        <v>0</v>
      </c>
      <c r="FM59" s="178">
        <f t="shared" ref="FM59:FU59" si="495">FM58-FM57</f>
        <v>0</v>
      </c>
      <c r="FN59" s="178">
        <f t="shared" si="495"/>
        <v>26183.776000000005</v>
      </c>
      <c r="FO59" s="178">
        <f t="shared" si="495"/>
        <v>32515.641424000005</v>
      </c>
      <c r="FP59" s="178">
        <f t="shared" si="495"/>
        <v>46.7</v>
      </c>
      <c r="FQ59" s="178">
        <f t="shared" si="495"/>
        <v>45.532499999999999</v>
      </c>
      <c r="FR59" s="178">
        <f t="shared" si="495"/>
        <v>16699.785</v>
      </c>
      <c r="FS59" s="178">
        <f t="shared" si="495"/>
        <v>16353.258767400002</v>
      </c>
      <c r="FT59" s="178">
        <f t="shared" si="495"/>
        <v>42930.260999999999</v>
      </c>
      <c r="FU59" s="178">
        <f t="shared" si="495"/>
        <v>48914.432691400005</v>
      </c>
      <c r="FW59" s="149" t="s">
        <v>51</v>
      </c>
      <c r="FX59" s="231">
        <f t="shared" si="415"/>
        <v>124182.39991054001</v>
      </c>
      <c r="FY59" s="231">
        <f t="shared" si="416"/>
        <v>97500</v>
      </c>
      <c r="FZ59" s="231">
        <f t="shared" si="417"/>
        <v>97924.96590465089</v>
      </c>
      <c r="GA59" s="231">
        <f t="shared" si="418"/>
        <v>113939.28560415695</v>
      </c>
    </row>
    <row r="60" spans="1:183"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>
        <v>0</v>
      </c>
      <c r="AW60" s="180"/>
      <c r="AX60" s="180"/>
      <c r="AY60" s="180"/>
      <c r="AZ60" s="180"/>
      <c r="BA60" s="180"/>
      <c r="BB60" s="180"/>
      <c r="BC60" s="180"/>
      <c r="BD60" s="180"/>
      <c r="BE60" s="180"/>
      <c r="BF60" s="180"/>
      <c r="BG60" s="180"/>
      <c r="BH60" s="180"/>
      <c r="BI60" s="180"/>
      <c r="BJ60" s="180"/>
      <c r="BK60" s="180"/>
      <c r="BL60" s="180"/>
      <c r="BM60" s="180"/>
      <c r="BN60" s="180"/>
      <c r="BO60" s="180"/>
      <c r="BP60" s="180"/>
      <c r="BQ60" s="180"/>
      <c r="BR60" s="180"/>
      <c r="BS60" s="180"/>
      <c r="BT60" s="180"/>
      <c r="BU60" s="180"/>
      <c r="BV60" s="180"/>
      <c r="BW60" s="180"/>
      <c r="BX60" s="180"/>
      <c r="BY60" s="180"/>
      <c r="BZ60" s="180"/>
      <c r="CA60" s="180"/>
      <c r="CB60" s="180"/>
      <c r="CC60" s="180"/>
      <c r="CD60" s="180"/>
      <c r="CE60" s="180"/>
      <c r="CF60" s="180"/>
      <c r="CG60" s="180"/>
      <c r="CH60" s="180"/>
      <c r="CI60" s="180"/>
      <c r="CJ60" s="180"/>
      <c r="CK60" s="180"/>
      <c r="CL60" s="180"/>
      <c r="CM60" s="180"/>
      <c r="CN60" s="180"/>
      <c r="CO60" s="180"/>
      <c r="CP60" s="180"/>
      <c r="CQ60" s="180"/>
      <c r="CR60" s="180"/>
      <c r="CS60" s="180"/>
      <c r="CT60" s="180"/>
      <c r="CU60" s="180"/>
      <c r="CV60" s="180"/>
      <c r="FT60" s="154"/>
    </row>
    <row r="61" spans="1:183">
      <c r="A61" s="350">
        <v>42461</v>
      </c>
      <c r="B61" s="349">
        <f>B59</f>
        <v>1785.0550000000001</v>
      </c>
      <c r="C61" s="349">
        <f t="shared" ref="C61:O61" si="496">C59</f>
        <v>1733.2590625</v>
      </c>
      <c r="D61" s="349">
        <f t="shared" si="496"/>
        <v>0</v>
      </c>
      <c r="E61" s="349">
        <f t="shared" si="496"/>
        <v>0</v>
      </c>
      <c r="F61" s="349">
        <f t="shared" si="496"/>
        <v>901.71799999999985</v>
      </c>
      <c r="G61" s="349">
        <f t="shared" si="496"/>
        <v>761.85951230000001</v>
      </c>
      <c r="H61" s="349">
        <f t="shared" si="496"/>
        <v>0</v>
      </c>
      <c r="I61" s="349">
        <f t="shared" si="496"/>
        <v>0</v>
      </c>
      <c r="J61" s="349">
        <f t="shared" si="496"/>
        <v>0</v>
      </c>
      <c r="K61" s="349">
        <f t="shared" si="496"/>
        <v>0</v>
      </c>
      <c r="L61" s="349">
        <f t="shared" si="496"/>
        <v>0</v>
      </c>
      <c r="M61" s="349">
        <f t="shared" si="496"/>
        <v>0</v>
      </c>
      <c r="N61" s="349">
        <f t="shared" si="496"/>
        <v>2686.7730000000001</v>
      </c>
      <c r="O61" s="349">
        <f t="shared" si="496"/>
        <v>2495.1185748000003</v>
      </c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/>
      <c r="EW61" s="44"/>
      <c r="EX61" s="44"/>
      <c r="EY61" s="44"/>
      <c r="EZ61" s="44"/>
      <c r="FA61" s="44"/>
      <c r="FB61" s="44"/>
      <c r="FC61" s="44"/>
      <c r="FD61" s="44"/>
      <c r="FE61" s="44"/>
      <c r="FF61" s="44"/>
      <c r="FG61" s="44"/>
      <c r="FH61" s="44"/>
      <c r="FI61" s="44"/>
      <c r="FJ61" s="44"/>
      <c r="FK61" s="44"/>
      <c r="FL61" s="44"/>
      <c r="FM61" s="44"/>
      <c r="FN61" s="44"/>
      <c r="FO61" s="44"/>
      <c r="FP61" s="44"/>
      <c r="FQ61" s="44"/>
      <c r="FR61" s="44"/>
      <c r="FS61" s="44"/>
      <c r="FT61" s="44"/>
      <c r="FU61" s="44"/>
    </row>
    <row r="62" spans="1:183" s="44" customFormat="1">
      <c r="A62" s="350">
        <v>42491</v>
      </c>
      <c r="B62" s="349">
        <f t="shared" ref="B62:O62" si="497">P59</f>
        <v>2410.8849999999998</v>
      </c>
      <c r="C62" s="349">
        <f t="shared" si="497"/>
        <v>2682.413986399999</v>
      </c>
      <c r="D62" s="349">
        <f t="shared" si="497"/>
        <v>0</v>
      </c>
      <c r="E62" s="349">
        <f t="shared" si="497"/>
        <v>0</v>
      </c>
      <c r="F62" s="349">
        <f t="shared" si="497"/>
        <v>2419.3990000000003</v>
      </c>
      <c r="G62" s="349">
        <f t="shared" si="497"/>
        <v>2283.2363104999995</v>
      </c>
      <c r="H62" s="349">
        <f t="shared" si="497"/>
        <v>0</v>
      </c>
      <c r="I62" s="349">
        <f t="shared" si="497"/>
        <v>0</v>
      </c>
      <c r="J62" s="349">
        <f t="shared" si="497"/>
        <v>0</v>
      </c>
      <c r="K62" s="349">
        <f t="shared" si="497"/>
        <v>0</v>
      </c>
      <c r="L62" s="349">
        <f t="shared" si="497"/>
        <v>0</v>
      </c>
      <c r="M62" s="349">
        <f t="shared" si="497"/>
        <v>0</v>
      </c>
      <c r="N62" s="349">
        <f t="shared" si="497"/>
        <v>4830.2839999999997</v>
      </c>
      <c r="O62" s="349">
        <f t="shared" si="497"/>
        <v>4965.6502968999985</v>
      </c>
    </row>
    <row r="63" spans="1:183">
      <c r="A63" s="350">
        <v>42522</v>
      </c>
      <c r="B63" s="349">
        <f t="shared" ref="B63:O63" si="498">AD59</f>
        <v>3741.0650000000001</v>
      </c>
      <c r="C63" s="349">
        <f t="shared" si="498"/>
        <v>4146.1488279000005</v>
      </c>
      <c r="D63" s="349">
        <f t="shared" si="498"/>
        <v>0</v>
      </c>
      <c r="E63" s="349">
        <f t="shared" si="498"/>
        <v>0</v>
      </c>
      <c r="F63" s="349">
        <f t="shared" si="498"/>
        <v>1393.518</v>
      </c>
      <c r="G63" s="349">
        <f t="shared" si="498"/>
        <v>1363.0406075000003</v>
      </c>
      <c r="H63" s="349">
        <f t="shared" si="498"/>
        <v>0</v>
      </c>
      <c r="I63" s="349">
        <f t="shared" si="498"/>
        <v>0</v>
      </c>
      <c r="J63" s="349">
        <f t="shared" si="498"/>
        <v>0</v>
      </c>
      <c r="K63" s="349">
        <f t="shared" si="498"/>
        <v>0</v>
      </c>
      <c r="L63" s="349">
        <f t="shared" si="498"/>
        <v>0</v>
      </c>
      <c r="M63" s="349">
        <f t="shared" si="498"/>
        <v>0</v>
      </c>
      <c r="N63" s="349">
        <f t="shared" si="498"/>
        <v>5134.5830000000005</v>
      </c>
      <c r="O63" s="349">
        <f t="shared" si="498"/>
        <v>5509.1894354000005</v>
      </c>
      <c r="P63" s="44"/>
      <c r="Q63" s="44"/>
      <c r="FN63" s="134"/>
      <c r="FO63" s="134"/>
      <c r="FP63" s="134"/>
      <c r="FQ63" s="134"/>
      <c r="FR63" s="134"/>
      <c r="FS63" s="134"/>
      <c r="FT63" s="134"/>
      <c r="FU63" s="134"/>
    </row>
    <row r="64" spans="1:183">
      <c r="A64" s="350">
        <v>42552</v>
      </c>
      <c r="B64" s="349">
        <f>AR59</f>
        <v>4213.1200000000008</v>
      </c>
      <c r="C64" s="349">
        <f t="shared" ref="C64:O64" si="499">AS59</f>
        <v>4981.5401138999996</v>
      </c>
      <c r="D64" s="349">
        <f t="shared" si="499"/>
        <v>0</v>
      </c>
      <c r="E64" s="349">
        <f t="shared" si="499"/>
        <v>0</v>
      </c>
      <c r="F64" s="349">
        <f t="shared" si="499"/>
        <v>1840.7490000000003</v>
      </c>
      <c r="G64" s="349">
        <f t="shared" si="499"/>
        <v>1675.3913883000002</v>
      </c>
      <c r="H64" s="349">
        <f t="shared" si="499"/>
        <v>0</v>
      </c>
      <c r="I64" s="349">
        <f t="shared" si="499"/>
        <v>0</v>
      </c>
      <c r="J64" s="349">
        <f t="shared" si="499"/>
        <v>0</v>
      </c>
      <c r="K64" s="349">
        <f t="shared" si="499"/>
        <v>0</v>
      </c>
      <c r="L64" s="349">
        <f t="shared" si="499"/>
        <v>0</v>
      </c>
      <c r="M64" s="349">
        <f t="shared" si="499"/>
        <v>0</v>
      </c>
      <c r="N64" s="349">
        <f t="shared" si="499"/>
        <v>6053.8690000000006</v>
      </c>
      <c r="O64" s="349">
        <f t="shared" si="499"/>
        <v>6656.931502200001</v>
      </c>
      <c r="P64" s="44"/>
      <c r="Q64" s="44"/>
    </row>
    <row r="65" spans="1:17">
      <c r="A65" s="350">
        <v>42583</v>
      </c>
      <c r="B65" s="349">
        <f t="shared" ref="B65:O65" si="500">BF59</f>
        <v>3160.7000000000003</v>
      </c>
      <c r="C65" s="349">
        <f t="shared" si="500"/>
        <v>3969.5098103000009</v>
      </c>
      <c r="D65" s="349">
        <f t="shared" si="500"/>
        <v>20</v>
      </c>
      <c r="E65" s="349">
        <f t="shared" si="500"/>
        <v>19.5</v>
      </c>
      <c r="F65" s="349">
        <f t="shared" si="500"/>
        <v>2227.8019999999997</v>
      </c>
      <c r="G65" s="349">
        <f t="shared" si="500"/>
        <v>2156.0424927999998</v>
      </c>
      <c r="H65" s="349">
        <f t="shared" si="500"/>
        <v>0</v>
      </c>
      <c r="I65" s="349">
        <f t="shared" si="500"/>
        <v>0</v>
      </c>
      <c r="J65" s="349">
        <f t="shared" si="500"/>
        <v>0</v>
      </c>
      <c r="K65" s="349">
        <f t="shared" si="500"/>
        <v>0</v>
      </c>
      <c r="L65" s="349">
        <f t="shared" si="500"/>
        <v>0</v>
      </c>
      <c r="M65" s="349">
        <f t="shared" si="500"/>
        <v>0</v>
      </c>
      <c r="N65" s="349">
        <f t="shared" si="500"/>
        <v>5408.5020000000004</v>
      </c>
      <c r="O65" s="349">
        <f t="shared" si="500"/>
        <v>6145.0523031000002</v>
      </c>
      <c r="P65" s="44"/>
      <c r="Q65" s="44"/>
    </row>
    <row r="66" spans="1:17">
      <c r="A66" s="350">
        <v>42614</v>
      </c>
      <c r="B66" s="349">
        <f t="shared" ref="B66:O66" si="501">BT59</f>
        <v>3178.244999999999</v>
      </c>
      <c r="C66" s="349">
        <f t="shared" si="501"/>
        <v>4128.3833945000006</v>
      </c>
      <c r="D66" s="349">
        <f t="shared" si="501"/>
        <v>0</v>
      </c>
      <c r="E66" s="349">
        <f t="shared" si="501"/>
        <v>0</v>
      </c>
      <c r="F66" s="349">
        <f t="shared" si="501"/>
        <v>2015.6179999999999</v>
      </c>
      <c r="G66" s="349">
        <f t="shared" si="501"/>
        <v>1945.1758113999997</v>
      </c>
      <c r="H66" s="349">
        <f t="shared" si="501"/>
        <v>0</v>
      </c>
      <c r="I66" s="349">
        <f t="shared" si="501"/>
        <v>0</v>
      </c>
      <c r="J66" s="349">
        <f t="shared" si="501"/>
        <v>0</v>
      </c>
      <c r="K66" s="349">
        <f t="shared" si="501"/>
        <v>0</v>
      </c>
      <c r="L66" s="349">
        <f t="shared" si="501"/>
        <v>0</v>
      </c>
      <c r="M66" s="349">
        <f t="shared" si="501"/>
        <v>0</v>
      </c>
      <c r="N66" s="349">
        <f t="shared" si="501"/>
        <v>5193.8629999999994</v>
      </c>
      <c r="O66" s="349">
        <f t="shared" si="501"/>
        <v>6073.5592059000001</v>
      </c>
      <c r="P66" s="44"/>
      <c r="Q66" s="44"/>
    </row>
    <row r="67" spans="1:17">
      <c r="A67" s="350">
        <v>42644</v>
      </c>
      <c r="B67" s="349">
        <f t="shared" ref="B67:O67" si="502">CH59</f>
        <v>2989.3260000000005</v>
      </c>
      <c r="C67" s="349">
        <f t="shared" si="502"/>
        <v>4235.5453952999997</v>
      </c>
      <c r="D67" s="349">
        <f t="shared" si="502"/>
        <v>0</v>
      </c>
      <c r="E67" s="349">
        <f t="shared" si="502"/>
        <v>0</v>
      </c>
      <c r="F67" s="349">
        <f t="shared" si="502"/>
        <v>1814.4239999999998</v>
      </c>
      <c r="G67" s="349">
        <f t="shared" si="502"/>
        <v>1857.4326185000002</v>
      </c>
      <c r="H67" s="349">
        <f t="shared" si="502"/>
        <v>0</v>
      </c>
      <c r="I67" s="349">
        <f t="shared" si="502"/>
        <v>0</v>
      </c>
      <c r="J67" s="349">
        <f t="shared" si="502"/>
        <v>0</v>
      </c>
      <c r="K67" s="349">
        <f t="shared" si="502"/>
        <v>0</v>
      </c>
      <c r="L67" s="349">
        <f t="shared" si="502"/>
        <v>0</v>
      </c>
      <c r="M67" s="349">
        <f t="shared" si="502"/>
        <v>0</v>
      </c>
      <c r="N67" s="349">
        <f t="shared" si="502"/>
        <v>4803.7500000000009</v>
      </c>
      <c r="O67" s="349">
        <f t="shared" si="502"/>
        <v>6092.9780137999996</v>
      </c>
      <c r="P67" s="44"/>
      <c r="Q67" s="44"/>
    </row>
    <row r="68" spans="1:17">
      <c r="A68" s="350">
        <v>42675</v>
      </c>
      <c r="B68" s="349">
        <f t="shared" ref="B68" si="503">CH60</f>
        <v>0</v>
      </c>
      <c r="C68" s="349">
        <f t="shared" ref="C68" si="504">CI60</f>
        <v>0</v>
      </c>
      <c r="D68" s="349">
        <f t="shared" ref="D68" si="505">CJ60</f>
        <v>0</v>
      </c>
      <c r="E68" s="349">
        <f t="shared" ref="E68" si="506">CK60</f>
        <v>0</v>
      </c>
      <c r="F68" s="349">
        <f t="shared" ref="F68" si="507">CL60</f>
        <v>0</v>
      </c>
      <c r="G68" s="349">
        <f t="shared" ref="G68" si="508">CM60</f>
        <v>0</v>
      </c>
      <c r="H68" s="349">
        <f t="shared" ref="H68" si="509">CN60</f>
        <v>0</v>
      </c>
      <c r="I68" s="349">
        <f t="shared" ref="I68" si="510">CO60</f>
        <v>0</v>
      </c>
      <c r="J68" s="349">
        <f t="shared" ref="J68" si="511">CP60</f>
        <v>0</v>
      </c>
      <c r="K68" s="349">
        <f t="shared" ref="K68" si="512">CQ60</f>
        <v>0</v>
      </c>
      <c r="L68" s="349">
        <f t="shared" ref="L68" si="513">CR60</f>
        <v>0</v>
      </c>
      <c r="M68" s="349">
        <f t="shared" ref="M68" si="514">CS60</f>
        <v>0</v>
      </c>
      <c r="N68" s="349">
        <f t="shared" ref="N68" si="515">CT60</f>
        <v>0</v>
      </c>
      <c r="O68" s="349">
        <f t="shared" ref="O68" si="516">CU60</f>
        <v>0</v>
      </c>
      <c r="P68" s="44"/>
      <c r="Q68" s="44"/>
    </row>
    <row r="69" spans="1:17">
      <c r="B69" s="231">
        <f t="shared" ref="B69:G69" si="517">SUM(B61:B68)</f>
        <v>21478.396000000001</v>
      </c>
      <c r="C69" s="231">
        <f t="shared" si="517"/>
        <v>25876.800590800001</v>
      </c>
      <c r="D69" s="231">
        <f t="shared" si="517"/>
        <v>20</v>
      </c>
      <c r="E69" s="231">
        <f t="shared" si="517"/>
        <v>19.5</v>
      </c>
      <c r="F69" s="231">
        <f t="shared" si="517"/>
        <v>12613.227999999999</v>
      </c>
      <c r="G69" s="231">
        <f t="shared" si="517"/>
        <v>12042.178741300002</v>
      </c>
      <c r="H69" s="231">
        <f t="shared" ref="H69:O69" si="518">SUM(H61:H68)</f>
        <v>0</v>
      </c>
      <c r="I69" s="231">
        <f t="shared" si="518"/>
        <v>0</v>
      </c>
      <c r="J69" s="231">
        <f t="shared" si="518"/>
        <v>0</v>
      </c>
      <c r="K69" s="231">
        <f t="shared" si="518"/>
        <v>0</v>
      </c>
      <c r="L69" s="231">
        <f t="shared" si="518"/>
        <v>0</v>
      </c>
      <c r="M69" s="231">
        <f t="shared" si="518"/>
        <v>0</v>
      </c>
      <c r="N69" s="231">
        <f t="shared" si="518"/>
        <v>34111.623999999996</v>
      </c>
      <c r="O69" s="231">
        <f t="shared" si="518"/>
        <v>37938.479332100003</v>
      </c>
    </row>
  </sheetData>
  <mergeCells count="368">
    <mergeCell ref="FN48:FO48"/>
    <mergeCell ref="FP48:FQ48"/>
    <mergeCell ref="FR48:FS48"/>
    <mergeCell ref="FT48:FU48"/>
    <mergeCell ref="FB48:FC48"/>
    <mergeCell ref="FD48:FE48"/>
    <mergeCell ref="FF48:FG48"/>
    <mergeCell ref="FH48:FI48"/>
    <mergeCell ref="FJ48:FK48"/>
    <mergeCell ref="FL48:FM48"/>
    <mergeCell ref="EP48:EQ48"/>
    <mergeCell ref="ER48:ES48"/>
    <mergeCell ref="ET48:EU48"/>
    <mergeCell ref="EV48:EW48"/>
    <mergeCell ref="EX48:EY48"/>
    <mergeCell ref="EZ48:FA48"/>
    <mergeCell ref="ED48:EE48"/>
    <mergeCell ref="EF48:EG48"/>
    <mergeCell ref="EH48:EI48"/>
    <mergeCell ref="EJ48:EK48"/>
    <mergeCell ref="EL48:EM48"/>
    <mergeCell ref="EN48:EO48"/>
    <mergeCell ref="DR48:DS48"/>
    <mergeCell ref="DT48:DU48"/>
    <mergeCell ref="DV48:DW48"/>
    <mergeCell ref="DX48:DY48"/>
    <mergeCell ref="DZ48:EA48"/>
    <mergeCell ref="EB48:EC48"/>
    <mergeCell ref="DF48:DG48"/>
    <mergeCell ref="DH48:DI48"/>
    <mergeCell ref="DJ48:DK48"/>
    <mergeCell ref="DL48:DM48"/>
    <mergeCell ref="DN48:DO48"/>
    <mergeCell ref="DP48:DQ48"/>
    <mergeCell ref="CX48:CY48"/>
    <mergeCell ref="CZ48:DA48"/>
    <mergeCell ref="DB48:DC48"/>
    <mergeCell ref="DD48:DE48"/>
    <mergeCell ref="CH48:CI48"/>
    <mergeCell ref="CJ48:CK48"/>
    <mergeCell ref="CL48:CM48"/>
    <mergeCell ref="CN48:CO48"/>
    <mergeCell ref="CP48:CQ48"/>
    <mergeCell ref="CR48:CS48"/>
    <mergeCell ref="CF48:CG48"/>
    <mergeCell ref="AR48:AS48"/>
    <mergeCell ref="AT48:AU48"/>
    <mergeCell ref="AV48:AW48"/>
    <mergeCell ref="BD48:BE48"/>
    <mergeCell ref="BF48:BG48"/>
    <mergeCell ref="BH48:BI48"/>
    <mergeCell ref="CT48:CU48"/>
    <mergeCell ref="CV48:CW48"/>
    <mergeCell ref="X48:Y48"/>
    <mergeCell ref="Z48:AA48"/>
    <mergeCell ref="AB48:AC48"/>
    <mergeCell ref="AD48:AE48"/>
    <mergeCell ref="BJ48:BK48"/>
    <mergeCell ref="BR48:BS48"/>
    <mergeCell ref="BT48:BU48"/>
    <mergeCell ref="BV48:BW48"/>
    <mergeCell ref="BX48:BY48"/>
    <mergeCell ref="FN47:FU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CH47:CU47"/>
    <mergeCell ref="CV47:DI47"/>
    <mergeCell ref="DJ47:DW47"/>
    <mergeCell ref="DX47:EK47"/>
    <mergeCell ref="EL47:EY47"/>
    <mergeCell ref="EZ47:FM47"/>
    <mergeCell ref="AF48:AG48"/>
    <mergeCell ref="AH48:AI48"/>
    <mergeCell ref="AJ48:AK48"/>
    <mergeCell ref="AL48:AM48"/>
    <mergeCell ref="AN48:AO48"/>
    <mergeCell ref="AP48:AQ48"/>
    <mergeCell ref="T48:U48"/>
    <mergeCell ref="V48:W48"/>
    <mergeCell ref="FN33:FO33"/>
    <mergeCell ref="FP33:FQ33"/>
    <mergeCell ref="FR33:FS33"/>
    <mergeCell ref="FT33:FU33"/>
    <mergeCell ref="B47:O47"/>
    <mergeCell ref="P47:AC47"/>
    <mergeCell ref="AD47:AQ47"/>
    <mergeCell ref="AR47:BE47"/>
    <mergeCell ref="BF47:BS47"/>
    <mergeCell ref="BT47:CG47"/>
    <mergeCell ref="FB33:FC33"/>
    <mergeCell ref="FD33:FE33"/>
    <mergeCell ref="FF33:FG33"/>
    <mergeCell ref="FH33:FI33"/>
    <mergeCell ref="FJ33:FK33"/>
    <mergeCell ref="FL33:FM33"/>
    <mergeCell ref="EP33:EQ33"/>
    <mergeCell ref="ER33:ES33"/>
    <mergeCell ref="ET33:EU33"/>
    <mergeCell ref="EV33:EW33"/>
    <mergeCell ref="EX33:EY33"/>
    <mergeCell ref="EZ33:FA33"/>
    <mergeCell ref="ED33:EE33"/>
    <mergeCell ref="EF33:EG33"/>
    <mergeCell ref="EH33:EI33"/>
    <mergeCell ref="EJ33:EK33"/>
    <mergeCell ref="EL33:EM33"/>
    <mergeCell ref="EN33:EO33"/>
    <mergeCell ref="DR33:DS33"/>
    <mergeCell ref="DT33:DU33"/>
    <mergeCell ref="DV33:DW33"/>
    <mergeCell ref="DX33:DY33"/>
    <mergeCell ref="DZ33:EA33"/>
    <mergeCell ref="EB33:EC33"/>
    <mergeCell ref="DF33:DG33"/>
    <mergeCell ref="DH33:DI33"/>
    <mergeCell ref="DJ33:DK33"/>
    <mergeCell ref="DL33:DM33"/>
    <mergeCell ref="DN33:DO33"/>
    <mergeCell ref="DP33:DQ33"/>
    <mergeCell ref="CT33:CU33"/>
    <mergeCell ref="CV33:CW33"/>
    <mergeCell ref="CX33:CY33"/>
    <mergeCell ref="CZ33:DA33"/>
    <mergeCell ref="DB33:DC33"/>
    <mergeCell ref="DD33:DE33"/>
    <mergeCell ref="CH33:CI33"/>
    <mergeCell ref="CJ33:CK33"/>
    <mergeCell ref="CL33:CM33"/>
    <mergeCell ref="CN33:CO33"/>
    <mergeCell ref="CP33:CQ33"/>
    <mergeCell ref="CR33:CS33"/>
    <mergeCell ref="BJ33:BK33"/>
    <mergeCell ref="BR33:BS33"/>
    <mergeCell ref="BT33:BU33"/>
    <mergeCell ref="BV33:BW33"/>
    <mergeCell ref="BX33:BY33"/>
    <mergeCell ref="CF33:CG33"/>
    <mergeCell ref="AV33:AW33"/>
    <mergeCell ref="BD33:BE33"/>
    <mergeCell ref="BF33:BG33"/>
    <mergeCell ref="BH33:BI33"/>
    <mergeCell ref="AF33:AG33"/>
    <mergeCell ref="AH33:AI33"/>
    <mergeCell ref="AJ33:AK33"/>
    <mergeCell ref="AL33:AM33"/>
    <mergeCell ref="AN33:AO33"/>
    <mergeCell ref="AP33:AQ33"/>
    <mergeCell ref="T33:U33"/>
    <mergeCell ref="V33:W33"/>
    <mergeCell ref="X33:Y33"/>
    <mergeCell ref="Z33:AA33"/>
    <mergeCell ref="AB33:AC33"/>
    <mergeCell ref="AD33:AE33"/>
    <mergeCell ref="FN32:FU32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CH32:CU32"/>
    <mergeCell ref="CV32:DI32"/>
    <mergeCell ref="DJ32:DW32"/>
    <mergeCell ref="DX32:EK32"/>
    <mergeCell ref="EL32:EY32"/>
    <mergeCell ref="EZ32:FM32"/>
    <mergeCell ref="AR33:AS33"/>
    <mergeCell ref="AT33:AU33"/>
    <mergeCell ref="FN18:FO18"/>
    <mergeCell ref="FP18:FQ18"/>
    <mergeCell ref="FR18:FS18"/>
    <mergeCell ref="FT18:FU18"/>
    <mergeCell ref="B32:O32"/>
    <mergeCell ref="P32:AC32"/>
    <mergeCell ref="AD32:AQ32"/>
    <mergeCell ref="AR32:BE32"/>
    <mergeCell ref="BF32:BS32"/>
    <mergeCell ref="BT32:CG32"/>
    <mergeCell ref="FB18:FC18"/>
    <mergeCell ref="FD18:FE18"/>
    <mergeCell ref="FF18:FG18"/>
    <mergeCell ref="FH18:FI18"/>
    <mergeCell ref="FJ18:FK18"/>
    <mergeCell ref="FL18:FM18"/>
    <mergeCell ref="EP18:EQ18"/>
    <mergeCell ref="ER18:ES18"/>
    <mergeCell ref="ET18:EU18"/>
    <mergeCell ref="EV18:EW18"/>
    <mergeCell ref="EX18:EY18"/>
    <mergeCell ref="EZ18:FA18"/>
    <mergeCell ref="ED18:EE18"/>
    <mergeCell ref="EF18:EG18"/>
    <mergeCell ref="EH18:EI18"/>
    <mergeCell ref="EJ18:EK18"/>
    <mergeCell ref="EL18:EM18"/>
    <mergeCell ref="EN18:EO18"/>
    <mergeCell ref="DR18:DS18"/>
    <mergeCell ref="DT18:DU18"/>
    <mergeCell ref="DV18:DW18"/>
    <mergeCell ref="DX18:DY18"/>
    <mergeCell ref="DZ18:EA18"/>
    <mergeCell ref="EB18:EC18"/>
    <mergeCell ref="DF18:DG18"/>
    <mergeCell ref="DH18:DI18"/>
    <mergeCell ref="DJ18:DK18"/>
    <mergeCell ref="DL18:DM18"/>
    <mergeCell ref="DN18:DO18"/>
    <mergeCell ref="DP18:DQ18"/>
    <mergeCell ref="CT18:CU18"/>
    <mergeCell ref="CV18:CW18"/>
    <mergeCell ref="CX18:CY18"/>
    <mergeCell ref="CZ18:DA18"/>
    <mergeCell ref="DB18:DC18"/>
    <mergeCell ref="DD18:DE18"/>
    <mergeCell ref="CH18:CI18"/>
    <mergeCell ref="CJ18:CK18"/>
    <mergeCell ref="CL18:CM18"/>
    <mergeCell ref="CN18:CO18"/>
    <mergeCell ref="CP18:CQ18"/>
    <mergeCell ref="CR18:CS18"/>
    <mergeCell ref="BJ18:BK18"/>
    <mergeCell ref="BR18:BS18"/>
    <mergeCell ref="BT18:BU18"/>
    <mergeCell ref="BV18:BW18"/>
    <mergeCell ref="BX18:BY18"/>
    <mergeCell ref="CF18:CG18"/>
    <mergeCell ref="AV18:AW18"/>
    <mergeCell ref="BD18:BE18"/>
    <mergeCell ref="BF18:BG18"/>
    <mergeCell ref="BH18:BI18"/>
    <mergeCell ref="AF18:AG18"/>
    <mergeCell ref="AH18:AI18"/>
    <mergeCell ref="AJ18:AK18"/>
    <mergeCell ref="AL18:AM18"/>
    <mergeCell ref="AN18:AO18"/>
    <mergeCell ref="AP18:AQ18"/>
    <mergeCell ref="T18:U18"/>
    <mergeCell ref="V18:W18"/>
    <mergeCell ref="X18:Y18"/>
    <mergeCell ref="Z18:AA18"/>
    <mergeCell ref="AB18:AC18"/>
    <mergeCell ref="AD18:AE18"/>
    <mergeCell ref="FN17:F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CH17:CU17"/>
    <mergeCell ref="CV17:DI17"/>
    <mergeCell ref="DJ17:DW17"/>
    <mergeCell ref="DX17:EK17"/>
    <mergeCell ref="EL17:EY17"/>
    <mergeCell ref="EZ17:FM17"/>
    <mergeCell ref="AR18:AS18"/>
    <mergeCell ref="AT18:AU18"/>
    <mergeCell ref="FN3:FO3"/>
    <mergeCell ref="FP3:FQ3"/>
    <mergeCell ref="FR3:FS3"/>
    <mergeCell ref="FT3:FU3"/>
    <mergeCell ref="B17:O17"/>
    <mergeCell ref="P17:AC17"/>
    <mergeCell ref="AD17:AQ17"/>
    <mergeCell ref="AR17:BE17"/>
    <mergeCell ref="BF17:BS17"/>
    <mergeCell ref="BT17:CG17"/>
    <mergeCell ref="FB3:FC3"/>
    <mergeCell ref="FD3:FE3"/>
    <mergeCell ref="FF3:FG3"/>
    <mergeCell ref="FH3:FI3"/>
    <mergeCell ref="FJ3:FK3"/>
    <mergeCell ref="FL3:FM3"/>
    <mergeCell ref="EP3:EQ3"/>
    <mergeCell ref="ER3:ES3"/>
    <mergeCell ref="ET3:EU3"/>
    <mergeCell ref="EV3:EW3"/>
    <mergeCell ref="EX3:EY3"/>
    <mergeCell ref="EZ3:FA3"/>
    <mergeCell ref="ED3:EE3"/>
    <mergeCell ref="EF3:EG3"/>
    <mergeCell ref="EH3:EI3"/>
    <mergeCell ref="EJ3:EK3"/>
    <mergeCell ref="EL3:EM3"/>
    <mergeCell ref="EN3:EO3"/>
    <mergeCell ref="DR3:DS3"/>
    <mergeCell ref="DT3:DU3"/>
    <mergeCell ref="DV3:DW3"/>
    <mergeCell ref="DX3:DY3"/>
    <mergeCell ref="DZ3:EA3"/>
    <mergeCell ref="EB3:EC3"/>
    <mergeCell ref="DF3:DG3"/>
    <mergeCell ref="DH3:DI3"/>
    <mergeCell ref="DJ3:DK3"/>
    <mergeCell ref="DL3:DM3"/>
    <mergeCell ref="DN3:DO3"/>
    <mergeCell ref="DP3:DQ3"/>
    <mergeCell ref="CT3:CU3"/>
    <mergeCell ref="CV3:CW3"/>
    <mergeCell ref="CX3:CY3"/>
    <mergeCell ref="CZ3:DA3"/>
    <mergeCell ref="DB3:DC3"/>
    <mergeCell ref="DD3:DE3"/>
    <mergeCell ref="CH3:CI3"/>
    <mergeCell ref="CJ3:CK3"/>
    <mergeCell ref="CL3:CM3"/>
    <mergeCell ref="CN3:CO3"/>
    <mergeCell ref="CP3:CQ3"/>
    <mergeCell ref="CR3:CS3"/>
    <mergeCell ref="BJ3:BK3"/>
    <mergeCell ref="BR3:BS3"/>
    <mergeCell ref="BT3:BU3"/>
    <mergeCell ref="BV3:BW3"/>
    <mergeCell ref="BX3:BY3"/>
    <mergeCell ref="CF3:CG3"/>
    <mergeCell ref="FN2:FU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CH2:CU2"/>
    <mergeCell ref="CV2:DI2"/>
    <mergeCell ref="DJ2:DW2"/>
    <mergeCell ref="DX2:EK2"/>
    <mergeCell ref="EL2:EY2"/>
    <mergeCell ref="EZ2:FM2"/>
    <mergeCell ref="B2:O2"/>
    <mergeCell ref="P2:AC2"/>
    <mergeCell ref="AR3:AS3"/>
    <mergeCell ref="AT3:AU3"/>
    <mergeCell ref="AV3:AW3"/>
    <mergeCell ref="BD3:BE3"/>
    <mergeCell ref="BF3:BG3"/>
    <mergeCell ref="BH3:BI3"/>
    <mergeCell ref="AD2:AQ2"/>
    <mergeCell ref="AR2:BE2"/>
    <mergeCell ref="BF2:BS2"/>
    <mergeCell ref="BT2:CG2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CV78"/>
  <sheetViews>
    <sheetView showGridLines="0" zoomScaleNormal="100" zoomScaleSheetLayoutView="98" workbookViewId="0">
      <selection activeCell="C6" sqref="C6"/>
    </sheetView>
  </sheetViews>
  <sheetFormatPr defaultRowHeight="12"/>
  <cols>
    <col min="1" max="1" width="13.7109375" style="35" bestFit="1" customWidth="1"/>
    <col min="2" max="2" width="15" style="35" customWidth="1"/>
    <col min="3" max="3" width="10" style="35" customWidth="1"/>
    <col min="4" max="4" width="12" style="35" bestFit="1" customWidth="1"/>
    <col min="5" max="6" width="10.140625" style="35" customWidth="1"/>
    <col min="7" max="7" width="10.7109375" style="35" bestFit="1" customWidth="1"/>
    <col min="8" max="8" width="7.7109375" style="35" bestFit="1" customWidth="1"/>
    <col min="9" max="9" width="10.140625" style="47" customWidth="1"/>
    <col min="10" max="10" width="10" style="35" customWidth="1"/>
    <col min="11" max="11" width="13.7109375" style="35" customWidth="1"/>
    <col min="12" max="15" width="13.5703125" style="35" customWidth="1"/>
    <col min="16" max="16" width="12" style="35" customWidth="1"/>
    <col min="17" max="17" width="11" style="35" customWidth="1"/>
    <col min="18" max="18" width="13.5703125" style="35" customWidth="1"/>
    <col min="19" max="19" width="11" style="35" hidden="1" customWidth="1"/>
    <col min="20" max="20" width="13.7109375" style="35" hidden="1" customWidth="1"/>
    <col min="21" max="24" width="13.5703125" style="35" hidden="1" customWidth="1"/>
    <col min="25" max="25" width="12" style="35" hidden="1" customWidth="1"/>
    <col min="26" max="26" width="11" style="35" hidden="1" customWidth="1"/>
    <col min="27" max="28" width="13.5703125" style="35" hidden="1" customWidth="1"/>
    <col min="29" max="29" width="13.7109375" style="35" hidden="1" customWidth="1"/>
    <col min="30" max="32" width="13.5703125" style="35" hidden="1" customWidth="1"/>
    <col min="33" max="33" width="12" style="35" hidden="1" customWidth="1"/>
    <col min="34" max="34" width="11" style="35" hidden="1" customWidth="1"/>
    <col min="35" max="36" width="13.5703125" style="35" hidden="1" customWidth="1"/>
    <col min="37" max="37" width="3.85546875" style="181" hidden="1" customWidth="1"/>
    <col min="38" max="38" width="9.140625" style="35" hidden="1" customWidth="1"/>
    <col min="39" max="39" width="15" style="35" hidden="1" customWidth="1"/>
    <col min="40" max="40" width="14.5703125" style="35" hidden="1" customWidth="1"/>
    <col min="41" max="42" width="15.5703125" style="35" hidden="1" customWidth="1"/>
    <col min="43" max="43" width="11.5703125" style="35" hidden="1" customWidth="1"/>
    <col min="44" max="44" width="10" style="35" hidden="1" customWidth="1"/>
    <col min="45" max="45" width="11.7109375" style="35" hidden="1" customWidth="1"/>
    <col min="46" max="46" width="12.42578125" style="35" hidden="1" customWidth="1"/>
    <col min="47" max="48" width="11.28515625" style="35" hidden="1" customWidth="1"/>
    <col min="49" max="49" width="10.85546875" style="35" hidden="1" customWidth="1"/>
    <col min="50" max="51" width="15.5703125" style="35" hidden="1" customWidth="1"/>
    <col min="52" max="52" width="10.42578125" style="35" hidden="1" customWidth="1"/>
    <col min="53" max="53" width="9.140625" style="35" hidden="1" customWidth="1"/>
    <col min="54" max="54" width="13.7109375" style="35" hidden="1" customWidth="1"/>
    <col min="55" max="55" width="14.42578125" style="35" hidden="1" customWidth="1"/>
    <col min="56" max="57" width="15.7109375" style="35" hidden="1" customWidth="1"/>
    <col min="58" max="58" width="11.42578125" style="35" hidden="1" customWidth="1"/>
    <col min="59" max="59" width="14.5703125" style="35" hidden="1" customWidth="1"/>
    <col min="60" max="60" width="11.5703125" style="35" hidden="1" customWidth="1"/>
    <col min="61" max="61" width="12.28515625" style="35" hidden="1" customWidth="1"/>
    <col min="62" max="62" width="12" style="35" hidden="1" customWidth="1"/>
    <col min="63" max="63" width="11.5703125" style="35" hidden="1" customWidth="1"/>
    <col min="64" max="64" width="11.28515625" style="35" hidden="1" customWidth="1"/>
    <col min="65" max="65" width="15.85546875" style="35" hidden="1" customWidth="1"/>
    <col min="66" max="66" width="15.7109375" style="35" hidden="1" customWidth="1"/>
    <col min="67" max="67" width="14.5703125" style="35" hidden="1" customWidth="1"/>
    <col min="68" max="68" width="13.5703125" style="35" hidden="1" customWidth="1"/>
    <col min="69" max="71" width="9.140625" style="35" hidden="1" customWidth="1"/>
    <col min="72" max="72" width="2" style="35" hidden="1" customWidth="1"/>
    <col min="73" max="73" width="9.140625" style="35"/>
    <col min="74" max="74" width="13.7109375" style="35" customWidth="1"/>
    <col min="75" max="78" width="13.5703125" style="35" customWidth="1"/>
    <col min="79" max="79" width="12" style="35" customWidth="1"/>
    <col min="80" max="80" width="11" style="35" customWidth="1"/>
    <col min="81" max="81" width="13.5703125" style="35" customWidth="1"/>
    <col min="82" max="82" width="9.140625" style="35"/>
    <col min="83" max="83" width="12.42578125" style="135" bestFit="1" customWidth="1"/>
    <col min="84" max="89" width="9.140625" style="35"/>
    <col min="90" max="92" width="12" style="35" bestFit="1" customWidth="1"/>
    <col min="93" max="93" width="10.7109375" style="35" bestFit="1" customWidth="1"/>
    <col min="94" max="94" width="12" style="35" bestFit="1" customWidth="1"/>
    <col min="95" max="95" width="9.140625" style="35"/>
    <col min="96" max="96" width="9.140625" style="132" bestFit="1" customWidth="1"/>
    <col min="97" max="97" width="8.28515625" style="132" bestFit="1" customWidth="1"/>
    <col min="98" max="98" width="8.42578125" style="132" bestFit="1" customWidth="1"/>
    <col min="99" max="99" width="7.7109375" style="132" bestFit="1" customWidth="1"/>
    <col min="100" max="100" width="9" style="132" bestFit="1" customWidth="1"/>
    <col min="101" max="16384" width="9.140625" style="35"/>
  </cols>
  <sheetData>
    <row r="1" spans="2:100" ht="12.75" thickBot="1">
      <c r="CF1" s="416" t="s">
        <v>202</v>
      </c>
      <c r="CG1" s="416"/>
      <c r="CH1" s="416"/>
      <c r="CI1" s="416"/>
      <c r="CJ1" s="416"/>
      <c r="CL1" s="416" t="s">
        <v>203</v>
      </c>
      <c r="CM1" s="416"/>
      <c r="CN1" s="416"/>
      <c r="CO1" s="416"/>
      <c r="CP1" s="416"/>
      <c r="CR1" s="417" t="s">
        <v>200</v>
      </c>
      <c r="CS1" s="417"/>
      <c r="CT1" s="417"/>
      <c r="CU1" s="417"/>
      <c r="CV1" s="417"/>
    </row>
    <row r="2" spans="2:100" ht="12.75" thickBot="1">
      <c r="B2" s="182" t="s">
        <v>21</v>
      </c>
      <c r="C2" s="419" t="s">
        <v>67</v>
      </c>
      <c r="D2" s="419"/>
      <c r="E2" s="419"/>
      <c r="F2" s="419"/>
      <c r="G2" s="419"/>
      <c r="H2" s="419"/>
      <c r="I2" s="420"/>
      <c r="K2" s="182" t="s">
        <v>6</v>
      </c>
      <c r="L2" s="419" t="s">
        <v>67</v>
      </c>
      <c r="M2" s="419"/>
      <c r="N2" s="419"/>
      <c r="O2" s="419"/>
      <c r="P2" s="419"/>
      <c r="Q2" s="419"/>
      <c r="R2" s="420"/>
      <c r="T2" s="182" t="s">
        <v>84</v>
      </c>
      <c r="U2" s="419" t="s">
        <v>67</v>
      </c>
      <c r="V2" s="419"/>
      <c r="W2" s="419"/>
      <c r="X2" s="419"/>
      <c r="Y2" s="419"/>
      <c r="Z2" s="419"/>
      <c r="AA2" s="420"/>
      <c r="AB2" s="165"/>
      <c r="AC2" s="182" t="s">
        <v>85</v>
      </c>
      <c r="AD2" s="419" t="s">
        <v>67</v>
      </c>
      <c r="AE2" s="419"/>
      <c r="AF2" s="419"/>
      <c r="AG2" s="419"/>
      <c r="AH2" s="419"/>
      <c r="AI2" s="420"/>
      <c r="AJ2" s="165"/>
      <c r="AK2" s="183"/>
      <c r="AM2" s="182" t="s">
        <v>21</v>
      </c>
      <c r="AN2" s="184" t="s">
        <v>67</v>
      </c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6"/>
      <c r="BB2" s="182" t="s">
        <v>6</v>
      </c>
      <c r="BC2" s="184" t="s">
        <v>67</v>
      </c>
      <c r="BD2" s="185"/>
      <c r="BE2" s="185"/>
      <c r="BF2" s="185"/>
      <c r="BG2" s="185"/>
      <c r="BH2" s="185"/>
      <c r="BI2" s="185"/>
      <c r="BJ2" s="185"/>
      <c r="BK2" s="185"/>
      <c r="BL2" s="185"/>
      <c r="BM2" s="185"/>
      <c r="BN2" s="185"/>
      <c r="BO2" s="186"/>
      <c r="BV2" s="182" t="s">
        <v>136</v>
      </c>
      <c r="BW2" s="419" t="s">
        <v>67</v>
      </c>
      <c r="BX2" s="419"/>
      <c r="BY2" s="419"/>
      <c r="BZ2" s="419"/>
      <c r="CA2" s="419"/>
      <c r="CB2" s="419"/>
      <c r="CC2" s="420"/>
    </row>
    <row r="3" spans="2:100" ht="12.75" thickBot="1">
      <c r="B3" s="187" t="s">
        <v>66</v>
      </c>
      <c r="C3" s="164" t="s">
        <v>35</v>
      </c>
      <c r="D3" s="164" t="s">
        <v>36</v>
      </c>
      <c r="E3" s="164" t="s">
        <v>37</v>
      </c>
      <c r="F3" s="164" t="s">
        <v>135</v>
      </c>
      <c r="G3" s="164" t="s">
        <v>64</v>
      </c>
      <c r="H3" s="164" t="s">
        <v>65</v>
      </c>
      <c r="I3" s="188" t="s">
        <v>20</v>
      </c>
      <c r="K3" s="187" t="s">
        <v>66</v>
      </c>
      <c r="L3" s="164" t="s">
        <v>35</v>
      </c>
      <c r="M3" s="164" t="s">
        <v>36</v>
      </c>
      <c r="N3" s="164" t="s">
        <v>37</v>
      </c>
      <c r="O3" s="164" t="s">
        <v>135</v>
      </c>
      <c r="P3" s="164" t="s">
        <v>64</v>
      </c>
      <c r="Q3" s="164" t="s">
        <v>65</v>
      </c>
      <c r="R3" s="188" t="s">
        <v>20</v>
      </c>
      <c r="T3" s="187" t="s">
        <v>66</v>
      </c>
      <c r="U3" s="164" t="s">
        <v>35</v>
      </c>
      <c r="V3" s="164" t="s">
        <v>36</v>
      </c>
      <c r="W3" s="164" t="s">
        <v>37</v>
      </c>
      <c r="X3" s="164" t="s">
        <v>135</v>
      </c>
      <c r="Y3" s="164" t="s">
        <v>64</v>
      </c>
      <c r="Z3" s="164" t="s">
        <v>65</v>
      </c>
      <c r="AA3" s="188" t="s">
        <v>20</v>
      </c>
      <c r="AB3" s="165"/>
      <c r="AC3" s="187" t="s">
        <v>66</v>
      </c>
      <c r="AD3" s="164" t="s">
        <v>35</v>
      </c>
      <c r="AE3" s="164" t="s">
        <v>36</v>
      </c>
      <c r="AF3" s="164" t="s">
        <v>37</v>
      </c>
      <c r="AG3" s="164" t="s">
        <v>64</v>
      </c>
      <c r="AH3" s="164" t="s">
        <v>65</v>
      </c>
      <c r="AI3" s="188" t="s">
        <v>20</v>
      </c>
      <c r="AJ3" s="165"/>
      <c r="AK3" s="183"/>
      <c r="AM3" s="189" t="s">
        <v>66</v>
      </c>
      <c r="AN3" s="190" t="s">
        <v>70</v>
      </c>
      <c r="AO3" s="191" t="s">
        <v>80</v>
      </c>
      <c r="AP3" s="191" t="s">
        <v>79</v>
      </c>
      <c r="AQ3" s="192" t="s">
        <v>71</v>
      </c>
      <c r="AR3" s="192" t="s">
        <v>72</v>
      </c>
      <c r="AS3" s="192" t="s">
        <v>73</v>
      </c>
      <c r="AT3" s="192" t="s">
        <v>74</v>
      </c>
      <c r="AU3" s="192" t="s">
        <v>75</v>
      </c>
      <c r="AV3" s="192" t="s">
        <v>76</v>
      </c>
      <c r="AW3" s="192" t="s">
        <v>77</v>
      </c>
      <c r="AX3" s="192" t="s">
        <v>78</v>
      </c>
      <c r="AY3" s="191" t="s">
        <v>81</v>
      </c>
      <c r="AZ3" s="193" t="s">
        <v>4</v>
      </c>
      <c r="BB3" s="189" t="s">
        <v>66</v>
      </c>
      <c r="BC3" s="190" t="s">
        <v>70</v>
      </c>
      <c r="BD3" s="191" t="s">
        <v>80</v>
      </c>
      <c r="BE3" s="191" t="s">
        <v>79</v>
      </c>
      <c r="BF3" s="192" t="s">
        <v>71</v>
      </c>
      <c r="BG3" s="192" t="s">
        <v>72</v>
      </c>
      <c r="BH3" s="192" t="s">
        <v>73</v>
      </c>
      <c r="BI3" s="192" t="s">
        <v>74</v>
      </c>
      <c r="BJ3" s="192" t="s">
        <v>75</v>
      </c>
      <c r="BK3" s="192" t="s">
        <v>76</v>
      </c>
      <c r="BL3" s="192" t="s">
        <v>77</v>
      </c>
      <c r="BM3" s="192" t="s">
        <v>78</v>
      </c>
      <c r="BN3" s="191" t="s">
        <v>81</v>
      </c>
      <c r="BO3" s="193" t="s">
        <v>4</v>
      </c>
      <c r="BV3" s="187" t="s">
        <v>66</v>
      </c>
      <c r="BW3" s="164" t="s">
        <v>35</v>
      </c>
      <c r="BX3" s="164" t="s">
        <v>36</v>
      </c>
      <c r="BY3" s="164" t="s">
        <v>37</v>
      </c>
      <c r="BZ3" s="164" t="s">
        <v>135</v>
      </c>
      <c r="CA3" s="164" t="s">
        <v>64</v>
      </c>
      <c r="CB3" s="164" t="s">
        <v>65</v>
      </c>
      <c r="CC3" s="188" t="s">
        <v>20</v>
      </c>
      <c r="CF3" s="264" t="s">
        <v>0</v>
      </c>
      <c r="CG3" s="264" t="s">
        <v>1</v>
      </c>
      <c r="CH3" s="264" t="s">
        <v>3</v>
      </c>
      <c r="CI3" s="264" t="s">
        <v>7</v>
      </c>
      <c r="CJ3" s="263" t="s">
        <v>58</v>
      </c>
      <c r="CL3" s="264" t="s">
        <v>0</v>
      </c>
      <c r="CM3" s="264" t="s">
        <v>1</v>
      </c>
      <c r="CN3" s="264" t="s">
        <v>3</v>
      </c>
      <c r="CO3" s="264" t="s">
        <v>7</v>
      </c>
      <c r="CP3" s="263" t="s">
        <v>58</v>
      </c>
      <c r="CR3" s="267" t="s">
        <v>0</v>
      </c>
      <c r="CS3" s="267" t="s">
        <v>1</v>
      </c>
      <c r="CT3" s="267" t="s">
        <v>3</v>
      </c>
      <c r="CU3" s="267" t="s">
        <v>7</v>
      </c>
      <c r="CV3" s="268" t="s">
        <v>58</v>
      </c>
    </row>
    <row r="4" spans="2:100">
      <c r="B4" s="194" t="s">
        <v>133</v>
      </c>
      <c r="C4" s="195">
        <f>'Imports 2013-14'!$B$32</f>
        <v>0</v>
      </c>
      <c r="D4" s="196">
        <f>'Imports 2013-14'!$B$48</f>
        <v>0</v>
      </c>
      <c r="E4" s="197">
        <f>'Imports 2013-14'!$B$64</f>
        <v>0</v>
      </c>
      <c r="F4" s="197">
        <f>'Imports 2013-14'!$B$80</f>
        <v>0</v>
      </c>
      <c r="G4" s="195">
        <f>'Imports 2013-14'!$B$96</f>
        <v>0</v>
      </c>
      <c r="H4" s="195">
        <f>'Imports 2013-14'!$B$112</f>
        <v>0</v>
      </c>
      <c r="I4" s="206">
        <f t="shared" ref="I4:I15" si="0">SUM(C4:H4)</f>
        <v>0</v>
      </c>
      <c r="K4" s="194" t="s">
        <v>133</v>
      </c>
      <c r="L4" s="138">
        <f>'Imports 2013-14'!$Q$32</f>
        <v>0</v>
      </c>
      <c r="M4" s="138">
        <f>'Imports 2013-14'!$Q48</f>
        <v>0</v>
      </c>
      <c r="N4" s="138">
        <f>'Imports 2013-14'!$Q$64</f>
        <v>0</v>
      </c>
      <c r="O4" s="138">
        <f>'Imports 2013-14'!$Q$80</f>
        <v>0</v>
      </c>
      <c r="P4" s="138">
        <f>'Imports 2013-14'!$Q$96</f>
        <v>0</v>
      </c>
      <c r="Q4" s="138">
        <f>'Imports 2013-14'!$Q$112</f>
        <v>0</v>
      </c>
      <c r="R4" s="198">
        <f t="shared" ref="R4" si="1">SUM(L4:Q4)</f>
        <v>0</v>
      </c>
      <c r="T4" s="194" t="s">
        <v>133</v>
      </c>
      <c r="U4" s="138">
        <f>'Imports 2013-14'!$AF$32</f>
        <v>0</v>
      </c>
      <c r="V4" s="138">
        <f>'Imports 2013-14'!$AF$48</f>
        <v>0</v>
      </c>
      <c r="W4" s="138">
        <f>'Imports 2013-14'!$AF$64</f>
        <v>0</v>
      </c>
      <c r="X4" s="138">
        <f>'Imports 2013-14'!$AF$80</f>
        <v>0</v>
      </c>
      <c r="Y4" s="138">
        <f>'Imports 2013-14'!$AF$96</f>
        <v>0</v>
      </c>
      <c r="Z4" s="138">
        <f>'Imports 2013-14'!$AF$112</f>
        <v>0</v>
      </c>
      <c r="AA4" s="199">
        <f t="shared" ref="AA4:AA16" si="2">SUM(U4:Z4)</f>
        <v>0</v>
      </c>
      <c r="AB4" s="165"/>
      <c r="AC4" s="194" t="s">
        <v>133</v>
      </c>
      <c r="AD4" s="165"/>
      <c r="AE4" s="165"/>
      <c r="AF4" s="165"/>
      <c r="AG4" s="165"/>
      <c r="AH4" s="165"/>
      <c r="AI4" s="200"/>
      <c r="AJ4" s="165"/>
      <c r="AK4" s="183"/>
      <c r="AM4" s="194" t="s">
        <v>133</v>
      </c>
      <c r="AN4" s="201"/>
      <c r="AO4" s="165"/>
      <c r="AP4" s="165"/>
      <c r="AQ4" s="165"/>
      <c r="AR4" s="165"/>
      <c r="AS4" s="165"/>
      <c r="AT4" s="165"/>
      <c r="AU4" s="165"/>
      <c r="AV4" s="165"/>
      <c r="AW4" s="165"/>
      <c r="AX4" s="165"/>
      <c r="AY4" s="165"/>
      <c r="AZ4" s="200"/>
      <c r="BB4" s="202"/>
      <c r="BC4" s="201"/>
      <c r="BD4" s="165"/>
      <c r="BE4" s="165"/>
      <c r="BF4" s="165"/>
      <c r="BG4" s="165"/>
      <c r="BH4" s="165"/>
      <c r="BI4" s="165"/>
      <c r="BJ4" s="165"/>
      <c r="BK4" s="165"/>
      <c r="BL4" s="165"/>
      <c r="BM4" s="165"/>
      <c r="BN4" s="165"/>
      <c r="BO4" s="200"/>
      <c r="BU4" s="44">
        <f t="shared" ref="BU4:BU15" si="3">R4/10^5</f>
        <v>0</v>
      </c>
      <c r="BV4" s="194" t="s">
        <v>133</v>
      </c>
      <c r="BW4" s="137">
        <f>IF(L4&lt;=0,0,L4/C4/1000)</f>
        <v>0</v>
      </c>
      <c r="BX4" s="137">
        <f t="shared" ref="BX4:BX16" si="4">IF(M4&lt;=0,0,M4/D4/1000)</f>
        <v>0</v>
      </c>
      <c r="BY4" s="137">
        <f t="shared" ref="BY4:BY16" si="5">IF(N4&lt;=0,0,N4/E4/1000)</f>
        <v>0</v>
      </c>
      <c r="BZ4" s="137">
        <f t="shared" ref="BZ4:BZ16" si="6">IF(O4&lt;=0,0,O4/F4/1000)</f>
        <v>0</v>
      </c>
      <c r="CA4" s="137">
        <f t="shared" ref="CA4:CA16" si="7">IF(P4&lt;=0,0,P4/G4/1000)</f>
        <v>0</v>
      </c>
      <c r="CB4" s="137">
        <f t="shared" ref="CB4:CB16" si="8">IF(Q4&lt;=0,0,Q4/H4/1000)</f>
        <v>0</v>
      </c>
      <c r="CC4" s="203">
        <f t="shared" ref="CC4:CC16" si="9">IF(R4&lt;=0,0,R4/I4/1000)</f>
        <v>0</v>
      </c>
      <c r="CE4" s="135" t="s">
        <v>133</v>
      </c>
      <c r="CF4" s="44">
        <f>D4</f>
        <v>0</v>
      </c>
      <c r="CG4" s="44">
        <f>C4</f>
        <v>0</v>
      </c>
      <c r="CH4" s="44">
        <f>E4</f>
        <v>0</v>
      </c>
      <c r="CI4" s="44">
        <f>SUM(F4:H4)</f>
        <v>0</v>
      </c>
      <c r="CJ4" s="259">
        <f>SUM(CF4:CI4)</f>
        <v>0</v>
      </c>
      <c r="CL4" s="44">
        <f>M4</f>
        <v>0</v>
      </c>
      <c r="CM4" s="44">
        <f>L4</f>
        <v>0</v>
      </c>
      <c r="CN4" s="44">
        <f>N4</f>
        <v>0</v>
      </c>
      <c r="CO4" s="44">
        <f>SUM(O4:Q4)</f>
        <v>0</v>
      </c>
      <c r="CP4" s="261">
        <f>SUM(CL4:CO4)</f>
        <v>0</v>
      </c>
      <c r="CR4" s="132">
        <f>IF(CF4&lt;=0,0,CL4/CF4/1000)</f>
        <v>0</v>
      </c>
      <c r="CS4" s="132">
        <f t="shared" ref="CS4:CS16" si="10">IF(CG4&lt;=0,0,CM4/CG4/1000)</f>
        <v>0</v>
      </c>
      <c r="CT4" s="132">
        <f t="shared" ref="CT4:CT16" si="11">IF(CH4&lt;=0,0,CN4/CH4/1000)</f>
        <v>0</v>
      </c>
      <c r="CU4" s="132">
        <f t="shared" ref="CU4:CU16" si="12">IF(CI4&lt;=0,0,CO4/CI4/1000)</f>
        <v>0</v>
      </c>
      <c r="CV4" s="269">
        <f t="shared" ref="CV4:CV16" si="13">IF(CJ4&lt;=0,0,CP4/CJ4/1000)</f>
        <v>0</v>
      </c>
    </row>
    <row r="5" spans="2:100">
      <c r="B5" s="194" t="s">
        <v>19</v>
      </c>
      <c r="C5" s="138">
        <f>'Imports 2013-14'!$C$32</f>
        <v>0</v>
      </c>
      <c r="D5" s="138">
        <f>'Imports 2013-14'!$C$48</f>
        <v>0</v>
      </c>
      <c r="E5" s="138">
        <f>'Imports 2013-14'!$C$64</f>
        <v>0</v>
      </c>
      <c r="F5" s="138">
        <f>'Imports 2013-14'!$C$80</f>
        <v>0</v>
      </c>
      <c r="G5" s="138">
        <f>'Imports 2013-14'!$C$96</f>
        <v>0</v>
      </c>
      <c r="H5" s="138">
        <f>'Imports 2013-14'!$C$112</f>
        <v>0</v>
      </c>
      <c r="I5" s="206">
        <f t="shared" si="0"/>
        <v>0</v>
      </c>
      <c r="K5" s="194" t="s">
        <v>19</v>
      </c>
      <c r="L5" s="138">
        <f>'Imports 2013-14'!$R$32</f>
        <v>0</v>
      </c>
      <c r="M5" s="138">
        <f>'Imports 2013-14'!$R$48</f>
        <v>0</v>
      </c>
      <c r="N5" s="138">
        <f>'Imports 2013-14'!$R$64</f>
        <v>0</v>
      </c>
      <c r="O5" s="138">
        <f>'Imports 2013-14'!$R$80</f>
        <v>0</v>
      </c>
      <c r="P5" s="138">
        <f>'Imports 2013-14'!$R$96</f>
        <v>0</v>
      </c>
      <c r="Q5" s="138">
        <f>'Imports 2013-14'!$R$112</f>
        <v>0</v>
      </c>
      <c r="R5" s="198">
        <f t="shared" ref="R5" si="14">SUM(L5:Q5)</f>
        <v>0</v>
      </c>
      <c r="T5" s="194" t="s">
        <v>19</v>
      </c>
      <c r="U5" s="138">
        <f>'Imports 2013-14'!$AG$32</f>
        <v>0</v>
      </c>
      <c r="V5" s="138">
        <f>'Imports 2013-14'!$AG$48</f>
        <v>0</v>
      </c>
      <c r="W5" s="138">
        <f>'Imports 2013-14'!$AG$64</f>
        <v>0</v>
      </c>
      <c r="X5" s="138">
        <f>'Imports 2013-14'!$AG$80</f>
        <v>0</v>
      </c>
      <c r="Y5" s="138">
        <f>'Imports 2013-14'!$AG$96</f>
        <v>0</v>
      </c>
      <c r="Z5" s="138">
        <f>'Imports 2013-14'!$AG$112</f>
        <v>0</v>
      </c>
      <c r="AA5" s="198">
        <f t="shared" si="2"/>
        <v>0</v>
      </c>
      <c r="AB5" s="138"/>
      <c r="AC5" s="194" t="s">
        <v>19</v>
      </c>
      <c r="AD5" s="138">
        <f>IF(U5&lt;=0,0,U5/C5)</f>
        <v>0</v>
      </c>
      <c r="AE5" s="138">
        <f>IF(V5&lt;=0,0,V5/D5)</f>
        <v>0</v>
      </c>
      <c r="AF5" s="138">
        <f>IF(W5&lt;=0,0,W5/E5)</f>
        <v>0</v>
      </c>
      <c r="AG5" s="138">
        <f>IF(Y5&lt;=0,0,Y5/G5)</f>
        <v>0</v>
      </c>
      <c r="AH5" s="138">
        <f>IF(Z5&lt;=0,0,Z5/H5)</f>
        <v>0</v>
      </c>
      <c r="AI5" s="198">
        <f>IF(AA5&lt;=0,0,AA5/I5)</f>
        <v>0</v>
      </c>
      <c r="AJ5" s="138"/>
      <c r="AK5" s="204"/>
      <c r="AM5" s="194" t="s">
        <v>19</v>
      </c>
      <c r="AN5" s="205"/>
      <c r="AO5" s="138"/>
      <c r="AP5" s="138"/>
      <c r="AQ5" s="138"/>
      <c r="AR5" s="138"/>
      <c r="AS5" s="138"/>
      <c r="AT5" s="138"/>
      <c r="AU5" s="138"/>
      <c r="AV5" s="138"/>
      <c r="AW5" s="138"/>
      <c r="AX5" s="138"/>
      <c r="AY5" s="138"/>
      <c r="AZ5" s="206">
        <f t="shared" ref="AZ5:AZ15" si="15">SUM(AN5:AY5)</f>
        <v>0</v>
      </c>
      <c r="BA5" s="45"/>
      <c r="BB5" s="207" t="s">
        <v>19</v>
      </c>
      <c r="BC5" s="205"/>
      <c r="BF5" s="138"/>
      <c r="BG5" s="138">
        <f t="shared" ref="BG5:BG15" si="16">M5-BF5</f>
        <v>0</v>
      </c>
      <c r="BH5" s="138"/>
      <c r="BI5" s="138"/>
      <c r="BJ5" s="138"/>
      <c r="BK5" s="138"/>
      <c r="BL5" s="138"/>
      <c r="BM5" s="138"/>
      <c r="BO5" s="206">
        <f t="shared" ref="BO5:BO15" si="17">SUM(BC5:BN5)</f>
        <v>0</v>
      </c>
      <c r="BP5" s="45"/>
      <c r="BU5" s="44">
        <f t="shared" si="3"/>
        <v>0</v>
      </c>
      <c r="BV5" s="194" t="s">
        <v>19</v>
      </c>
      <c r="BW5" s="137">
        <f t="shared" ref="BW5:BW16" si="18">IF(L5&lt;=0,0,L5/C5/1000)</f>
        <v>0</v>
      </c>
      <c r="BX5" s="137">
        <f t="shared" si="4"/>
        <v>0</v>
      </c>
      <c r="BY5" s="137">
        <f t="shared" si="5"/>
        <v>0</v>
      </c>
      <c r="BZ5" s="137">
        <f t="shared" si="6"/>
        <v>0</v>
      </c>
      <c r="CA5" s="137">
        <f t="shared" si="7"/>
        <v>0</v>
      </c>
      <c r="CB5" s="137">
        <f t="shared" si="8"/>
        <v>0</v>
      </c>
      <c r="CC5" s="203">
        <f t="shared" si="9"/>
        <v>0</v>
      </c>
      <c r="CE5" s="135" t="s">
        <v>19</v>
      </c>
      <c r="CF5" s="44">
        <f t="shared" ref="CF5:CF15" si="19">D5</f>
        <v>0</v>
      </c>
      <c r="CG5" s="44">
        <f t="shared" ref="CG5:CG15" si="20">C5</f>
        <v>0</v>
      </c>
      <c r="CH5" s="44">
        <f t="shared" ref="CH5:CH15" si="21">E5</f>
        <v>0</v>
      </c>
      <c r="CI5" s="44">
        <f t="shared" ref="CI5:CI15" si="22">SUM(F5:H5)</f>
        <v>0</v>
      </c>
      <c r="CJ5" s="259">
        <f t="shared" ref="CJ5:CJ15" si="23">SUM(CF5:CI5)</f>
        <v>0</v>
      </c>
      <c r="CL5" s="44">
        <f t="shared" ref="CL5:CL16" si="24">M5</f>
        <v>0</v>
      </c>
      <c r="CM5" s="44">
        <f t="shared" ref="CM5:CM16" si="25">L5</f>
        <v>0</v>
      </c>
      <c r="CN5" s="44">
        <f t="shared" ref="CN5:CN16" si="26">N5</f>
        <v>0</v>
      </c>
      <c r="CO5" s="44">
        <f t="shared" ref="CO5:CO16" si="27">SUM(O5:Q5)</f>
        <v>0</v>
      </c>
      <c r="CP5" s="261">
        <f t="shared" ref="CP5:CP16" si="28">SUM(CL5:CO5)</f>
        <v>0</v>
      </c>
      <c r="CR5" s="132">
        <f t="shared" ref="CR5:CR16" si="29">IF(CF5&lt;=0,0,CL5/CF5/1000)</f>
        <v>0</v>
      </c>
      <c r="CS5" s="132">
        <f t="shared" si="10"/>
        <v>0</v>
      </c>
      <c r="CT5" s="132">
        <f t="shared" si="11"/>
        <v>0</v>
      </c>
      <c r="CU5" s="132">
        <f t="shared" si="12"/>
        <v>0</v>
      </c>
      <c r="CV5" s="269">
        <f t="shared" si="13"/>
        <v>0</v>
      </c>
    </row>
    <row r="6" spans="2:100">
      <c r="B6" s="194" t="s">
        <v>17</v>
      </c>
      <c r="C6" s="138">
        <f>'Imports 2013-14'!$D$32</f>
        <v>0</v>
      </c>
      <c r="D6" s="138">
        <f>'Imports 2013-14'!$D$48</f>
        <v>19.760000000000002</v>
      </c>
      <c r="E6" s="138">
        <f>'Imports 2013-14'!$D$64</f>
        <v>19.5</v>
      </c>
      <c r="F6" s="138">
        <f>'Imports 2013-14'!$D$80</f>
        <v>0</v>
      </c>
      <c r="G6" s="138">
        <f>'Imports 2013-14'!$D$96</f>
        <v>0</v>
      </c>
      <c r="H6" s="138">
        <f>'Imports 2013-14'!$D$112</f>
        <v>18.8</v>
      </c>
      <c r="I6" s="206">
        <f t="shared" si="0"/>
        <v>58.06</v>
      </c>
      <c r="K6" s="194" t="s">
        <v>17</v>
      </c>
      <c r="L6" s="138">
        <f>'Imports 2013-14'!$S$32</f>
        <v>0</v>
      </c>
      <c r="M6" s="138">
        <f>'Imports 2013-14'!$S$48</f>
        <v>2999857.49</v>
      </c>
      <c r="N6" s="138">
        <f>'Imports 2013-14'!$S$64</f>
        <v>3456295.25</v>
      </c>
      <c r="O6" s="138">
        <f>'Imports 2013-14'!$S$80</f>
        <v>0</v>
      </c>
      <c r="P6" s="138">
        <f>'Imports 2013-14'!$S$96</f>
        <v>0</v>
      </c>
      <c r="Q6" s="138">
        <f>'Imports 2013-14'!$S$112</f>
        <v>2641762.46</v>
      </c>
      <c r="R6" s="198">
        <f t="shared" ref="R6:R15" si="30">SUM(L6:Q6)</f>
        <v>9097915.1999999993</v>
      </c>
      <c r="T6" s="194" t="s">
        <v>17</v>
      </c>
      <c r="U6" s="138">
        <f>'Imports 2013-14'!$AH$32</f>
        <v>0</v>
      </c>
      <c r="V6" s="138">
        <f>'Imports 2013-14'!$AH$48</f>
        <v>47503.681551860653</v>
      </c>
      <c r="W6" s="138">
        <f>'Imports 2013-14'!$AH$64</f>
        <v>55746.697580645159</v>
      </c>
      <c r="X6" s="138">
        <f>'Imports 2013-14'!$AH$80</f>
        <v>0</v>
      </c>
      <c r="Y6" s="138">
        <f>'Imports 2013-14'!$AH$96</f>
        <v>0</v>
      </c>
      <c r="Z6" s="138">
        <f>'Imports 2013-14'!$AH$112</f>
        <v>42781.578299595138</v>
      </c>
      <c r="AA6" s="198">
        <f t="shared" si="2"/>
        <v>146031.95743210096</v>
      </c>
      <c r="AB6" s="138"/>
      <c r="AC6" s="194" t="s">
        <v>17</v>
      </c>
      <c r="AD6" s="138">
        <f t="shared" ref="AD6:AD16" si="31">IF(U6&lt;=0,0,U6/C6)</f>
        <v>0</v>
      </c>
      <c r="AE6" s="138">
        <f t="shared" ref="AE6:AE16" si="32">IF(V6&lt;=0,0,V6/D6)</f>
        <v>2404.0324671994254</v>
      </c>
      <c r="AF6" s="138">
        <f t="shared" ref="AF6:AF16" si="33">IF(W6&lt;=0,0,W6/E6)</f>
        <v>2858.8050041356491</v>
      </c>
      <c r="AG6" s="138">
        <f t="shared" ref="AG6:AG16" si="34">IF(Y6&lt;=0,0,Y6/G6)</f>
        <v>0</v>
      </c>
      <c r="AH6" s="138">
        <f t="shared" ref="AH6:AH16" si="35">IF(Z6&lt;=0,0,Z6/H6)</f>
        <v>2275.6158669997412</v>
      </c>
      <c r="AI6" s="198">
        <f t="shared" ref="AI6:AI16" si="36">IF(AA6&lt;=0,0,AA6/I6)</f>
        <v>2515.1904483655003</v>
      </c>
      <c r="AJ6" s="138"/>
      <c r="AK6" s="204"/>
      <c r="AM6" s="194" t="s">
        <v>17</v>
      </c>
      <c r="AN6" s="205"/>
      <c r="AO6" s="138"/>
      <c r="AP6" s="138"/>
      <c r="AQ6" s="138"/>
      <c r="AR6" s="138">
        <v>58.06</v>
      </c>
      <c r="AS6" s="138"/>
      <c r="AT6" s="138"/>
      <c r="AU6" s="138"/>
      <c r="AV6" s="138"/>
      <c r="AW6" s="138"/>
      <c r="AX6" s="138"/>
      <c r="AY6" s="138"/>
      <c r="AZ6" s="206">
        <f t="shared" si="15"/>
        <v>58.06</v>
      </c>
      <c r="BA6" s="45"/>
      <c r="BB6" s="207" t="s">
        <v>17</v>
      </c>
      <c r="BC6" s="205"/>
      <c r="BF6" s="138"/>
      <c r="BG6" s="138">
        <f t="shared" si="16"/>
        <v>2999857.49</v>
      </c>
      <c r="BH6" s="138"/>
      <c r="BI6" s="138"/>
      <c r="BJ6" s="138"/>
      <c r="BK6" s="138"/>
      <c r="BL6" s="138"/>
      <c r="BM6" s="138"/>
      <c r="BO6" s="206">
        <f t="shared" si="17"/>
        <v>2999857.49</v>
      </c>
      <c r="BP6" s="45"/>
      <c r="BU6" s="44">
        <f t="shared" si="3"/>
        <v>90.979151999999999</v>
      </c>
      <c r="BV6" s="194" t="s">
        <v>17</v>
      </c>
      <c r="BW6" s="137">
        <f t="shared" si="18"/>
        <v>0</v>
      </c>
      <c r="BX6" s="137">
        <f t="shared" si="4"/>
        <v>151.81465030364373</v>
      </c>
      <c r="BY6" s="137">
        <f t="shared" si="5"/>
        <v>177.24591025641024</v>
      </c>
      <c r="BZ6" s="137">
        <f t="shared" si="6"/>
        <v>0</v>
      </c>
      <c r="CA6" s="137">
        <f t="shared" si="7"/>
        <v>0</v>
      </c>
      <c r="CB6" s="137">
        <f t="shared" si="8"/>
        <v>140.51927978723404</v>
      </c>
      <c r="CC6" s="203">
        <f t="shared" si="9"/>
        <v>156.69850499483292</v>
      </c>
      <c r="CE6" s="135" t="s">
        <v>17</v>
      </c>
      <c r="CF6" s="44">
        <f t="shared" si="19"/>
        <v>19.760000000000002</v>
      </c>
      <c r="CG6" s="44">
        <f t="shared" si="20"/>
        <v>0</v>
      </c>
      <c r="CH6" s="44">
        <f t="shared" si="21"/>
        <v>19.5</v>
      </c>
      <c r="CI6" s="44">
        <f t="shared" si="22"/>
        <v>18.8</v>
      </c>
      <c r="CJ6" s="259">
        <f t="shared" si="23"/>
        <v>58.06</v>
      </c>
      <c r="CL6" s="44">
        <f t="shared" si="24"/>
        <v>2999857.49</v>
      </c>
      <c r="CM6" s="44">
        <f t="shared" si="25"/>
        <v>0</v>
      </c>
      <c r="CN6" s="44">
        <f t="shared" si="26"/>
        <v>3456295.25</v>
      </c>
      <c r="CO6" s="44">
        <f t="shared" si="27"/>
        <v>2641762.46</v>
      </c>
      <c r="CP6" s="261">
        <f t="shared" si="28"/>
        <v>9097915.1999999993</v>
      </c>
      <c r="CR6" s="132">
        <f t="shared" si="29"/>
        <v>151.81465030364373</v>
      </c>
      <c r="CS6" s="132">
        <f t="shared" si="10"/>
        <v>0</v>
      </c>
      <c r="CT6" s="132">
        <f t="shared" si="11"/>
        <v>177.24591025641024</v>
      </c>
      <c r="CU6" s="132">
        <f t="shared" si="12"/>
        <v>140.51927978723404</v>
      </c>
      <c r="CV6" s="269">
        <f t="shared" si="13"/>
        <v>156.69850499483292</v>
      </c>
    </row>
    <row r="7" spans="2:100">
      <c r="B7" s="194" t="s">
        <v>24</v>
      </c>
      <c r="C7" s="138">
        <f>'Imports 2013-14'!$E$32</f>
        <v>20.09</v>
      </c>
      <c r="D7" s="138">
        <f>'Imports 2013-14'!$E$48</f>
        <v>0</v>
      </c>
      <c r="E7" s="138">
        <f>'Imports 2013-14'!$E$64</f>
        <v>0</v>
      </c>
      <c r="F7" s="138">
        <f>'Imports 2013-14'!$E$80</f>
        <v>0</v>
      </c>
      <c r="G7" s="138">
        <f>'Imports 2013-14'!$E$96</f>
        <v>0</v>
      </c>
      <c r="H7" s="138">
        <f>'Imports 2013-14'!$E$112</f>
        <v>37.049999999999997</v>
      </c>
      <c r="I7" s="206">
        <f t="shared" si="0"/>
        <v>57.14</v>
      </c>
      <c r="K7" s="194" t="s">
        <v>24</v>
      </c>
      <c r="L7" s="138">
        <f>'Imports 2013-14'!$T$32</f>
        <v>2282320.4300000002</v>
      </c>
      <c r="M7" s="138">
        <f>'Imports 2013-14'!$T$48</f>
        <v>0</v>
      </c>
      <c r="N7" s="138">
        <f>'Imports 2013-14'!$T$64</f>
        <v>0</v>
      </c>
      <c r="O7" s="138">
        <f>'Imports 2013-14'!$T$80</f>
        <v>0</v>
      </c>
      <c r="P7" s="138">
        <f>'Imports 2013-14'!$T$96</f>
        <v>0</v>
      </c>
      <c r="Q7" s="138">
        <f>'Imports 2013-14'!$T$112</f>
        <v>6214665.6699999999</v>
      </c>
      <c r="R7" s="198">
        <f t="shared" si="30"/>
        <v>8496986.0999999996</v>
      </c>
      <c r="T7" s="194" t="s">
        <v>24</v>
      </c>
      <c r="U7" s="138">
        <f>'Imports 2013-14'!$AI$32</f>
        <v>38552.709966216215</v>
      </c>
      <c r="V7" s="138">
        <f>'Imports 2013-14'!$AI$48</f>
        <v>0</v>
      </c>
      <c r="W7" s="138">
        <f>'Imports 2013-14'!$AI$64</f>
        <v>0</v>
      </c>
      <c r="X7" s="138">
        <f>'Imports 2013-14'!$AI$80</f>
        <v>0</v>
      </c>
      <c r="Y7" s="138">
        <f>'Imports 2013-14'!$AI$96</f>
        <v>0</v>
      </c>
      <c r="Z7" s="138">
        <f>'Imports 2013-14'!$AI$112</f>
        <v>99673.868003207695</v>
      </c>
      <c r="AA7" s="198">
        <f t="shared" si="2"/>
        <v>138226.5779694239</v>
      </c>
      <c r="AB7" s="138"/>
      <c r="AC7" s="194" t="s">
        <v>24</v>
      </c>
      <c r="AD7" s="138">
        <f t="shared" si="31"/>
        <v>1918.9999983183779</v>
      </c>
      <c r="AE7" s="138">
        <f t="shared" si="32"/>
        <v>0</v>
      </c>
      <c r="AF7" s="138">
        <f t="shared" si="33"/>
        <v>0</v>
      </c>
      <c r="AG7" s="138">
        <f t="shared" si="34"/>
        <v>0</v>
      </c>
      <c r="AH7" s="138">
        <f t="shared" si="35"/>
        <v>2690.2528475899517</v>
      </c>
      <c r="AI7" s="198">
        <f t="shared" si="36"/>
        <v>2419.0860687683567</v>
      </c>
      <c r="AJ7" s="138"/>
      <c r="AK7" s="204"/>
      <c r="AM7" s="194" t="s">
        <v>24</v>
      </c>
      <c r="AN7" s="205"/>
      <c r="AO7" s="138"/>
      <c r="AP7" s="138"/>
      <c r="AQ7" s="138"/>
      <c r="AR7" s="138">
        <v>57.14</v>
      </c>
      <c r="AS7" s="138"/>
      <c r="AT7" s="138"/>
      <c r="AU7" s="138"/>
      <c r="AV7" s="138"/>
      <c r="AW7" s="138"/>
      <c r="AX7" s="138"/>
      <c r="AY7" s="138"/>
      <c r="AZ7" s="206">
        <f t="shared" si="15"/>
        <v>57.14</v>
      </c>
      <c r="BA7" s="45"/>
      <c r="BB7" s="207" t="s">
        <v>24</v>
      </c>
      <c r="BC7" s="205"/>
      <c r="BF7" s="138"/>
      <c r="BG7" s="138">
        <f t="shared" si="16"/>
        <v>0</v>
      </c>
      <c r="BH7" s="138"/>
      <c r="BI7" s="138"/>
      <c r="BJ7" s="138"/>
      <c r="BK7" s="138"/>
      <c r="BL7" s="138"/>
      <c r="BM7" s="138"/>
      <c r="BO7" s="206">
        <f t="shared" si="17"/>
        <v>0</v>
      </c>
      <c r="BP7" s="45"/>
      <c r="BU7" s="44">
        <f t="shared" si="3"/>
        <v>84.969860999999995</v>
      </c>
      <c r="BV7" s="194" t="s">
        <v>24</v>
      </c>
      <c r="BW7" s="137">
        <f t="shared" si="18"/>
        <v>113.604799900448</v>
      </c>
      <c r="BX7" s="137">
        <f t="shared" si="4"/>
        <v>0</v>
      </c>
      <c r="BY7" s="137">
        <f t="shared" si="5"/>
        <v>0</v>
      </c>
      <c r="BZ7" s="137">
        <f t="shared" si="6"/>
        <v>0</v>
      </c>
      <c r="CA7" s="137">
        <f t="shared" si="7"/>
        <v>0</v>
      </c>
      <c r="CB7" s="137">
        <f t="shared" si="8"/>
        <v>167.73726504723351</v>
      </c>
      <c r="CC7" s="203">
        <f t="shared" si="9"/>
        <v>148.70469198459924</v>
      </c>
      <c r="CE7" s="135" t="s">
        <v>24</v>
      </c>
      <c r="CF7" s="44">
        <f t="shared" si="19"/>
        <v>0</v>
      </c>
      <c r="CG7" s="44">
        <f t="shared" si="20"/>
        <v>20.09</v>
      </c>
      <c r="CH7" s="44">
        <f t="shared" si="21"/>
        <v>0</v>
      </c>
      <c r="CI7" s="44">
        <f t="shared" si="22"/>
        <v>37.049999999999997</v>
      </c>
      <c r="CJ7" s="259">
        <f t="shared" si="23"/>
        <v>57.14</v>
      </c>
      <c r="CL7" s="44">
        <f t="shared" si="24"/>
        <v>0</v>
      </c>
      <c r="CM7" s="44">
        <f t="shared" si="25"/>
        <v>2282320.4300000002</v>
      </c>
      <c r="CN7" s="44">
        <f t="shared" si="26"/>
        <v>0</v>
      </c>
      <c r="CO7" s="44">
        <f t="shared" si="27"/>
        <v>6214665.6699999999</v>
      </c>
      <c r="CP7" s="261">
        <f t="shared" si="28"/>
        <v>8496986.0999999996</v>
      </c>
      <c r="CR7" s="132">
        <f t="shared" si="29"/>
        <v>0</v>
      </c>
      <c r="CS7" s="132">
        <f t="shared" si="10"/>
        <v>113.604799900448</v>
      </c>
      <c r="CT7" s="132">
        <f t="shared" si="11"/>
        <v>0</v>
      </c>
      <c r="CU7" s="132">
        <f t="shared" si="12"/>
        <v>167.73726504723351</v>
      </c>
      <c r="CV7" s="269">
        <f t="shared" si="13"/>
        <v>148.70469198459924</v>
      </c>
    </row>
    <row r="8" spans="2:100">
      <c r="B8" s="194" t="s">
        <v>10</v>
      </c>
      <c r="C8" s="138">
        <f>'Imports 2013-14'!$F$32</f>
        <v>340.26000000000005</v>
      </c>
      <c r="D8" s="138">
        <f>'Imports 2013-14'!$F$48</f>
        <v>337.51</v>
      </c>
      <c r="E8" s="138">
        <f>'Imports 2013-14'!$F$64</f>
        <v>0</v>
      </c>
      <c r="F8" s="138">
        <f>'Imports 2013-14'!$F$80</f>
        <v>0</v>
      </c>
      <c r="G8" s="138">
        <f>'Imports 2013-14'!$F$96</f>
        <v>0</v>
      </c>
      <c r="H8" s="138">
        <f>'Imports 2013-14'!$F$112</f>
        <v>0</v>
      </c>
      <c r="I8" s="206">
        <f t="shared" si="0"/>
        <v>677.77</v>
      </c>
      <c r="K8" s="194" t="s">
        <v>10</v>
      </c>
      <c r="L8" s="138">
        <f>'Imports 2013-14'!$U$32</f>
        <v>35046133.339999996</v>
      </c>
      <c r="M8" s="138">
        <f>'Imports 2013-14'!$U$48</f>
        <v>34401328.219999999</v>
      </c>
      <c r="N8" s="138">
        <f>'Imports 2013-14'!$U$64</f>
        <v>0</v>
      </c>
      <c r="O8" s="138">
        <f>'Imports 2013-14'!$U$80</f>
        <v>0</v>
      </c>
      <c r="P8" s="138">
        <f>'Imports 2013-14'!$U$96</f>
        <v>0</v>
      </c>
      <c r="Q8" s="138">
        <f>'Imports 2013-14'!$U$112</f>
        <v>0</v>
      </c>
      <c r="R8" s="198">
        <f t="shared" si="30"/>
        <v>69447461.560000002</v>
      </c>
      <c r="T8" s="194" t="s">
        <v>10</v>
      </c>
      <c r="U8" s="138">
        <f>'Imports 2013-14'!$AJ$32</f>
        <v>575603.72245119454</v>
      </c>
      <c r="V8" s="138">
        <f>'Imports 2013-14'!$AJ$48</f>
        <v>562450.51898389973</v>
      </c>
      <c r="W8" s="138">
        <f>'Imports 2013-14'!$AJ$64</f>
        <v>0</v>
      </c>
      <c r="X8" s="138">
        <f>'Imports 2013-14'!$AJ$80</f>
        <v>0</v>
      </c>
      <c r="Y8" s="138">
        <f>'Imports 2013-14'!$AJ$96</f>
        <v>0</v>
      </c>
      <c r="Z8" s="138">
        <f>'Imports 2013-14'!$AJ$112</f>
        <v>0</v>
      </c>
      <c r="AA8" s="198">
        <f t="shared" si="2"/>
        <v>1138054.2414350943</v>
      </c>
      <c r="AB8" s="138"/>
      <c r="AC8" s="194" t="s">
        <v>10</v>
      </c>
      <c r="AD8" s="138">
        <f t="shared" si="31"/>
        <v>1691.6585036477825</v>
      </c>
      <c r="AE8" s="138">
        <f t="shared" si="32"/>
        <v>1666.4706793395744</v>
      </c>
      <c r="AF8" s="138">
        <f t="shared" si="33"/>
        <v>0</v>
      </c>
      <c r="AG8" s="138">
        <f t="shared" si="34"/>
        <v>0</v>
      </c>
      <c r="AH8" s="138">
        <f t="shared" si="35"/>
        <v>0</v>
      </c>
      <c r="AI8" s="198">
        <f t="shared" si="36"/>
        <v>1679.1156903301921</v>
      </c>
      <c r="AJ8" s="138"/>
      <c r="AK8" s="204"/>
      <c r="AM8" s="194" t="s">
        <v>10</v>
      </c>
      <c r="AN8" s="205"/>
      <c r="AO8" s="138"/>
      <c r="AP8" s="138"/>
      <c r="AQ8" s="138">
        <v>2E-3</v>
      </c>
      <c r="AR8" s="138">
        <v>677.77</v>
      </c>
      <c r="AS8" s="138"/>
      <c r="AT8" s="138"/>
      <c r="AU8" s="138"/>
      <c r="AV8" s="138"/>
      <c r="AW8" s="138"/>
      <c r="AX8" s="138"/>
      <c r="AY8" s="138"/>
      <c r="AZ8" s="206">
        <f t="shared" si="15"/>
        <v>677.77199999999993</v>
      </c>
      <c r="BA8" s="45"/>
      <c r="BB8" s="207" t="s">
        <v>10</v>
      </c>
      <c r="BC8" s="205"/>
      <c r="BF8" s="138">
        <v>1094.78</v>
      </c>
      <c r="BG8" s="138">
        <f t="shared" si="16"/>
        <v>34400233.439999998</v>
      </c>
      <c r="BH8" s="138"/>
      <c r="BI8" s="138"/>
      <c r="BJ8" s="138"/>
      <c r="BK8" s="138"/>
      <c r="BL8" s="138"/>
      <c r="BM8" s="138"/>
      <c r="BO8" s="206">
        <f t="shared" si="17"/>
        <v>34401328.219999999</v>
      </c>
      <c r="BP8" s="45"/>
      <c r="BU8" s="44">
        <f t="shared" si="3"/>
        <v>694.47461559999999</v>
      </c>
      <c r="BV8" s="194" t="s">
        <v>10</v>
      </c>
      <c r="BW8" s="137">
        <f t="shared" si="18"/>
        <v>102.99809951213776</v>
      </c>
      <c r="BX8" s="137">
        <f t="shared" si="4"/>
        <v>101.92684133803442</v>
      </c>
      <c r="BY8" s="137">
        <f t="shared" si="5"/>
        <v>0</v>
      </c>
      <c r="BZ8" s="137">
        <f t="shared" si="6"/>
        <v>0</v>
      </c>
      <c r="CA8" s="137">
        <f t="shared" si="7"/>
        <v>0</v>
      </c>
      <c r="CB8" s="137">
        <f t="shared" si="8"/>
        <v>0</v>
      </c>
      <c r="CC8" s="203">
        <f t="shared" si="9"/>
        <v>102.46464369918999</v>
      </c>
      <c r="CE8" s="135" t="s">
        <v>10</v>
      </c>
      <c r="CF8" s="44">
        <f t="shared" si="19"/>
        <v>337.51</v>
      </c>
      <c r="CG8" s="44">
        <f t="shared" si="20"/>
        <v>340.26000000000005</v>
      </c>
      <c r="CH8" s="44">
        <f t="shared" si="21"/>
        <v>0</v>
      </c>
      <c r="CI8" s="44">
        <f t="shared" si="22"/>
        <v>0</v>
      </c>
      <c r="CJ8" s="259">
        <f t="shared" si="23"/>
        <v>677.77</v>
      </c>
      <c r="CL8" s="44">
        <f t="shared" si="24"/>
        <v>34401328.219999999</v>
      </c>
      <c r="CM8" s="44">
        <f t="shared" si="25"/>
        <v>35046133.339999996</v>
      </c>
      <c r="CN8" s="44">
        <f t="shared" si="26"/>
        <v>0</v>
      </c>
      <c r="CO8" s="44">
        <f t="shared" si="27"/>
        <v>0</v>
      </c>
      <c r="CP8" s="261">
        <f t="shared" si="28"/>
        <v>69447461.560000002</v>
      </c>
      <c r="CR8" s="132">
        <f t="shared" si="29"/>
        <v>101.92684133803442</v>
      </c>
      <c r="CS8" s="132">
        <f t="shared" si="10"/>
        <v>102.99809951213776</v>
      </c>
      <c r="CT8" s="132">
        <f t="shared" si="11"/>
        <v>0</v>
      </c>
      <c r="CU8" s="132">
        <f t="shared" si="12"/>
        <v>0</v>
      </c>
      <c r="CV8" s="269">
        <f t="shared" si="13"/>
        <v>102.46464369918999</v>
      </c>
    </row>
    <row r="9" spans="2:100">
      <c r="B9" s="194" t="s">
        <v>11</v>
      </c>
      <c r="C9" s="138">
        <f>'Imports 2013-14'!$G$32</f>
        <v>21370.34</v>
      </c>
      <c r="D9" s="138">
        <f>'Imports 2013-14'!$G$48</f>
        <v>13938.879999999996</v>
      </c>
      <c r="E9" s="138">
        <f>'Imports 2013-14'!$G$64</f>
        <v>7738.2000000000007</v>
      </c>
      <c r="F9" s="138">
        <f>'Imports 2013-14'!$G$80</f>
        <v>0</v>
      </c>
      <c r="G9" s="138">
        <f>'Imports 2013-14'!$G$96</f>
        <v>0</v>
      </c>
      <c r="H9" s="138">
        <f>'Imports 2013-14'!$G$112</f>
        <v>0</v>
      </c>
      <c r="I9" s="206">
        <f t="shared" si="0"/>
        <v>43047.42</v>
      </c>
      <c r="K9" s="194" t="s">
        <v>11</v>
      </c>
      <c r="L9" s="138">
        <f>'Imports 2013-14'!$V$32</f>
        <v>1964561056.3000002</v>
      </c>
      <c r="M9" s="138">
        <f>'Imports 2013-14'!$V$48</f>
        <v>1236904265.1900001</v>
      </c>
      <c r="N9" s="138">
        <f>'Imports 2013-14'!$V$64</f>
        <v>754614145.71999991</v>
      </c>
      <c r="O9" s="138">
        <f>'Imports 2013-14'!$V$80</f>
        <v>0</v>
      </c>
      <c r="P9" s="138">
        <f>'Imports 2013-14'!$V$96</f>
        <v>0</v>
      </c>
      <c r="Q9" s="138">
        <f>'Imports 2013-14'!$V$112</f>
        <v>0</v>
      </c>
      <c r="R9" s="198">
        <f t="shared" si="30"/>
        <v>3956079467.21</v>
      </c>
      <c r="T9" s="194" t="s">
        <v>11</v>
      </c>
      <c r="U9" s="138">
        <f>'Imports 2013-14'!$AK$32</f>
        <v>32288811.17572036</v>
      </c>
      <c r="V9" s="138">
        <f>'Imports 2013-14'!$AK$48</f>
        <v>20336257.575347066</v>
      </c>
      <c r="W9" s="138">
        <f>'Imports 2013-14'!$AK$64</f>
        <v>12322517.673611129</v>
      </c>
      <c r="X9" s="138">
        <f>'Imports 2013-14'!$AK$80</f>
        <v>0</v>
      </c>
      <c r="Y9" s="138">
        <f>'Imports 2013-14'!$AK$96</f>
        <v>0</v>
      </c>
      <c r="Z9" s="138">
        <f>'Imports 2013-14'!$AK$112</f>
        <v>0</v>
      </c>
      <c r="AA9" s="198">
        <f t="shared" si="2"/>
        <v>64947586.424678557</v>
      </c>
      <c r="AB9" s="138"/>
      <c r="AC9" s="194" t="s">
        <v>11</v>
      </c>
      <c r="AD9" s="138">
        <f t="shared" si="31"/>
        <v>1510.9170549331625</v>
      </c>
      <c r="AE9" s="138">
        <f t="shared" si="32"/>
        <v>1458.9592259454901</v>
      </c>
      <c r="AF9" s="138">
        <f t="shared" si="33"/>
        <v>1592.4268788104634</v>
      </c>
      <c r="AG9" s="138">
        <f t="shared" si="34"/>
        <v>0</v>
      </c>
      <c r="AH9" s="138">
        <f t="shared" si="35"/>
        <v>0</v>
      </c>
      <c r="AI9" s="198">
        <f t="shared" si="36"/>
        <v>1508.7451564966857</v>
      </c>
      <c r="AJ9" s="138"/>
      <c r="AK9" s="204"/>
      <c r="AM9" s="194" t="s">
        <v>11</v>
      </c>
      <c r="AN9" s="205">
        <v>256.52</v>
      </c>
      <c r="AO9" s="138">
        <v>196.64</v>
      </c>
      <c r="AP9" s="138"/>
      <c r="AQ9" s="138"/>
      <c r="AR9" s="138">
        <v>41426.126999999979</v>
      </c>
      <c r="AS9" s="138"/>
      <c r="AT9" s="138"/>
      <c r="AU9" s="138"/>
      <c r="AV9" s="138"/>
      <c r="AW9" s="138"/>
      <c r="AX9" s="138">
        <v>1177.7299999999998</v>
      </c>
      <c r="AY9" s="138"/>
      <c r="AZ9" s="206">
        <f t="shared" si="15"/>
        <v>43057.016999999985</v>
      </c>
      <c r="BA9" s="45"/>
      <c r="BB9" s="207" t="s">
        <v>11</v>
      </c>
      <c r="BC9" s="205">
        <v>24768169.249999996</v>
      </c>
      <c r="BD9" s="35">
        <v>18556698.759999998</v>
      </c>
      <c r="BF9" s="138"/>
      <c r="BG9" s="138">
        <f t="shared" si="16"/>
        <v>1236904265.1900001</v>
      </c>
      <c r="BH9" s="138"/>
      <c r="BI9" s="138"/>
      <c r="BJ9" s="138"/>
      <c r="BK9" s="138"/>
      <c r="BL9" s="138"/>
      <c r="BM9" s="138">
        <v>109758012.05000001</v>
      </c>
      <c r="BO9" s="206">
        <f t="shared" si="17"/>
        <v>1389987145.25</v>
      </c>
      <c r="BP9" s="45"/>
      <c r="BU9" s="44">
        <f t="shared" si="3"/>
        <v>39560.794672099997</v>
      </c>
      <c r="BV9" s="194" t="s">
        <v>11</v>
      </c>
      <c r="BW9" s="137">
        <f t="shared" si="18"/>
        <v>91.929330852948539</v>
      </c>
      <c r="BX9" s="137">
        <f t="shared" si="4"/>
        <v>88.737708136521761</v>
      </c>
      <c r="BY9" s="137">
        <f t="shared" si="5"/>
        <v>97.518046279496502</v>
      </c>
      <c r="BZ9" s="137">
        <f t="shared" si="6"/>
        <v>0</v>
      </c>
      <c r="CA9" s="137">
        <f t="shared" si="7"/>
        <v>0</v>
      </c>
      <c r="CB9" s="137">
        <f t="shared" si="8"/>
        <v>0</v>
      </c>
      <c r="CC9" s="203">
        <f t="shared" si="9"/>
        <v>91.900501056973923</v>
      </c>
      <c r="CE9" s="135" t="s">
        <v>11</v>
      </c>
      <c r="CF9" s="44">
        <f t="shared" si="19"/>
        <v>13938.879999999996</v>
      </c>
      <c r="CG9" s="44">
        <f t="shared" si="20"/>
        <v>21370.34</v>
      </c>
      <c r="CH9" s="44">
        <f t="shared" si="21"/>
        <v>7738.2000000000007</v>
      </c>
      <c r="CI9" s="44">
        <f t="shared" si="22"/>
        <v>0</v>
      </c>
      <c r="CJ9" s="259">
        <f t="shared" si="23"/>
        <v>43047.42</v>
      </c>
      <c r="CL9" s="44">
        <f t="shared" si="24"/>
        <v>1236904265.1900001</v>
      </c>
      <c r="CM9" s="44">
        <f t="shared" si="25"/>
        <v>1964561056.3000002</v>
      </c>
      <c r="CN9" s="44">
        <f t="shared" si="26"/>
        <v>754614145.71999991</v>
      </c>
      <c r="CO9" s="44">
        <f t="shared" si="27"/>
        <v>0</v>
      </c>
      <c r="CP9" s="261">
        <f t="shared" si="28"/>
        <v>3956079467.21</v>
      </c>
      <c r="CR9" s="132">
        <f t="shared" si="29"/>
        <v>88.737708136521761</v>
      </c>
      <c r="CS9" s="132">
        <f t="shared" si="10"/>
        <v>91.929330852948539</v>
      </c>
      <c r="CT9" s="132">
        <f t="shared" si="11"/>
        <v>97.518046279496502</v>
      </c>
      <c r="CU9" s="132">
        <f t="shared" si="12"/>
        <v>0</v>
      </c>
      <c r="CV9" s="269">
        <f t="shared" si="13"/>
        <v>91.900501056973923</v>
      </c>
    </row>
    <row r="10" spans="2:100">
      <c r="B10" s="194" t="s">
        <v>12</v>
      </c>
      <c r="C10" s="138">
        <f>'Imports 2013-14'!$H$32</f>
        <v>6213.94</v>
      </c>
      <c r="D10" s="138">
        <f>'Imports 2013-14'!$H$48</f>
        <v>0</v>
      </c>
      <c r="E10" s="138">
        <f>'Imports 2013-14'!$H$64</f>
        <v>4540.380005</v>
      </c>
      <c r="F10" s="138">
        <f>'Imports 2013-14'!$H$80</f>
        <v>0</v>
      </c>
      <c r="G10" s="138">
        <f>'Imports 2013-14'!$H$96</f>
        <v>0</v>
      </c>
      <c r="H10" s="138">
        <f>'Imports 2013-14'!$H$112</f>
        <v>0</v>
      </c>
      <c r="I10" s="206">
        <f t="shared" si="0"/>
        <v>10754.320005</v>
      </c>
      <c r="K10" s="194" t="s">
        <v>12</v>
      </c>
      <c r="L10" s="138">
        <f>'Imports 2013-14'!$W$32</f>
        <v>542558403.70999992</v>
      </c>
      <c r="M10" s="138">
        <f>'Imports 2013-14'!$W$48</f>
        <v>0</v>
      </c>
      <c r="N10" s="138">
        <f>'Imports 2013-14'!$W$64</f>
        <v>459206556.06999993</v>
      </c>
      <c r="O10" s="138">
        <f>'Imports 2013-14'!$W$80</f>
        <v>0</v>
      </c>
      <c r="P10" s="138">
        <f>'Imports 2013-14'!$W$96</f>
        <v>0</v>
      </c>
      <c r="Q10" s="138">
        <f>'Imports 2013-14'!$W$112</f>
        <v>0</v>
      </c>
      <c r="R10" s="198">
        <f t="shared" si="30"/>
        <v>1001764959.7799999</v>
      </c>
      <c r="T10" s="194" t="s">
        <v>12</v>
      </c>
      <c r="U10" s="138">
        <f>'Imports 2013-14'!$AL$32</f>
        <v>8865134.491168078</v>
      </c>
      <c r="V10" s="138">
        <f>'Imports 2013-14'!$AL$48</f>
        <v>0</v>
      </c>
      <c r="W10" s="138">
        <f>'Imports 2013-14'!$AL$64</f>
        <v>7450305.3136354582</v>
      </c>
      <c r="X10" s="138">
        <f>'Imports 2013-14'!$AL$80</f>
        <v>0</v>
      </c>
      <c r="Y10" s="138">
        <f>'Imports 2013-14'!$AL$96</f>
        <v>0</v>
      </c>
      <c r="Z10" s="138">
        <f>'Imports 2013-14'!$AL$112</f>
        <v>0</v>
      </c>
      <c r="AA10" s="198">
        <f t="shared" si="2"/>
        <v>16315439.804803535</v>
      </c>
      <c r="AB10" s="138"/>
      <c r="AC10" s="194" t="s">
        <v>12</v>
      </c>
      <c r="AD10" s="138">
        <f t="shared" si="31"/>
        <v>1426.6527342021452</v>
      </c>
      <c r="AE10" s="138">
        <f t="shared" si="32"/>
        <v>0</v>
      </c>
      <c r="AF10" s="138">
        <f t="shared" si="33"/>
        <v>1640.8990669131138</v>
      </c>
      <c r="AG10" s="138">
        <f t="shared" si="34"/>
        <v>0</v>
      </c>
      <c r="AH10" s="138">
        <f t="shared" si="35"/>
        <v>0</v>
      </c>
      <c r="AI10" s="198">
        <f t="shared" si="36"/>
        <v>1517.105665185526</v>
      </c>
      <c r="AJ10" s="138"/>
      <c r="AK10" s="204"/>
      <c r="AM10" s="194" t="s">
        <v>12</v>
      </c>
      <c r="AN10" s="205"/>
      <c r="AO10" s="138"/>
      <c r="AP10" s="138"/>
      <c r="AQ10" s="138"/>
      <c r="AR10" s="138">
        <v>10754.320005</v>
      </c>
      <c r="AS10" s="138"/>
      <c r="AT10" s="138"/>
      <c r="AU10" s="138"/>
      <c r="AV10" s="138"/>
      <c r="AW10" s="138"/>
      <c r="AX10" s="138"/>
      <c r="AY10" s="138"/>
      <c r="AZ10" s="206">
        <f t="shared" si="15"/>
        <v>10754.320005</v>
      </c>
      <c r="BA10" s="45"/>
      <c r="BB10" s="207" t="s">
        <v>12</v>
      </c>
      <c r="BC10" s="205"/>
      <c r="BF10" s="138"/>
      <c r="BG10" s="138">
        <f t="shared" si="16"/>
        <v>0</v>
      </c>
      <c r="BH10" s="138"/>
      <c r="BI10" s="138"/>
      <c r="BJ10" s="138"/>
      <c r="BK10" s="138"/>
      <c r="BL10" s="138"/>
      <c r="BM10" s="138"/>
      <c r="BO10" s="206">
        <f t="shared" si="17"/>
        <v>0</v>
      </c>
      <c r="BP10" s="45"/>
      <c r="BU10" s="44">
        <f t="shared" si="3"/>
        <v>10017.649597799998</v>
      </c>
      <c r="BV10" s="194" t="s">
        <v>12</v>
      </c>
      <c r="BW10" s="137">
        <f t="shared" si="18"/>
        <v>87.313106291660361</v>
      </c>
      <c r="BX10" s="137">
        <f t="shared" si="4"/>
        <v>0</v>
      </c>
      <c r="BY10" s="137">
        <f t="shared" si="5"/>
        <v>101.13835308152801</v>
      </c>
      <c r="BZ10" s="137">
        <f t="shared" si="6"/>
        <v>0</v>
      </c>
      <c r="CA10" s="137">
        <f t="shared" si="7"/>
        <v>0</v>
      </c>
      <c r="CB10" s="137">
        <f t="shared" si="8"/>
        <v>0</v>
      </c>
      <c r="CC10" s="203">
        <f t="shared" si="9"/>
        <v>93.150004771501116</v>
      </c>
      <c r="CE10" s="135" t="s">
        <v>12</v>
      </c>
      <c r="CF10" s="44">
        <f t="shared" si="19"/>
        <v>0</v>
      </c>
      <c r="CG10" s="44">
        <f t="shared" si="20"/>
        <v>6213.94</v>
      </c>
      <c r="CH10" s="44">
        <f t="shared" si="21"/>
        <v>4540.380005</v>
      </c>
      <c r="CI10" s="44">
        <f t="shared" si="22"/>
        <v>0</v>
      </c>
      <c r="CJ10" s="259">
        <f t="shared" si="23"/>
        <v>10754.320005</v>
      </c>
      <c r="CL10" s="44">
        <f t="shared" si="24"/>
        <v>0</v>
      </c>
      <c r="CM10" s="44">
        <f t="shared" si="25"/>
        <v>542558403.70999992</v>
      </c>
      <c r="CN10" s="44">
        <f t="shared" si="26"/>
        <v>459206556.06999993</v>
      </c>
      <c r="CO10" s="44">
        <f t="shared" si="27"/>
        <v>0</v>
      </c>
      <c r="CP10" s="261">
        <f t="shared" si="28"/>
        <v>1001764959.7799999</v>
      </c>
      <c r="CR10" s="132">
        <f t="shared" si="29"/>
        <v>0</v>
      </c>
      <c r="CS10" s="132">
        <f t="shared" si="10"/>
        <v>87.313106291660361</v>
      </c>
      <c r="CT10" s="132">
        <f t="shared" si="11"/>
        <v>101.13835308152801</v>
      </c>
      <c r="CU10" s="132">
        <f t="shared" si="12"/>
        <v>0</v>
      </c>
      <c r="CV10" s="269">
        <f t="shared" si="13"/>
        <v>93.150004771501116</v>
      </c>
    </row>
    <row r="11" spans="2:100">
      <c r="B11" s="194" t="s">
        <v>13</v>
      </c>
      <c r="C11" s="138">
        <f>'Imports 2013-14'!$I$32</f>
        <v>859.19007000000011</v>
      </c>
      <c r="D11" s="138">
        <f>'Imports 2013-14'!$I$48</f>
        <v>19.7</v>
      </c>
      <c r="E11" s="138">
        <f>'Imports 2013-14'!$I$64</f>
        <v>1443.9199999999998</v>
      </c>
      <c r="F11" s="138">
        <f>'Imports 2013-14'!$I$80</f>
        <v>0</v>
      </c>
      <c r="G11" s="138">
        <f>'Imports 2013-14'!$I$96</f>
        <v>0</v>
      </c>
      <c r="H11" s="138">
        <f>'Imports 2013-14'!$I$112</f>
        <v>0</v>
      </c>
      <c r="I11" s="206">
        <f t="shared" si="0"/>
        <v>2322.81007</v>
      </c>
      <c r="K11" s="194" t="s">
        <v>13</v>
      </c>
      <c r="L11" s="138">
        <f>'Imports 2013-14'!$X$32</f>
        <v>77770899.679999992</v>
      </c>
      <c r="M11" s="138">
        <f>'Imports 2013-14'!$X$48</f>
        <v>1485609.51</v>
      </c>
      <c r="N11" s="138">
        <f>'Imports 2013-14'!$X$64</f>
        <v>143806513.5</v>
      </c>
      <c r="O11" s="138">
        <f>'Imports 2013-14'!$X$80</f>
        <v>0</v>
      </c>
      <c r="P11" s="138">
        <f>'Imports 2013-14'!$X$96</f>
        <v>0</v>
      </c>
      <c r="Q11" s="138">
        <f>'Imports 2013-14'!$X$112</f>
        <v>0</v>
      </c>
      <c r="R11" s="198">
        <f t="shared" si="30"/>
        <v>223063022.69</v>
      </c>
      <c r="T11" s="194" t="s">
        <v>13</v>
      </c>
      <c r="U11" s="138">
        <f>'Imports 2013-14'!$AM$32</f>
        <v>1280676.2030004535</v>
      </c>
      <c r="V11" s="138">
        <f>'Imports 2013-14'!$AM$48</f>
        <v>27258.89009174312</v>
      </c>
      <c r="W11" s="138">
        <f>'Imports 2013-14'!$AM$64</f>
        <v>2323359.8078579898</v>
      </c>
      <c r="X11" s="138">
        <f>'Imports 2013-14'!$AM$80</f>
        <v>0</v>
      </c>
      <c r="Y11" s="138">
        <f>'Imports 2013-14'!$AM$96</f>
        <v>0</v>
      </c>
      <c r="Z11" s="138">
        <f>'Imports 2013-14'!$AM$112</f>
        <v>0</v>
      </c>
      <c r="AA11" s="198">
        <f t="shared" si="2"/>
        <v>3631294.9009501864</v>
      </c>
      <c r="AB11" s="138"/>
      <c r="AC11" s="194" t="s">
        <v>13</v>
      </c>
      <c r="AD11" s="138">
        <f t="shared" si="31"/>
        <v>1490.5621558224636</v>
      </c>
      <c r="AE11" s="138">
        <f t="shared" si="32"/>
        <v>1383.7000046570113</v>
      </c>
      <c r="AF11" s="138">
        <f t="shared" si="33"/>
        <v>1609.0640810141767</v>
      </c>
      <c r="AG11" s="138">
        <f t="shared" si="34"/>
        <v>0</v>
      </c>
      <c r="AH11" s="138">
        <f t="shared" si="35"/>
        <v>0</v>
      </c>
      <c r="AI11" s="198">
        <f t="shared" si="36"/>
        <v>1563.3197685208013</v>
      </c>
      <c r="AJ11" s="138"/>
      <c r="AK11" s="204"/>
      <c r="AM11" s="194" t="s">
        <v>13</v>
      </c>
      <c r="AN11" s="205"/>
      <c r="AO11" s="138"/>
      <c r="AP11" s="138"/>
      <c r="AQ11" s="138"/>
      <c r="AR11" s="138">
        <v>2322.81007</v>
      </c>
      <c r="AS11" s="138"/>
      <c r="AT11" s="138"/>
      <c r="AU11" s="138"/>
      <c r="AV11" s="138"/>
      <c r="AW11" s="138"/>
      <c r="AX11" s="138"/>
      <c r="AY11" s="138"/>
      <c r="AZ11" s="206">
        <f t="shared" si="15"/>
        <v>2322.81007</v>
      </c>
      <c r="BA11" s="45"/>
      <c r="BB11" s="207" t="s">
        <v>13</v>
      </c>
      <c r="BC11" s="205"/>
      <c r="BF11" s="138"/>
      <c r="BG11" s="138">
        <f t="shared" si="16"/>
        <v>1485609.51</v>
      </c>
      <c r="BH11" s="138"/>
      <c r="BI11" s="138"/>
      <c r="BJ11" s="138"/>
      <c r="BK11" s="138"/>
      <c r="BL11" s="138"/>
      <c r="BM11" s="138"/>
      <c r="BO11" s="206">
        <f t="shared" si="17"/>
        <v>1485609.51</v>
      </c>
      <c r="BP11" s="45"/>
      <c r="BU11" s="44">
        <f t="shared" si="3"/>
        <v>2230.6302268999998</v>
      </c>
      <c r="BV11" s="194" t="s">
        <v>13</v>
      </c>
      <c r="BW11" s="137">
        <f t="shared" si="18"/>
        <v>90.516525266638595</v>
      </c>
      <c r="BX11" s="137">
        <f t="shared" si="4"/>
        <v>75.41165025380711</v>
      </c>
      <c r="BY11" s="137">
        <f t="shared" si="5"/>
        <v>99.59451597041388</v>
      </c>
      <c r="BZ11" s="137">
        <f t="shared" si="6"/>
        <v>0</v>
      </c>
      <c r="CA11" s="137">
        <f t="shared" si="7"/>
        <v>0</v>
      </c>
      <c r="CB11" s="137">
        <f t="shared" si="8"/>
        <v>0</v>
      </c>
      <c r="CC11" s="203">
        <f t="shared" si="9"/>
        <v>96.03153764956771</v>
      </c>
      <c r="CE11" s="135" t="s">
        <v>13</v>
      </c>
      <c r="CF11" s="44">
        <f t="shared" si="19"/>
        <v>19.7</v>
      </c>
      <c r="CG11" s="44">
        <f t="shared" si="20"/>
        <v>859.19007000000011</v>
      </c>
      <c r="CH11" s="44">
        <f t="shared" si="21"/>
        <v>1443.9199999999998</v>
      </c>
      <c r="CI11" s="44">
        <f t="shared" si="22"/>
        <v>0</v>
      </c>
      <c r="CJ11" s="259">
        <f t="shared" si="23"/>
        <v>2322.81007</v>
      </c>
      <c r="CL11" s="44">
        <f t="shared" si="24"/>
        <v>1485609.51</v>
      </c>
      <c r="CM11" s="44">
        <f t="shared" si="25"/>
        <v>77770899.679999992</v>
      </c>
      <c r="CN11" s="44">
        <f t="shared" si="26"/>
        <v>143806513.5</v>
      </c>
      <c r="CO11" s="44">
        <f t="shared" si="27"/>
        <v>0</v>
      </c>
      <c r="CP11" s="261">
        <f t="shared" si="28"/>
        <v>223063022.69</v>
      </c>
      <c r="CR11" s="132">
        <f t="shared" si="29"/>
        <v>75.41165025380711</v>
      </c>
      <c r="CS11" s="132">
        <f t="shared" si="10"/>
        <v>90.516525266638595</v>
      </c>
      <c r="CT11" s="132">
        <f t="shared" si="11"/>
        <v>99.59451597041388</v>
      </c>
      <c r="CU11" s="132">
        <f t="shared" si="12"/>
        <v>0</v>
      </c>
      <c r="CV11" s="269">
        <f t="shared" si="13"/>
        <v>96.03153764956771</v>
      </c>
    </row>
    <row r="12" spans="2:100">
      <c r="B12" s="194" t="s">
        <v>14</v>
      </c>
      <c r="C12" s="138">
        <f>'Imports 2013-14'!$J$32</f>
        <v>0</v>
      </c>
      <c r="D12" s="138">
        <f>'Imports 2013-14'!$J$48</f>
        <v>0</v>
      </c>
      <c r="E12" s="138">
        <f>'Imports 2013-14'!$J$64</f>
        <v>0</v>
      </c>
      <c r="F12" s="138">
        <f>'Imports 2013-14'!$J$80</f>
        <v>0</v>
      </c>
      <c r="G12" s="138">
        <f>'Imports 2013-14'!$J$96</f>
        <v>0</v>
      </c>
      <c r="H12" s="138">
        <f>'Imports 2013-14'!$J$112</f>
        <v>0</v>
      </c>
      <c r="I12" s="206">
        <f t="shared" si="0"/>
        <v>0</v>
      </c>
      <c r="K12" s="194" t="s">
        <v>14</v>
      </c>
      <c r="L12" s="138">
        <f>'Imports 2013-14'!$Y$32</f>
        <v>0</v>
      </c>
      <c r="M12" s="138">
        <f>'Imports 2013-14'!$Y$48</f>
        <v>0</v>
      </c>
      <c r="N12" s="138">
        <f>'Imports 2013-14'!$Y$64</f>
        <v>0</v>
      </c>
      <c r="O12" s="138">
        <f>'Imports 2013-14'!$Y$80</f>
        <v>0</v>
      </c>
      <c r="P12" s="138">
        <f>'Imports 2013-14'!$Y$96</f>
        <v>0</v>
      </c>
      <c r="Q12" s="138">
        <f>'Imports 2013-14'!$Y$112</f>
        <v>0</v>
      </c>
      <c r="R12" s="198">
        <f t="shared" si="30"/>
        <v>0</v>
      </c>
      <c r="T12" s="194" t="s">
        <v>14</v>
      </c>
      <c r="U12" s="138">
        <f>'Imports 2013-14'!$AN$32</f>
        <v>0</v>
      </c>
      <c r="V12" s="138">
        <f>'Imports 2013-14'!$AN$48</f>
        <v>0</v>
      </c>
      <c r="W12" s="138">
        <f>'Imports 2013-14'!$AN$64</f>
        <v>0</v>
      </c>
      <c r="X12" s="138">
        <f>'Imports 2013-14'!$AN$80</f>
        <v>0</v>
      </c>
      <c r="Y12" s="138">
        <f>'Imports 2013-14'!$AN$96</f>
        <v>0</v>
      </c>
      <c r="Z12" s="138">
        <f>'Imports 2013-14'!$AN$112</f>
        <v>0</v>
      </c>
      <c r="AA12" s="198">
        <f t="shared" si="2"/>
        <v>0</v>
      </c>
      <c r="AB12" s="138"/>
      <c r="AC12" s="194" t="s">
        <v>14</v>
      </c>
      <c r="AD12" s="138">
        <f t="shared" si="31"/>
        <v>0</v>
      </c>
      <c r="AE12" s="138">
        <f t="shared" si="32"/>
        <v>0</v>
      </c>
      <c r="AF12" s="138">
        <f t="shared" si="33"/>
        <v>0</v>
      </c>
      <c r="AG12" s="138">
        <f t="shared" si="34"/>
        <v>0</v>
      </c>
      <c r="AH12" s="138">
        <f t="shared" si="35"/>
        <v>0</v>
      </c>
      <c r="AI12" s="198">
        <f t="shared" si="36"/>
        <v>0</v>
      </c>
      <c r="AJ12" s="138"/>
      <c r="AK12" s="204"/>
      <c r="AM12" s="194" t="s">
        <v>14</v>
      </c>
      <c r="AN12" s="205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206">
        <f t="shared" si="15"/>
        <v>0</v>
      </c>
      <c r="BA12" s="45"/>
      <c r="BB12" s="207" t="s">
        <v>14</v>
      </c>
      <c r="BC12" s="205"/>
      <c r="BF12" s="138"/>
      <c r="BG12" s="138">
        <f t="shared" si="16"/>
        <v>0</v>
      </c>
      <c r="BH12" s="138"/>
      <c r="BI12" s="138"/>
      <c r="BJ12" s="138"/>
      <c r="BK12" s="138"/>
      <c r="BL12" s="138"/>
      <c r="BM12" s="138"/>
      <c r="BO12" s="206">
        <f t="shared" si="17"/>
        <v>0</v>
      </c>
      <c r="BP12" s="45"/>
      <c r="BU12" s="44">
        <f t="shared" si="3"/>
        <v>0</v>
      </c>
      <c r="BV12" s="194" t="s">
        <v>14</v>
      </c>
      <c r="BW12" s="137">
        <f t="shared" si="18"/>
        <v>0</v>
      </c>
      <c r="BX12" s="137">
        <f t="shared" si="4"/>
        <v>0</v>
      </c>
      <c r="BY12" s="137">
        <f t="shared" si="5"/>
        <v>0</v>
      </c>
      <c r="BZ12" s="137">
        <f t="shared" si="6"/>
        <v>0</v>
      </c>
      <c r="CA12" s="137">
        <f t="shared" si="7"/>
        <v>0</v>
      </c>
      <c r="CB12" s="137">
        <f t="shared" si="8"/>
        <v>0</v>
      </c>
      <c r="CC12" s="203">
        <f t="shared" si="9"/>
        <v>0</v>
      </c>
      <c r="CE12" s="135" t="s">
        <v>14</v>
      </c>
      <c r="CF12" s="44">
        <f t="shared" si="19"/>
        <v>0</v>
      </c>
      <c r="CG12" s="44">
        <f t="shared" si="20"/>
        <v>0</v>
      </c>
      <c r="CH12" s="44">
        <f t="shared" si="21"/>
        <v>0</v>
      </c>
      <c r="CI12" s="44">
        <f t="shared" si="22"/>
        <v>0</v>
      </c>
      <c r="CJ12" s="259">
        <f t="shared" si="23"/>
        <v>0</v>
      </c>
      <c r="CL12" s="44">
        <f t="shared" si="24"/>
        <v>0</v>
      </c>
      <c r="CM12" s="44">
        <f t="shared" si="25"/>
        <v>0</v>
      </c>
      <c r="CN12" s="44">
        <f t="shared" si="26"/>
        <v>0</v>
      </c>
      <c r="CO12" s="44">
        <f t="shared" si="27"/>
        <v>0</v>
      </c>
      <c r="CP12" s="261">
        <f t="shared" si="28"/>
        <v>0</v>
      </c>
      <c r="CR12" s="132">
        <f t="shared" si="29"/>
        <v>0</v>
      </c>
      <c r="CS12" s="132">
        <f t="shared" si="10"/>
        <v>0</v>
      </c>
      <c r="CT12" s="132">
        <f t="shared" si="11"/>
        <v>0</v>
      </c>
      <c r="CU12" s="132">
        <f t="shared" si="12"/>
        <v>0</v>
      </c>
      <c r="CV12" s="269">
        <f t="shared" si="13"/>
        <v>0</v>
      </c>
    </row>
    <row r="13" spans="2:100">
      <c r="B13" s="194" t="s">
        <v>18</v>
      </c>
      <c r="C13" s="138">
        <f>'Imports 2013-14'!$K$32</f>
        <v>66.8</v>
      </c>
      <c r="D13" s="138">
        <f>'Imports 2013-14'!$K$48</f>
        <v>157.19999999999999</v>
      </c>
      <c r="E13" s="138">
        <f>'Imports 2013-14'!$K$64</f>
        <v>11</v>
      </c>
      <c r="F13" s="138">
        <f>'Imports 2013-14'!$K$80</f>
        <v>0</v>
      </c>
      <c r="G13" s="138">
        <f>'Imports 2013-14'!$K$96</f>
        <v>0</v>
      </c>
      <c r="H13" s="138">
        <f>'Imports 2013-14'!$K$112</f>
        <v>0</v>
      </c>
      <c r="I13" s="206">
        <f t="shared" si="0"/>
        <v>235</v>
      </c>
      <c r="K13" s="194" t="s">
        <v>18</v>
      </c>
      <c r="L13" s="138">
        <f>'Imports 2013-14'!$Z$32</f>
        <v>6730238.6899999995</v>
      </c>
      <c r="M13" s="138">
        <f>'Imports 2013-14'!$Z$48</f>
        <v>14940439.630000001</v>
      </c>
      <c r="N13" s="138">
        <f>'Imports 2013-14'!$Z$64</f>
        <v>1108583.8</v>
      </c>
      <c r="O13" s="138">
        <f>'Imports 2013-14'!$Z$80</f>
        <v>0</v>
      </c>
      <c r="P13" s="138">
        <f>'Imports 2013-14'!$Z$96</f>
        <v>0</v>
      </c>
      <c r="Q13" s="138">
        <f>'Imports 2013-14'!$Z$112</f>
        <v>0</v>
      </c>
      <c r="R13" s="198">
        <f t="shared" si="30"/>
        <v>22779262.120000001</v>
      </c>
      <c r="T13" s="194" t="s">
        <v>18</v>
      </c>
      <c r="U13" s="138">
        <f>'Imports 2013-14'!$AO$32</f>
        <v>111564.31148027915</v>
      </c>
      <c r="V13" s="138">
        <f>'Imports 2013-14'!$AO$48</f>
        <v>251547.54425553285</v>
      </c>
      <c r="W13" s="138">
        <f>'Imports 2013-14'!$AO$64</f>
        <v>18584.808046940489</v>
      </c>
      <c r="X13" s="138">
        <f>'Imports 2013-14'!$AO$80</f>
        <v>0</v>
      </c>
      <c r="Y13" s="138">
        <f>'Imports 2013-14'!$AO$96</f>
        <v>0</v>
      </c>
      <c r="Z13" s="138">
        <f>'Imports 2013-14'!$AO$112</f>
        <v>0</v>
      </c>
      <c r="AA13" s="198">
        <f t="shared" si="2"/>
        <v>381696.66378275247</v>
      </c>
      <c r="AB13" s="138"/>
      <c r="AC13" s="194" t="s">
        <v>18</v>
      </c>
      <c r="AD13" s="138">
        <f t="shared" si="31"/>
        <v>1670.1244233574723</v>
      </c>
      <c r="AE13" s="138">
        <f t="shared" si="32"/>
        <v>1600.1752179105144</v>
      </c>
      <c r="AF13" s="138">
        <f t="shared" si="33"/>
        <v>1689.5280042673171</v>
      </c>
      <c r="AG13" s="138">
        <f t="shared" si="34"/>
        <v>0</v>
      </c>
      <c r="AH13" s="138">
        <f t="shared" si="35"/>
        <v>0</v>
      </c>
      <c r="AI13" s="198">
        <f t="shared" si="36"/>
        <v>1624.2411224797977</v>
      </c>
      <c r="AJ13" s="138"/>
      <c r="AK13" s="204"/>
      <c r="AM13" s="194" t="s">
        <v>18</v>
      </c>
      <c r="AN13" s="205"/>
      <c r="AO13" s="138"/>
      <c r="AP13" s="138"/>
      <c r="AQ13" s="138"/>
      <c r="AR13" s="138">
        <v>253.92</v>
      </c>
      <c r="AS13" s="138"/>
      <c r="AT13" s="138"/>
      <c r="AU13" s="138"/>
      <c r="AV13" s="138"/>
      <c r="AW13" s="138"/>
      <c r="AX13" s="138"/>
      <c r="AY13" s="138"/>
      <c r="AZ13" s="206">
        <f t="shared" si="15"/>
        <v>253.92</v>
      </c>
      <c r="BA13" s="45"/>
      <c r="BB13" s="207" t="s">
        <v>18</v>
      </c>
      <c r="BC13" s="205"/>
      <c r="BF13" s="138"/>
      <c r="BG13" s="138">
        <f t="shared" si="16"/>
        <v>14940439.630000001</v>
      </c>
      <c r="BH13" s="138"/>
      <c r="BI13" s="138"/>
      <c r="BJ13" s="138"/>
      <c r="BK13" s="138"/>
      <c r="BL13" s="138"/>
      <c r="BM13" s="138"/>
      <c r="BO13" s="206">
        <f t="shared" si="17"/>
        <v>14940439.630000001</v>
      </c>
      <c r="BP13" s="45"/>
      <c r="BU13" s="44">
        <f t="shared" si="3"/>
        <v>227.79262120000001</v>
      </c>
      <c r="BV13" s="194" t="s">
        <v>18</v>
      </c>
      <c r="BW13" s="137">
        <f t="shared" si="18"/>
        <v>100.75207619760478</v>
      </c>
      <c r="BX13" s="137">
        <f t="shared" si="4"/>
        <v>95.040964567430038</v>
      </c>
      <c r="BY13" s="137">
        <f t="shared" si="5"/>
        <v>100.78034545454545</v>
      </c>
      <c r="BZ13" s="137">
        <f t="shared" si="6"/>
        <v>0</v>
      </c>
      <c r="CA13" s="137">
        <f t="shared" si="7"/>
        <v>0</v>
      </c>
      <c r="CB13" s="137">
        <f t="shared" si="8"/>
        <v>0</v>
      </c>
      <c r="CC13" s="203">
        <f t="shared" si="9"/>
        <v>96.933030297872349</v>
      </c>
      <c r="CE13" s="135" t="s">
        <v>18</v>
      </c>
      <c r="CF13" s="44">
        <f t="shared" si="19"/>
        <v>157.19999999999999</v>
      </c>
      <c r="CG13" s="44">
        <f t="shared" si="20"/>
        <v>66.8</v>
      </c>
      <c r="CH13" s="44">
        <f t="shared" si="21"/>
        <v>11</v>
      </c>
      <c r="CI13" s="44">
        <f t="shared" si="22"/>
        <v>0</v>
      </c>
      <c r="CJ13" s="259">
        <f t="shared" si="23"/>
        <v>235</v>
      </c>
      <c r="CL13" s="44">
        <f t="shared" si="24"/>
        <v>14940439.630000001</v>
      </c>
      <c r="CM13" s="44">
        <f t="shared" si="25"/>
        <v>6730238.6899999995</v>
      </c>
      <c r="CN13" s="44">
        <f t="shared" si="26"/>
        <v>1108583.8</v>
      </c>
      <c r="CO13" s="44">
        <f t="shared" si="27"/>
        <v>0</v>
      </c>
      <c r="CP13" s="261">
        <f t="shared" si="28"/>
        <v>22779262.120000001</v>
      </c>
      <c r="CR13" s="132">
        <f t="shared" si="29"/>
        <v>95.040964567430038</v>
      </c>
      <c r="CS13" s="132">
        <f t="shared" si="10"/>
        <v>100.75207619760478</v>
      </c>
      <c r="CT13" s="132">
        <f t="shared" si="11"/>
        <v>100.78034545454545</v>
      </c>
      <c r="CU13" s="132">
        <f t="shared" si="12"/>
        <v>0</v>
      </c>
      <c r="CV13" s="269">
        <f t="shared" si="13"/>
        <v>96.933030297872349</v>
      </c>
    </row>
    <row r="14" spans="2:100">
      <c r="B14" s="194" t="s">
        <v>15</v>
      </c>
      <c r="C14" s="138">
        <f>'Imports 2013-14'!$L$32</f>
        <v>74.2</v>
      </c>
      <c r="D14" s="138">
        <f>'Imports 2013-14'!$L$48</f>
        <v>0</v>
      </c>
      <c r="E14" s="138">
        <f>'Imports 2013-14'!$L$64</f>
        <v>43</v>
      </c>
      <c r="F14" s="138">
        <f>'Imports 2013-14'!$L$80</f>
        <v>0</v>
      </c>
      <c r="G14" s="138">
        <f>'Imports 2013-14'!$L$96</f>
        <v>0</v>
      </c>
      <c r="H14" s="138">
        <f>'Imports 2013-14'!$L$112</f>
        <v>13.74</v>
      </c>
      <c r="I14" s="206">
        <f t="shared" si="0"/>
        <v>130.94</v>
      </c>
      <c r="K14" s="194" t="s">
        <v>15</v>
      </c>
      <c r="L14" s="138">
        <f>'Imports 2013-14'!$AA$32</f>
        <v>6939844.7700000005</v>
      </c>
      <c r="M14" s="138">
        <f>'Imports 2013-14'!$AA$48</f>
        <v>0</v>
      </c>
      <c r="N14" s="138">
        <f>'Imports 2013-14'!$AA$64</f>
        <v>4027123.29</v>
      </c>
      <c r="O14" s="138">
        <f>'Imports 2013-14'!$AA$80</f>
        <v>0</v>
      </c>
      <c r="P14" s="138">
        <f>'Imports 2013-14'!$AA$96</f>
        <v>0</v>
      </c>
      <c r="Q14" s="138">
        <f>'Imports 2013-14'!$AA$112</f>
        <v>893233.6</v>
      </c>
      <c r="R14" s="198">
        <f t="shared" si="30"/>
        <v>11860201.66</v>
      </c>
      <c r="T14" s="194" t="s">
        <v>15</v>
      </c>
      <c r="U14" s="138">
        <f>'Imports 2013-14'!$AP$32</f>
        <v>114379.29216609188</v>
      </c>
      <c r="V14" s="138">
        <f>'Imports 2013-14'!$AP$48</f>
        <v>0</v>
      </c>
      <c r="W14" s="138">
        <f>'Imports 2013-14'!$AP$64</f>
        <v>67455.447590465366</v>
      </c>
      <c r="X14" s="138">
        <f>'Imports 2013-14'!$AP$80</f>
        <v>0</v>
      </c>
      <c r="Y14" s="138">
        <f>'Imports 2013-14'!$AP$96</f>
        <v>0</v>
      </c>
      <c r="Z14" s="138">
        <f>'Imports 2013-14'!$AP$112</f>
        <v>13331.844776119402</v>
      </c>
      <c r="AA14" s="198">
        <f t="shared" si="2"/>
        <v>195166.58453267664</v>
      </c>
      <c r="AB14" s="138"/>
      <c r="AC14" s="194" t="s">
        <v>15</v>
      </c>
      <c r="AD14" s="138">
        <f t="shared" si="31"/>
        <v>1541.4998944217234</v>
      </c>
      <c r="AE14" s="138">
        <f t="shared" si="32"/>
        <v>0</v>
      </c>
      <c r="AF14" s="138">
        <f t="shared" si="33"/>
        <v>1568.7313393131481</v>
      </c>
      <c r="AG14" s="138">
        <f t="shared" si="34"/>
        <v>0</v>
      </c>
      <c r="AH14" s="138">
        <f t="shared" si="35"/>
        <v>970.29437963023304</v>
      </c>
      <c r="AI14" s="198">
        <f t="shared" si="36"/>
        <v>1490.5039295301408</v>
      </c>
      <c r="AJ14" s="138"/>
      <c r="AK14" s="204"/>
      <c r="AM14" s="194" t="s">
        <v>15</v>
      </c>
      <c r="AN14" s="205"/>
      <c r="AO14" s="138"/>
      <c r="AP14" s="138"/>
      <c r="AQ14" s="138"/>
      <c r="AR14" s="138">
        <v>137.04500000000002</v>
      </c>
      <c r="AS14" s="138"/>
      <c r="AT14" s="138"/>
      <c r="AU14" s="138"/>
      <c r="AV14" s="138"/>
      <c r="AW14" s="138"/>
      <c r="AX14" s="138">
        <v>0.4</v>
      </c>
      <c r="AY14" s="138"/>
      <c r="AZ14" s="206">
        <f t="shared" si="15"/>
        <v>137.44500000000002</v>
      </c>
      <c r="BA14" s="45"/>
      <c r="BB14" s="207" t="s">
        <v>15</v>
      </c>
      <c r="BC14" s="205"/>
      <c r="BF14" s="138"/>
      <c r="BG14" s="138">
        <f t="shared" si="16"/>
        <v>0</v>
      </c>
      <c r="BH14" s="138"/>
      <c r="BI14" s="138"/>
      <c r="BJ14" s="138"/>
      <c r="BK14" s="138"/>
      <c r="BL14" s="138"/>
      <c r="BM14" s="138">
        <v>84930.86</v>
      </c>
      <c r="BO14" s="206">
        <f t="shared" si="17"/>
        <v>84930.86</v>
      </c>
      <c r="BP14" s="45"/>
      <c r="BU14" s="44">
        <f t="shared" si="3"/>
        <v>118.6020166</v>
      </c>
      <c r="BV14" s="194" t="s">
        <v>15</v>
      </c>
      <c r="BW14" s="137">
        <f t="shared" si="18"/>
        <v>93.528905256064689</v>
      </c>
      <c r="BX14" s="137">
        <f t="shared" si="4"/>
        <v>0</v>
      </c>
      <c r="BY14" s="137">
        <f t="shared" si="5"/>
        <v>93.654030000000006</v>
      </c>
      <c r="BZ14" s="137">
        <f t="shared" si="6"/>
        <v>0</v>
      </c>
      <c r="CA14" s="137">
        <f t="shared" si="7"/>
        <v>0</v>
      </c>
      <c r="CB14" s="137">
        <f t="shared" si="8"/>
        <v>65.009723435225609</v>
      </c>
      <c r="CC14" s="203">
        <f t="shared" si="9"/>
        <v>90.577376355582714</v>
      </c>
      <c r="CE14" s="135" t="s">
        <v>15</v>
      </c>
      <c r="CF14" s="44">
        <f t="shared" si="19"/>
        <v>0</v>
      </c>
      <c r="CG14" s="44">
        <f t="shared" si="20"/>
        <v>74.2</v>
      </c>
      <c r="CH14" s="44">
        <f t="shared" si="21"/>
        <v>43</v>
      </c>
      <c r="CI14" s="44">
        <f t="shared" si="22"/>
        <v>13.74</v>
      </c>
      <c r="CJ14" s="259">
        <f t="shared" si="23"/>
        <v>130.94</v>
      </c>
      <c r="CL14" s="44">
        <f t="shared" si="24"/>
        <v>0</v>
      </c>
      <c r="CM14" s="44">
        <f t="shared" si="25"/>
        <v>6939844.7700000005</v>
      </c>
      <c r="CN14" s="44">
        <f t="shared" si="26"/>
        <v>4027123.29</v>
      </c>
      <c r="CO14" s="44">
        <f t="shared" si="27"/>
        <v>893233.6</v>
      </c>
      <c r="CP14" s="261">
        <f t="shared" si="28"/>
        <v>11860201.66</v>
      </c>
      <c r="CR14" s="132">
        <f t="shared" si="29"/>
        <v>0</v>
      </c>
      <c r="CS14" s="132">
        <f t="shared" si="10"/>
        <v>93.528905256064689</v>
      </c>
      <c r="CT14" s="132">
        <f t="shared" si="11"/>
        <v>93.654030000000006</v>
      </c>
      <c r="CU14" s="132">
        <f t="shared" si="12"/>
        <v>65.009723435225609</v>
      </c>
      <c r="CV14" s="269">
        <f t="shared" si="13"/>
        <v>90.577376355582714</v>
      </c>
    </row>
    <row r="15" spans="2:100" ht="12.75" thickBot="1">
      <c r="B15" s="194" t="s">
        <v>16</v>
      </c>
      <c r="C15" s="138">
        <f>'Imports 2013-14'!$M$32</f>
        <v>52</v>
      </c>
      <c r="D15" s="138">
        <f>'Imports 2013-14'!$M$48</f>
        <v>129.6</v>
      </c>
      <c r="E15" s="138">
        <f>'Imports 2013-14'!$M$64</f>
        <v>0</v>
      </c>
      <c r="F15" s="138">
        <f>'Imports 2013-14'!$M$80</f>
        <v>0</v>
      </c>
      <c r="G15" s="138">
        <f>'Imports 2013-14'!$M$96</f>
        <v>0</v>
      </c>
      <c r="H15" s="138">
        <f>'Imports 2013-14'!$M$112</f>
        <v>2.1639999999999997</v>
      </c>
      <c r="I15" s="206">
        <f t="shared" si="0"/>
        <v>183.76399999999998</v>
      </c>
      <c r="K15" s="194" t="s">
        <v>16</v>
      </c>
      <c r="L15" s="138">
        <f>'Imports 2013-14'!$AB$32</f>
        <v>4900975.1099999994</v>
      </c>
      <c r="M15" s="138">
        <f>'Imports 2013-14'!$AB$48</f>
        <v>10613681.709999999</v>
      </c>
      <c r="N15" s="138">
        <f>'Imports 2013-14'!$AB$64</f>
        <v>0</v>
      </c>
      <c r="O15" s="138">
        <f>'Imports 2013-14'!$AB$80</f>
        <v>0</v>
      </c>
      <c r="P15" s="138">
        <f>'Imports 2013-14'!$AB$96</f>
        <v>0</v>
      </c>
      <c r="Q15" s="138">
        <f>'Imports 2013-14'!$AB$112</f>
        <v>146090.58000000002</v>
      </c>
      <c r="R15" s="198">
        <f t="shared" si="30"/>
        <v>15660747.399999999</v>
      </c>
      <c r="T15" s="194" t="s">
        <v>16</v>
      </c>
      <c r="U15" s="138">
        <f>'Imports 2013-14'!$AQ$32</f>
        <v>77637.740872606897</v>
      </c>
      <c r="V15" s="138">
        <f>'Imports 2013-14'!$AQ$48</f>
        <v>175701.29451097309</v>
      </c>
      <c r="W15" s="138">
        <f>'Imports 2013-14'!$AQ$64</f>
        <v>0</v>
      </c>
      <c r="X15" s="138">
        <f>'Imports 2013-14'!$AQ$80</f>
        <v>0</v>
      </c>
      <c r="Y15" s="138">
        <f>'Imports 2013-14'!$AQ$96</f>
        <v>0</v>
      </c>
      <c r="Z15" s="138">
        <f>'Imports 2013-14'!AQ112</f>
        <v>2320.7399523431295</v>
      </c>
      <c r="AA15" s="198">
        <f t="shared" si="2"/>
        <v>255659.77533592313</v>
      </c>
      <c r="AB15" s="138"/>
      <c r="AC15" s="194" t="s">
        <v>16</v>
      </c>
      <c r="AD15" s="138">
        <f t="shared" si="31"/>
        <v>1493.0334783193634</v>
      </c>
      <c r="AE15" s="138">
        <f t="shared" si="32"/>
        <v>1355.7198650538048</v>
      </c>
      <c r="AF15" s="138">
        <f t="shared" si="33"/>
        <v>0</v>
      </c>
      <c r="AG15" s="138">
        <f t="shared" si="34"/>
        <v>0</v>
      </c>
      <c r="AH15" s="138">
        <f t="shared" si="35"/>
        <v>1072.4306618960859</v>
      </c>
      <c r="AI15" s="198">
        <f t="shared" si="36"/>
        <v>1391.2397168973421</v>
      </c>
      <c r="AJ15" s="138"/>
      <c r="AK15" s="204"/>
      <c r="AM15" s="194" t="s">
        <v>16</v>
      </c>
      <c r="AN15" s="205"/>
      <c r="AO15" s="138"/>
      <c r="AP15" s="138"/>
      <c r="AQ15" s="138"/>
      <c r="AR15" s="138">
        <f>183.764+8.82000000000005</f>
        <v>192.58400000000006</v>
      </c>
      <c r="AS15" s="138"/>
      <c r="AT15" s="138"/>
      <c r="AU15" s="138"/>
      <c r="AV15" s="138"/>
      <c r="AW15" s="138"/>
      <c r="AX15" s="138"/>
      <c r="AY15" s="138"/>
      <c r="AZ15" s="206">
        <f t="shared" si="15"/>
        <v>192.58400000000006</v>
      </c>
      <c r="BA15" s="45"/>
      <c r="BB15" s="207" t="s">
        <v>16</v>
      </c>
      <c r="BC15" s="205"/>
      <c r="BF15" s="138"/>
      <c r="BG15" s="138">
        <f t="shared" si="16"/>
        <v>10613681.709999999</v>
      </c>
      <c r="BH15" s="138"/>
      <c r="BI15" s="138"/>
      <c r="BJ15" s="138"/>
      <c r="BK15" s="138"/>
      <c r="BL15" s="138"/>
      <c r="BM15" s="138"/>
      <c r="BO15" s="206">
        <f t="shared" si="17"/>
        <v>10613681.709999999</v>
      </c>
      <c r="BP15" s="45"/>
      <c r="BU15" s="44">
        <f t="shared" si="3"/>
        <v>156.607474</v>
      </c>
      <c r="BV15" s="194" t="s">
        <v>16</v>
      </c>
      <c r="BW15" s="137">
        <f t="shared" si="18"/>
        <v>94.249521346153841</v>
      </c>
      <c r="BX15" s="137">
        <f t="shared" si="4"/>
        <v>81.895692206790116</v>
      </c>
      <c r="BY15" s="137">
        <f t="shared" si="5"/>
        <v>0</v>
      </c>
      <c r="BZ15" s="137">
        <f t="shared" si="6"/>
        <v>0</v>
      </c>
      <c r="CA15" s="137">
        <f t="shared" si="7"/>
        <v>0</v>
      </c>
      <c r="CB15" s="137">
        <f t="shared" si="8"/>
        <v>67.509510166358609</v>
      </c>
      <c r="CC15" s="203">
        <f t="shared" si="9"/>
        <v>85.222064169260577</v>
      </c>
      <c r="CE15" s="135" t="s">
        <v>16</v>
      </c>
      <c r="CF15" s="44">
        <f t="shared" si="19"/>
        <v>129.6</v>
      </c>
      <c r="CG15" s="44">
        <f t="shared" si="20"/>
        <v>52</v>
      </c>
      <c r="CH15" s="44">
        <f t="shared" si="21"/>
        <v>0</v>
      </c>
      <c r="CI15" s="44">
        <f t="shared" si="22"/>
        <v>2.1639999999999997</v>
      </c>
      <c r="CJ15" s="259">
        <f t="shared" si="23"/>
        <v>183.76399999999998</v>
      </c>
      <c r="CL15" s="44">
        <f t="shared" si="24"/>
        <v>10613681.709999999</v>
      </c>
      <c r="CM15" s="44">
        <f t="shared" si="25"/>
        <v>4900975.1099999994</v>
      </c>
      <c r="CN15" s="44">
        <f t="shared" si="26"/>
        <v>0</v>
      </c>
      <c r="CO15" s="44">
        <f t="shared" si="27"/>
        <v>146090.58000000002</v>
      </c>
      <c r="CP15" s="261">
        <f t="shared" si="28"/>
        <v>15660747.399999999</v>
      </c>
      <c r="CR15" s="132">
        <f t="shared" si="29"/>
        <v>81.895692206790116</v>
      </c>
      <c r="CS15" s="132">
        <f t="shared" si="10"/>
        <v>94.249521346153841</v>
      </c>
      <c r="CT15" s="132">
        <f t="shared" si="11"/>
        <v>0</v>
      </c>
      <c r="CU15" s="132">
        <f t="shared" si="12"/>
        <v>67.509510166358609</v>
      </c>
      <c r="CV15" s="269">
        <f t="shared" si="13"/>
        <v>85.222064169260577</v>
      </c>
    </row>
    <row r="16" spans="2:100" s="47" customFormat="1" ht="12.75" thickBot="1">
      <c r="B16" s="208" t="s">
        <v>20</v>
      </c>
      <c r="C16" s="209">
        <f t="shared" ref="C16:I16" si="37">SUM(C4:C15)</f>
        <v>28996.820069999998</v>
      </c>
      <c r="D16" s="209">
        <f t="shared" si="37"/>
        <v>14602.649999999998</v>
      </c>
      <c r="E16" s="209">
        <f t="shared" si="37"/>
        <v>13796.000005</v>
      </c>
      <c r="F16" s="209">
        <f t="shared" si="37"/>
        <v>0</v>
      </c>
      <c r="G16" s="209">
        <f t="shared" si="37"/>
        <v>0</v>
      </c>
      <c r="H16" s="209">
        <f t="shared" si="37"/>
        <v>71.753999999999991</v>
      </c>
      <c r="I16" s="211">
        <f t="shared" si="37"/>
        <v>57467.224075000006</v>
      </c>
      <c r="K16" s="208" t="s">
        <v>20</v>
      </c>
      <c r="L16" s="210">
        <f t="shared" ref="L16:R16" si="38">SUM(L4:L15)</f>
        <v>2640789872.0300002</v>
      </c>
      <c r="M16" s="210">
        <f t="shared" si="38"/>
        <v>1301345181.7500002</v>
      </c>
      <c r="N16" s="210">
        <f t="shared" si="38"/>
        <v>1366219217.6299999</v>
      </c>
      <c r="O16" s="210">
        <f t="shared" si="38"/>
        <v>0</v>
      </c>
      <c r="P16" s="210">
        <f t="shared" si="38"/>
        <v>0</v>
      </c>
      <c r="Q16" s="210">
        <f t="shared" si="38"/>
        <v>9895752.3099999987</v>
      </c>
      <c r="R16" s="211">
        <f t="shared" si="38"/>
        <v>5318250023.7199993</v>
      </c>
      <c r="T16" s="208" t="s">
        <v>20</v>
      </c>
      <c r="U16" s="210">
        <f t="shared" ref="U16:Z16" si="39">SUM(U6:U15)</f>
        <v>43352359.646825284</v>
      </c>
      <c r="V16" s="210">
        <f t="shared" si="39"/>
        <v>21400719.504741073</v>
      </c>
      <c r="W16" s="210">
        <f t="shared" si="39"/>
        <v>22237969.748322628</v>
      </c>
      <c r="X16" s="210">
        <f t="shared" si="39"/>
        <v>0</v>
      </c>
      <c r="Y16" s="210">
        <f t="shared" si="39"/>
        <v>0</v>
      </c>
      <c r="Z16" s="210">
        <f t="shared" si="39"/>
        <v>158108.03103126536</v>
      </c>
      <c r="AA16" s="211">
        <f t="shared" si="2"/>
        <v>87149156.930920258</v>
      </c>
      <c r="AB16" s="46"/>
      <c r="AC16" s="208" t="s">
        <v>20</v>
      </c>
      <c r="AD16" s="210">
        <f t="shared" si="31"/>
        <v>1495.0728922057724</v>
      </c>
      <c r="AE16" s="210">
        <f t="shared" si="32"/>
        <v>1465.5367008550554</v>
      </c>
      <c r="AF16" s="210">
        <f t="shared" si="33"/>
        <v>1611.9143041651969</v>
      </c>
      <c r="AG16" s="210">
        <f t="shared" si="34"/>
        <v>0</v>
      </c>
      <c r="AH16" s="210">
        <f t="shared" si="35"/>
        <v>2203.473409583652</v>
      </c>
      <c r="AI16" s="211">
        <f t="shared" si="36"/>
        <v>1516.5019423451288</v>
      </c>
      <c r="AJ16" s="46"/>
      <c r="AK16" s="212"/>
      <c r="AM16" s="208" t="s">
        <v>20</v>
      </c>
      <c r="AN16" s="213">
        <f t="shared" ref="AN16:AZ16" si="40">SUM(AN6:AN15)</f>
        <v>256.52</v>
      </c>
      <c r="AO16" s="210">
        <f t="shared" si="40"/>
        <v>196.64</v>
      </c>
      <c r="AP16" s="210">
        <f t="shared" si="40"/>
        <v>0</v>
      </c>
      <c r="AQ16" s="210">
        <f t="shared" si="40"/>
        <v>2E-3</v>
      </c>
      <c r="AR16" s="210">
        <f t="shared" si="40"/>
        <v>55879.77607499998</v>
      </c>
      <c r="AS16" s="210">
        <f t="shared" si="40"/>
        <v>0</v>
      </c>
      <c r="AT16" s="210">
        <f t="shared" si="40"/>
        <v>0</v>
      </c>
      <c r="AU16" s="210">
        <f t="shared" si="40"/>
        <v>0</v>
      </c>
      <c r="AV16" s="210">
        <f t="shared" si="40"/>
        <v>0</v>
      </c>
      <c r="AW16" s="210">
        <f t="shared" si="40"/>
        <v>0</v>
      </c>
      <c r="AX16" s="210">
        <f t="shared" si="40"/>
        <v>1178.1299999999999</v>
      </c>
      <c r="AY16" s="210">
        <f t="shared" si="40"/>
        <v>0</v>
      </c>
      <c r="AZ16" s="211">
        <f t="shared" si="40"/>
        <v>57511.068074999988</v>
      </c>
      <c r="BB16" s="214" t="s">
        <v>20</v>
      </c>
      <c r="BC16" s="213">
        <f t="shared" ref="BC16:BO16" si="41">SUM(BC6:BC15)</f>
        <v>24768169.249999996</v>
      </c>
      <c r="BD16" s="210">
        <f t="shared" si="41"/>
        <v>18556698.759999998</v>
      </c>
      <c r="BE16" s="210">
        <f t="shared" si="41"/>
        <v>0</v>
      </c>
      <c r="BF16" s="210">
        <f t="shared" si="41"/>
        <v>1094.78</v>
      </c>
      <c r="BG16" s="210">
        <f t="shared" si="41"/>
        <v>1301344086.9700003</v>
      </c>
      <c r="BH16" s="210">
        <f t="shared" si="41"/>
        <v>0</v>
      </c>
      <c r="BI16" s="210">
        <f t="shared" si="41"/>
        <v>0</v>
      </c>
      <c r="BJ16" s="210">
        <f t="shared" si="41"/>
        <v>0</v>
      </c>
      <c r="BK16" s="210">
        <f t="shared" si="41"/>
        <v>0</v>
      </c>
      <c r="BL16" s="210">
        <f t="shared" si="41"/>
        <v>0</v>
      </c>
      <c r="BM16" s="210">
        <f t="shared" si="41"/>
        <v>109842942.91000001</v>
      </c>
      <c r="BN16" s="210">
        <f t="shared" si="41"/>
        <v>0</v>
      </c>
      <c r="BO16" s="211">
        <f t="shared" si="41"/>
        <v>1454512992.6700001</v>
      </c>
      <c r="BU16" s="142">
        <f>R16/10^5</f>
        <v>53182.500237199994</v>
      </c>
      <c r="BV16" s="208" t="s">
        <v>20</v>
      </c>
      <c r="BW16" s="216">
        <f t="shared" si="18"/>
        <v>91.071705988966414</v>
      </c>
      <c r="BX16" s="216">
        <f t="shared" si="4"/>
        <v>89.117056270608444</v>
      </c>
      <c r="BY16" s="216">
        <f t="shared" si="5"/>
        <v>99.030096921922976</v>
      </c>
      <c r="BZ16" s="216">
        <f t="shared" si="6"/>
        <v>0</v>
      </c>
      <c r="CA16" s="216">
        <f t="shared" si="7"/>
        <v>0</v>
      </c>
      <c r="CB16" s="216">
        <f t="shared" si="8"/>
        <v>137.91220433704046</v>
      </c>
      <c r="CC16" s="217">
        <f t="shared" si="9"/>
        <v>92.544056361225913</v>
      </c>
      <c r="CE16" s="257" t="s">
        <v>20</v>
      </c>
      <c r="CF16" s="258">
        <f>SUM(CF4:CF15)</f>
        <v>14602.649999999998</v>
      </c>
      <c r="CG16" s="258">
        <f t="shared" ref="CG16:CJ16" si="42">SUM(CG4:CG15)</f>
        <v>28996.820069999998</v>
      </c>
      <c r="CH16" s="258">
        <f t="shared" si="42"/>
        <v>13796.000005</v>
      </c>
      <c r="CI16" s="258">
        <f t="shared" si="42"/>
        <v>71.753999999999991</v>
      </c>
      <c r="CJ16" s="260">
        <f t="shared" si="42"/>
        <v>57467.224075000006</v>
      </c>
      <c r="CL16" s="258">
        <f t="shared" si="24"/>
        <v>1301345181.7500002</v>
      </c>
      <c r="CM16" s="258">
        <f t="shared" si="25"/>
        <v>2640789872.0300002</v>
      </c>
      <c r="CN16" s="258">
        <f t="shared" si="26"/>
        <v>1366219217.6299999</v>
      </c>
      <c r="CO16" s="258">
        <f t="shared" si="27"/>
        <v>9895752.3099999987</v>
      </c>
      <c r="CP16" s="260">
        <f t="shared" si="28"/>
        <v>5318250023.7200012</v>
      </c>
      <c r="CR16" s="270">
        <f t="shared" si="29"/>
        <v>89.117056270608444</v>
      </c>
      <c r="CS16" s="270">
        <f t="shared" si="10"/>
        <v>91.071705988966414</v>
      </c>
      <c r="CT16" s="270">
        <f t="shared" si="11"/>
        <v>99.030096921922976</v>
      </c>
      <c r="CU16" s="270">
        <f t="shared" si="12"/>
        <v>137.91220433704046</v>
      </c>
      <c r="CV16" s="271">
        <f t="shared" si="13"/>
        <v>92.544056361225941</v>
      </c>
    </row>
    <row r="17" spans="2:100" ht="12.75" thickBot="1">
      <c r="BG17" s="138">
        <f>M17-BF17</f>
        <v>0</v>
      </c>
    </row>
    <row r="18" spans="2:100" ht="12.75" thickBot="1">
      <c r="B18" s="182" t="s">
        <v>21</v>
      </c>
      <c r="C18" s="419" t="s">
        <v>68</v>
      </c>
      <c r="D18" s="419"/>
      <c r="E18" s="419"/>
      <c r="F18" s="419"/>
      <c r="G18" s="419"/>
      <c r="H18" s="419"/>
      <c r="I18" s="420"/>
      <c r="K18" s="182" t="s">
        <v>6</v>
      </c>
      <c r="L18" s="419" t="s">
        <v>68</v>
      </c>
      <c r="M18" s="419"/>
      <c r="N18" s="419"/>
      <c r="O18" s="419"/>
      <c r="P18" s="419"/>
      <c r="Q18" s="419"/>
      <c r="R18" s="420"/>
      <c r="T18" s="182" t="s">
        <v>21</v>
      </c>
      <c r="U18" s="419" t="s">
        <v>68</v>
      </c>
      <c r="V18" s="419"/>
      <c r="W18" s="419"/>
      <c r="X18" s="419"/>
      <c r="Y18" s="419"/>
      <c r="Z18" s="419"/>
      <c r="AA18" s="420"/>
      <c r="AB18" s="165"/>
      <c r="AC18" s="182" t="s">
        <v>21</v>
      </c>
      <c r="AD18" s="419" t="s">
        <v>68</v>
      </c>
      <c r="AE18" s="419"/>
      <c r="AF18" s="419"/>
      <c r="AG18" s="419"/>
      <c r="AH18" s="419"/>
      <c r="AI18" s="420"/>
      <c r="AJ18" s="165"/>
      <c r="AK18" s="183"/>
      <c r="AM18" s="182" t="s">
        <v>21</v>
      </c>
      <c r="AN18" s="184" t="s">
        <v>68</v>
      </c>
      <c r="AO18" s="185"/>
      <c r="AP18" s="185"/>
      <c r="AQ18" s="185"/>
      <c r="AR18" s="185"/>
      <c r="AS18" s="185"/>
      <c r="AT18" s="185"/>
      <c r="AU18" s="185"/>
      <c r="AV18" s="185"/>
      <c r="AW18" s="185"/>
      <c r="AX18" s="185"/>
      <c r="AY18" s="185"/>
      <c r="AZ18" s="186"/>
      <c r="BB18" s="182" t="s">
        <v>6</v>
      </c>
      <c r="BC18" s="184" t="s">
        <v>68</v>
      </c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5"/>
      <c r="BO18" s="186"/>
      <c r="BV18" s="182" t="s">
        <v>136</v>
      </c>
      <c r="BW18" s="419" t="s">
        <v>68</v>
      </c>
      <c r="BX18" s="419"/>
      <c r="BY18" s="419"/>
      <c r="BZ18" s="419"/>
      <c r="CA18" s="419"/>
      <c r="CB18" s="419"/>
      <c r="CC18" s="420"/>
      <c r="CF18" s="416" t="s">
        <v>202</v>
      </c>
      <c r="CG18" s="416"/>
      <c r="CH18" s="416"/>
      <c r="CI18" s="416"/>
      <c r="CJ18" s="416"/>
      <c r="CL18" s="416" t="s">
        <v>203</v>
      </c>
      <c r="CM18" s="416"/>
      <c r="CN18" s="416"/>
      <c r="CO18" s="416"/>
      <c r="CP18" s="416"/>
      <c r="CR18" s="417" t="s">
        <v>204</v>
      </c>
      <c r="CS18" s="417"/>
      <c r="CT18" s="417"/>
      <c r="CU18" s="417"/>
      <c r="CV18" s="417"/>
    </row>
    <row r="19" spans="2:100" ht="12.75" thickBot="1">
      <c r="B19" s="187" t="s">
        <v>66</v>
      </c>
      <c r="C19" s="164" t="s">
        <v>35</v>
      </c>
      <c r="D19" s="164" t="s">
        <v>36</v>
      </c>
      <c r="E19" s="164" t="s">
        <v>37</v>
      </c>
      <c r="F19" s="164" t="s">
        <v>135</v>
      </c>
      <c r="G19" s="164" t="s">
        <v>64</v>
      </c>
      <c r="H19" s="164" t="s">
        <v>65</v>
      </c>
      <c r="I19" s="188" t="s">
        <v>20</v>
      </c>
      <c r="K19" s="187" t="s">
        <v>66</v>
      </c>
      <c r="L19" s="164" t="s">
        <v>35</v>
      </c>
      <c r="M19" s="164" t="s">
        <v>36</v>
      </c>
      <c r="N19" s="164" t="s">
        <v>37</v>
      </c>
      <c r="O19" s="164" t="s">
        <v>135</v>
      </c>
      <c r="P19" s="164" t="s">
        <v>64</v>
      </c>
      <c r="Q19" s="164" t="s">
        <v>65</v>
      </c>
      <c r="R19" s="188" t="s">
        <v>20</v>
      </c>
      <c r="T19" s="187" t="s">
        <v>66</v>
      </c>
      <c r="U19" s="164" t="s">
        <v>35</v>
      </c>
      <c r="V19" s="164" t="s">
        <v>36</v>
      </c>
      <c r="W19" s="164" t="s">
        <v>37</v>
      </c>
      <c r="X19" s="164" t="s">
        <v>135</v>
      </c>
      <c r="Y19" s="164" t="s">
        <v>64</v>
      </c>
      <c r="Z19" s="164" t="s">
        <v>65</v>
      </c>
      <c r="AA19" s="188" t="s">
        <v>20</v>
      </c>
      <c r="AB19" s="165"/>
      <c r="AC19" s="187" t="s">
        <v>66</v>
      </c>
      <c r="AD19" s="164" t="s">
        <v>35</v>
      </c>
      <c r="AE19" s="164" t="s">
        <v>36</v>
      </c>
      <c r="AF19" s="164" t="s">
        <v>37</v>
      </c>
      <c r="AG19" s="164" t="s">
        <v>64</v>
      </c>
      <c r="AH19" s="164" t="s">
        <v>65</v>
      </c>
      <c r="AI19" s="188" t="s">
        <v>20</v>
      </c>
      <c r="AJ19" s="165"/>
      <c r="AK19" s="183"/>
      <c r="AM19" s="189" t="s">
        <v>66</v>
      </c>
      <c r="AN19" s="190" t="s">
        <v>70</v>
      </c>
      <c r="AO19" s="191" t="s">
        <v>80</v>
      </c>
      <c r="AP19" s="191" t="s">
        <v>79</v>
      </c>
      <c r="AQ19" s="192" t="s">
        <v>71</v>
      </c>
      <c r="AR19" s="192" t="s">
        <v>72</v>
      </c>
      <c r="AS19" s="192" t="s">
        <v>73</v>
      </c>
      <c r="AT19" s="192" t="s">
        <v>74</v>
      </c>
      <c r="AU19" s="192" t="s">
        <v>75</v>
      </c>
      <c r="AV19" s="192" t="s">
        <v>76</v>
      </c>
      <c r="AW19" s="192" t="s">
        <v>77</v>
      </c>
      <c r="AX19" s="192" t="s">
        <v>78</v>
      </c>
      <c r="AY19" s="191" t="s">
        <v>81</v>
      </c>
      <c r="AZ19" s="193" t="s">
        <v>4</v>
      </c>
      <c r="BB19" s="189" t="s">
        <v>66</v>
      </c>
      <c r="BC19" s="190" t="s">
        <v>70</v>
      </c>
      <c r="BD19" s="191" t="s">
        <v>80</v>
      </c>
      <c r="BE19" s="191" t="s">
        <v>79</v>
      </c>
      <c r="BF19" s="192" t="s">
        <v>71</v>
      </c>
      <c r="BG19" s="192" t="s">
        <v>72</v>
      </c>
      <c r="BH19" s="192" t="s">
        <v>73</v>
      </c>
      <c r="BI19" s="192" t="s">
        <v>74</v>
      </c>
      <c r="BJ19" s="192" t="s">
        <v>75</v>
      </c>
      <c r="BK19" s="192" t="s">
        <v>76</v>
      </c>
      <c r="BL19" s="192" t="s">
        <v>77</v>
      </c>
      <c r="BM19" s="192" t="s">
        <v>78</v>
      </c>
      <c r="BN19" s="191" t="s">
        <v>81</v>
      </c>
      <c r="BO19" s="193" t="s">
        <v>4</v>
      </c>
      <c r="BV19" s="187" t="s">
        <v>66</v>
      </c>
      <c r="BW19" s="164" t="s">
        <v>35</v>
      </c>
      <c r="BX19" s="164" t="s">
        <v>36</v>
      </c>
      <c r="BY19" s="164" t="s">
        <v>37</v>
      </c>
      <c r="BZ19" s="164" t="s">
        <v>135</v>
      </c>
      <c r="CA19" s="164" t="s">
        <v>64</v>
      </c>
      <c r="CB19" s="164" t="s">
        <v>65</v>
      </c>
      <c r="CC19" s="188" t="s">
        <v>20</v>
      </c>
      <c r="CF19" s="264" t="s">
        <v>0</v>
      </c>
      <c r="CG19" s="264" t="s">
        <v>1</v>
      </c>
      <c r="CH19" s="264" t="s">
        <v>3</v>
      </c>
      <c r="CI19" s="264" t="s">
        <v>7</v>
      </c>
      <c r="CJ19" s="263" t="s">
        <v>58</v>
      </c>
      <c r="CL19" s="264" t="s">
        <v>0</v>
      </c>
      <c r="CM19" s="264" t="s">
        <v>1</v>
      </c>
      <c r="CN19" s="264" t="s">
        <v>3</v>
      </c>
      <c r="CO19" s="264" t="s">
        <v>7</v>
      </c>
      <c r="CP19" s="263" t="s">
        <v>58</v>
      </c>
      <c r="CR19" s="267" t="s">
        <v>0</v>
      </c>
      <c r="CS19" s="267" t="s">
        <v>1</v>
      </c>
      <c r="CT19" s="267" t="s">
        <v>3</v>
      </c>
      <c r="CU19" s="267" t="s">
        <v>7</v>
      </c>
      <c r="CV19" s="268" t="s">
        <v>58</v>
      </c>
    </row>
    <row r="20" spans="2:100">
      <c r="B20" s="194" t="s">
        <v>133</v>
      </c>
      <c r="C20" s="195">
        <f>'Imports 2014-15'!$B$32</f>
        <v>0</v>
      </c>
      <c r="D20" s="196">
        <f>'Imports 2014-15'!$B$48</f>
        <v>0</v>
      </c>
      <c r="E20" s="197">
        <f>'Imports 2014-15'!$B$64</f>
        <v>0</v>
      </c>
      <c r="F20" s="197">
        <f>'Imports 2014-15'!$B$80</f>
        <v>0</v>
      </c>
      <c r="G20" s="195">
        <f>'Imports 2014-15'!$B$96</f>
        <v>0</v>
      </c>
      <c r="H20" s="195">
        <f>'Imports 2014-15'!$B$112</f>
        <v>0</v>
      </c>
      <c r="I20" s="206">
        <f t="shared" ref="I20:I31" si="43">SUM(C20:H20)</f>
        <v>0</v>
      </c>
      <c r="K20" s="194" t="s">
        <v>133</v>
      </c>
      <c r="L20" s="138">
        <f>'Imports 2014-15'!$Q$32</f>
        <v>0</v>
      </c>
      <c r="M20" s="138">
        <f>'Imports 2014-15'!$Q64</f>
        <v>0</v>
      </c>
      <c r="N20" s="138">
        <f>'Imports 2014-15'!$Q$64</f>
        <v>0</v>
      </c>
      <c r="O20" s="138">
        <f>'Imports 2014-15'!$Q$80</f>
        <v>0</v>
      </c>
      <c r="P20" s="138">
        <f>'Imports 2014-15'!$Q$96</f>
        <v>0</v>
      </c>
      <c r="Q20" s="138">
        <f>'Imports 2014-15'!$Q$112</f>
        <v>0</v>
      </c>
      <c r="R20" s="198">
        <f t="shared" ref="R20:R31" si="44">SUM(L20:Q20)</f>
        <v>0</v>
      </c>
      <c r="T20" s="194" t="s">
        <v>133</v>
      </c>
      <c r="U20" s="138">
        <f>'Imports 2014-15'!$AF$32</f>
        <v>0</v>
      </c>
      <c r="V20" s="138">
        <f>'Imports 2014-15'!$AF$48</f>
        <v>0</v>
      </c>
      <c r="W20" s="138">
        <f>'Imports 2014-15'!$AF$64</f>
        <v>0</v>
      </c>
      <c r="X20" s="138">
        <f>'Imports 2014-15'!$AF$80</f>
        <v>0</v>
      </c>
      <c r="Y20" s="138">
        <f>'Imports 2014-15'!$AF$96</f>
        <v>0</v>
      </c>
      <c r="Z20" s="138">
        <f>'Imports 2014-15'!$AF$112</f>
        <v>0</v>
      </c>
      <c r="AA20" s="199">
        <f t="shared" ref="AA20:AA32" si="45">SUM(U20:Z20)</f>
        <v>0</v>
      </c>
      <c r="AB20" s="165"/>
      <c r="AC20" s="194" t="s">
        <v>133</v>
      </c>
      <c r="AD20" s="165"/>
      <c r="AE20" s="165"/>
      <c r="AF20" s="165"/>
      <c r="AG20" s="165"/>
      <c r="AH20" s="165"/>
      <c r="AI20" s="200"/>
      <c r="AJ20" s="165"/>
      <c r="AK20" s="183"/>
      <c r="AM20" s="202"/>
      <c r="AN20" s="201"/>
      <c r="AO20" s="165"/>
      <c r="AP20" s="165"/>
      <c r="AQ20" s="165"/>
      <c r="AR20" s="165"/>
      <c r="AS20" s="165"/>
      <c r="AT20" s="165"/>
      <c r="AU20" s="165"/>
      <c r="AV20" s="165"/>
      <c r="AW20" s="165"/>
      <c r="AX20" s="165"/>
      <c r="AY20" s="165"/>
      <c r="AZ20" s="200"/>
      <c r="BB20" s="202"/>
      <c r="BC20" s="201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200"/>
      <c r="BU20" s="44">
        <f t="shared" ref="BU20:BU31" si="46">R20/10^5</f>
        <v>0</v>
      </c>
      <c r="BV20" s="194" t="s">
        <v>133</v>
      </c>
      <c r="BW20" s="137">
        <f>IF(L20&lt;=0,0,L20/C20/1000)</f>
        <v>0</v>
      </c>
      <c r="BX20" s="137">
        <f t="shared" ref="BX20:BX32" si="47">IF(M20&lt;=0,0,M20/D20/1000)</f>
        <v>0</v>
      </c>
      <c r="BY20" s="137">
        <f t="shared" ref="BY20:BY32" si="48">IF(N20&lt;=0,0,N20/E20/1000)</f>
        <v>0</v>
      </c>
      <c r="BZ20" s="137">
        <f t="shared" ref="BZ20:BZ32" si="49">IF(O20&lt;=0,0,O20/F20/1000)</f>
        <v>0</v>
      </c>
      <c r="CA20" s="137">
        <f t="shared" ref="CA20:CA32" si="50">IF(P20&lt;=0,0,P20/G20/1000)</f>
        <v>0</v>
      </c>
      <c r="CB20" s="137">
        <f t="shared" ref="CB20:CB32" si="51">IF(Q20&lt;=0,0,Q20/H20/1000)</f>
        <v>0</v>
      </c>
      <c r="CC20" s="203">
        <f t="shared" ref="CC20:CC32" si="52">IF(R20&lt;=0,0,R20/I20/1000)</f>
        <v>0</v>
      </c>
      <c r="CE20" s="135" t="s">
        <v>133</v>
      </c>
      <c r="CF20" s="44">
        <f>D20</f>
        <v>0</v>
      </c>
      <c r="CG20" s="44">
        <f>C20</f>
        <v>0</v>
      </c>
      <c r="CH20" s="44">
        <f>E20</f>
        <v>0</v>
      </c>
      <c r="CI20" s="44">
        <f>SUM(F20:H20)</f>
        <v>0</v>
      </c>
      <c r="CJ20" s="259">
        <f>SUM(CF20:CI20)</f>
        <v>0</v>
      </c>
      <c r="CL20" s="44">
        <f>M20</f>
        <v>0</v>
      </c>
      <c r="CM20" s="44">
        <f>L20</f>
        <v>0</v>
      </c>
      <c r="CN20" s="44">
        <f>N20</f>
        <v>0</v>
      </c>
      <c r="CO20" s="44">
        <f>SUM(O20:Q20)</f>
        <v>0</v>
      </c>
      <c r="CP20" s="261">
        <f>SUM(CL20:CO20)</f>
        <v>0</v>
      </c>
      <c r="CR20" s="132">
        <f>IF(CF20&lt;=0,0,CL20/CF20/1000)</f>
        <v>0</v>
      </c>
      <c r="CS20" s="132">
        <f t="shared" ref="CS20:CS32" si="53">IF(CG20&lt;=0,0,CM20/CG20/1000)</f>
        <v>0</v>
      </c>
      <c r="CT20" s="132">
        <f t="shared" ref="CT20:CT32" si="54">IF(CH20&lt;=0,0,CN20/CH20/1000)</f>
        <v>0</v>
      </c>
      <c r="CU20" s="132">
        <f t="shared" ref="CU20:CU32" si="55">IF(CI20&lt;=0,0,CO20/CI20/1000)</f>
        <v>0</v>
      </c>
      <c r="CV20" s="269">
        <f t="shared" ref="CV20:CV32" si="56">IF(CJ20&lt;=0,0,CP20/CJ20/1000)</f>
        <v>0</v>
      </c>
    </row>
    <row r="21" spans="2:100">
      <c r="B21" s="194" t="s">
        <v>19</v>
      </c>
      <c r="C21" s="138">
        <f>'Imports 2014-15'!$C$32</f>
        <v>0</v>
      </c>
      <c r="D21" s="138">
        <f>'Imports 2014-15'!$C$48</f>
        <v>0</v>
      </c>
      <c r="E21" s="138">
        <f>'Imports 2014-15'!$C$64</f>
        <v>0</v>
      </c>
      <c r="F21" s="138">
        <f>'Imports 2014-15'!$C$80</f>
        <v>0</v>
      </c>
      <c r="G21" s="138">
        <f>'Imports 2014-15'!$C$96</f>
        <v>0</v>
      </c>
      <c r="H21" s="138">
        <f>'Imports 2014-15'!$C$112</f>
        <v>0</v>
      </c>
      <c r="I21" s="206">
        <f t="shared" si="43"/>
        <v>0</v>
      </c>
      <c r="K21" s="194" t="s">
        <v>19</v>
      </c>
      <c r="L21" s="138">
        <f>'Imports 2014-15'!$R$32</f>
        <v>0</v>
      </c>
      <c r="M21" s="138">
        <f>'Imports 2014-15'!$R$48</f>
        <v>0</v>
      </c>
      <c r="N21" s="138">
        <f>'Imports 2014-15'!$R$64</f>
        <v>0</v>
      </c>
      <c r="O21" s="138">
        <f>'Imports 2014-15'!$R$80</f>
        <v>0</v>
      </c>
      <c r="P21" s="138">
        <f>'Imports 2014-15'!$R$96</f>
        <v>0</v>
      </c>
      <c r="Q21" s="138">
        <f>'Imports 2014-15'!$R$112</f>
        <v>0</v>
      </c>
      <c r="R21" s="198">
        <f t="shared" si="44"/>
        <v>0</v>
      </c>
      <c r="T21" s="194" t="s">
        <v>19</v>
      </c>
      <c r="U21" s="138">
        <f>'Imports 2014-15'!$AG$32</f>
        <v>0</v>
      </c>
      <c r="V21" s="138">
        <f>'Imports 2014-15'!$AG$48</f>
        <v>0</v>
      </c>
      <c r="W21" s="138">
        <f>'Imports 2014-15'!$AG$64</f>
        <v>0</v>
      </c>
      <c r="X21" s="138">
        <f>'Imports 2014-15'!$AG$80</f>
        <v>0</v>
      </c>
      <c r="Y21" s="138">
        <f>'Imports 2014-15'!$AG$96</f>
        <v>0</v>
      </c>
      <c r="Z21" s="138">
        <f>'Imports 2014-15'!$AG$112</f>
        <v>0</v>
      </c>
      <c r="AA21" s="198">
        <f t="shared" si="45"/>
        <v>0</v>
      </c>
      <c r="AB21" s="138"/>
      <c r="AC21" s="194" t="s">
        <v>19</v>
      </c>
      <c r="AD21" s="138">
        <f>IF(U21&lt;=0,0,U21/C21)</f>
        <v>0</v>
      </c>
      <c r="AE21" s="138">
        <f>IF(V21&lt;=0,0,V21/D21)</f>
        <v>0</v>
      </c>
      <c r="AF21" s="138">
        <f>IF(W21&lt;=0,0,W21/E21)</f>
        <v>0</v>
      </c>
      <c r="AG21" s="138">
        <f>IF(Y21&lt;=0,0,Y21/G21)</f>
        <v>0</v>
      </c>
      <c r="AH21" s="138">
        <f>IF(Z21&lt;=0,0,Z21/H21)</f>
        <v>0</v>
      </c>
      <c r="AI21" s="198">
        <f>IF(AA21&lt;=0,0,AA21/I21)</f>
        <v>0</v>
      </c>
      <c r="AJ21" s="138"/>
      <c r="AK21" s="204"/>
      <c r="AM21" s="207" t="s">
        <v>19</v>
      </c>
      <c r="AN21" s="205"/>
      <c r="AO21" s="138"/>
      <c r="AP21" s="138"/>
      <c r="AQ21" s="138"/>
      <c r="AR21" s="138"/>
      <c r="AS21" s="138"/>
      <c r="AT21" s="138"/>
      <c r="AU21" s="138"/>
      <c r="AV21" s="138"/>
      <c r="AW21" s="138"/>
      <c r="AX21" s="138"/>
      <c r="AY21" s="138"/>
      <c r="AZ21" s="206">
        <f t="shared" ref="AZ21:AZ31" si="57">SUM(AN21:AY21)</f>
        <v>0</v>
      </c>
      <c r="BA21" s="132"/>
      <c r="BB21" s="207" t="s">
        <v>19</v>
      </c>
      <c r="BC21" s="205"/>
      <c r="BD21" s="138"/>
      <c r="BE21" s="138"/>
      <c r="BF21" s="138"/>
      <c r="BG21" s="138"/>
      <c r="BH21" s="138"/>
      <c r="BI21" s="138"/>
      <c r="BJ21" s="138"/>
      <c r="BK21" s="138"/>
      <c r="BL21" s="138"/>
      <c r="BM21" s="138"/>
      <c r="BN21" s="138"/>
      <c r="BO21" s="206">
        <f t="shared" ref="BO21:BO31" si="58">SUM(BC21:BN21)</f>
        <v>0</v>
      </c>
      <c r="BP21" s="45"/>
      <c r="BU21" s="44">
        <f t="shared" si="46"/>
        <v>0</v>
      </c>
      <c r="BV21" s="194" t="s">
        <v>19</v>
      </c>
      <c r="BW21" s="137">
        <f t="shared" ref="BW21:BW32" si="59">IF(L21&lt;=0,0,L21/C21/1000)</f>
        <v>0</v>
      </c>
      <c r="BX21" s="137">
        <f t="shared" si="47"/>
        <v>0</v>
      </c>
      <c r="BY21" s="137">
        <f t="shared" si="48"/>
        <v>0</v>
      </c>
      <c r="BZ21" s="137">
        <f t="shared" si="49"/>
        <v>0</v>
      </c>
      <c r="CA21" s="137">
        <f t="shared" si="50"/>
        <v>0</v>
      </c>
      <c r="CB21" s="137">
        <f t="shared" si="51"/>
        <v>0</v>
      </c>
      <c r="CC21" s="203">
        <f t="shared" si="52"/>
        <v>0</v>
      </c>
      <c r="CE21" s="135" t="s">
        <v>19</v>
      </c>
      <c r="CF21" s="44">
        <f t="shared" ref="CF21:CF31" si="60">D21</f>
        <v>0</v>
      </c>
      <c r="CG21" s="44">
        <f t="shared" ref="CG21:CG31" si="61">C21</f>
        <v>0</v>
      </c>
      <c r="CH21" s="44">
        <f t="shared" ref="CH21:CH31" si="62">E21</f>
        <v>0</v>
      </c>
      <c r="CI21" s="44">
        <f t="shared" ref="CI21:CI31" si="63">SUM(F21:H21)</f>
        <v>0</v>
      </c>
      <c r="CJ21" s="259">
        <f t="shared" ref="CJ21:CJ31" si="64">SUM(CF21:CI21)</f>
        <v>0</v>
      </c>
      <c r="CL21" s="44">
        <f t="shared" ref="CL21:CL32" si="65">M21</f>
        <v>0</v>
      </c>
      <c r="CM21" s="44">
        <f t="shared" ref="CM21:CM32" si="66">L21</f>
        <v>0</v>
      </c>
      <c r="CN21" s="44">
        <f t="shared" ref="CN21:CN32" si="67">N21</f>
        <v>0</v>
      </c>
      <c r="CO21" s="44">
        <f t="shared" ref="CO21:CO32" si="68">SUM(O21:Q21)</f>
        <v>0</v>
      </c>
      <c r="CP21" s="261">
        <f t="shared" ref="CP21:CP32" si="69">SUM(CL21:CO21)</f>
        <v>0</v>
      </c>
      <c r="CR21" s="132">
        <f t="shared" ref="CR21:CR32" si="70">IF(CF21&lt;=0,0,CL21/CF21/1000)</f>
        <v>0</v>
      </c>
      <c r="CS21" s="132">
        <f t="shared" si="53"/>
        <v>0</v>
      </c>
      <c r="CT21" s="132">
        <f t="shared" si="54"/>
        <v>0</v>
      </c>
      <c r="CU21" s="132">
        <f t="shared" si="55"/>
        <v>0</v>
      </c>
      <c r="CV21" s="269">
        <f t="shared" si="56"/>
        <v>0</v>
      </c>
    </row>
    <row r="22" spans="2:100">
      <c r="B22" s="194" t="s">
        <v>17</v>
      </c>
      <c r="C22" s="138">
        <f>'Imports 2014-15'!$D$32</f>
        <v>0</v>
      </c>
      <c r="D22" s="138">
        <f>'Imports 2014-15'!$D$48</f>
        <v>0</v>
      </c>
      <c r="E22" s="138">
        <f>'Imports 2014-15'!$D$64</f>
        <v>20.07</v>
      </c>
      <c r="F22" s="138">
        <f>'Imports 2014-15'!$D$80</f>
        <v>0</v>
      </c>
      <c r="G22" s="138">
        <f>'Imports 2014-15'!$D$96</f>
        <v>0</v>
      </c>
      <c r="H22" s="138">
        <f>'Imports 2014-15'!$D$112</f>
        <v>18.91</v>
      </c>
      <c r="I22" s="206">
        <f t="shared" si="43"/>
        <v>38.980000000000004</v>
      </c>
      <c r="K22" s="194" t="s">
        <v>17</v>
      </c>
      <c r="L22" s="138">
        <f>'Imports 2014-15'!$S$32</f>
        <v>0</v>
      </c>
      <c r="M22" s="138">
        <f>'Imports 2014-15'!$S$48</f>
        <v>0</v>
      </c>
      <c r="N22" s="138">
        <f>'Imports 2014-15'!$S$64</f>
        <v>3972201.98</v>
      </c>
      <c r="O22" s="138">
        <f>'Imports 2014-15'!$S$80</f>
        <v>0</v>
      </c>
      <c r="P22" s="138">
        <f>'Imports 2014-15'!$S$96</f>
        <v>0</v>
      </c>
      <c r="Q22" s="138">
        <f>'Imports 2014-15'!$S$112</f>
        <v>2552516.0700000003</v>
      </c>
      <c r="R22" s="198">
        <f t="shared" si="44"/>
        <v>6524718.0500000007</v>
      </c>
      <c r="T22" s="194" t="s">
        <v>17</v>
      </c>
      <c r="U22" s="138">
        <f>'Imports 2014-15'!$AH$32</f>
        <v>0</v>
      </c>
      <c r="V22" s="138">
        <f>'Imports 2014-15'!$AH$48</f>
        <v>0</v>
      </c>
      <c r="W22" s="138">
        <f>'Imports 2014-15'!$AH$64</f>
        <v>65439.900823723226</v>
      </c>
      <c r="X22" s="138">
        <f>'Imports 2014-15'!$AH$80</f>
        <v>0</v>
      </c>
      <c r="Y22" s="138">
        <f>'Imports 2014-15'!$AH$96</f>
        <v>0</v>
      </c>
      <c r="Z22" s="138">
        <f>'Imports 2014-15'!$AH$112</f>
        <v>42225.245161290317</v>
      </c>
      <c r="AA22" s="198">
        <f t="shared" si="45"/>
        <v>107665.14598501354</v>
      </c>
      <c r="AB22" s="138"/>
      <c r="AC22" s="194" t="s">
        <v>17</v>
      </c>
      <c r="AD22" s="138">
        <f>IF(U22&lt;=0,0,U22/C22)</f>
        <v>0</v>
      </c>
      <c r="AE22" s="138">
        <f t="shared" ref="AE22:AE32" si="71">IF(V22&lt;=0,0,V22/D22)</f>
        <v>0</v>
      </c>
      <c r="AF22" s="138">
        <f t="shared" ref="AF22:AF32" si="72">IF(W22&lt;=0,0,W22/E22)</f>
        <v>3260.5830006837682</v>
      </c>
      <c r="AG22" s="138">
        <f t="shared" ref="AG22:AG32" si="73">IF(Y22&lt;=0,0,Y22/G22)</f>
        <v>0</v>
      </c>
      <c r="AH22" s="138">
        <f t="shared" ref="AH22:AH32" si="74">IF(Z22&lt;=0,0,Z22/H22)</f>
        <v>2232.9584961020792</v>
      </c>
      <c r="AI22" s="198">
        <f t="shared" ref="AI22:AI32" si="75">IF(AA22&lt;=0,0,AA22/I22)</f>
        <v>2762.0612104929073</v>
      </c>
      <c r="AJ22" s="138"/>
      <c r="AK22" s="204"/>
      <c r="AM22" s="207" t="s">
        <v>17</v>
      </c>
      <c r="AN22" s="205"/>
      <c r="AO22" s="138"/>
      <c r="AP22" s="138"/>
      <c r="AQ22" s="138"/>
      <c r="AR22" s="138">
        <v>38.979999999999997</v>
      </c>
      <c r="AS22" s="138"/>
      <c r="AT22" s="138"/>
      <c r="AU22" s="138"/>
      <c r="AV22" s="138"/>
      <c r="AW22" s="138"/>
      <c r="AX22" s="138"/>
      <c r="AY22" s="138"/>
      <c r="AZ22" s="206">
        <f t="shared" si="57"/>
        <v>38.979999999999997</v>
      </c>
      <c r="BA22" s="132"/>
      <c r="BB22" s="207" t="s">
        <v>17</v>
      </c>
      <c r="BC22" s="205"/>
      <c r="BD22" s="138"/>
      <c r="BE22" s="138"/>
      <c r="BF22" s="138"/>
      <c r="BG22" s="138">
        <v>6524718.0500000007</v>
      </c>
      <c r="BH22" s="138"/>
      <c r="BI22" s="138"/>
      <c r="BJ22" s="138"/>
      <c r="BK22" s="138"/>
      <c r="BL22" s="138"/>
      <c r="BM22" s="138"/>
      <c r="BN22" s="138"/>
      <c r="BO22" s="206">
        <f t="shared" si="58"/>
        <v>6524718.0500000007</v>
      </c>
      <c r="BP22" s="45"/>
      <c r="BU22" s="44">
        <f t="shared" si="46"/>
        <v>65.247180500000013</v>
      </c>
      <c r="BV22" s="194" t="s">
        <v>17</v>
      </c>
      <c r="BW22" s="137">
        <f t="shared" si="59"/>
        <v>0</v>
      </c>
      <c r="BX22" s="137">
        <f t="shared" si="47"/>
        <v>0</v>
      </c>
      <c r="BY22" s="137">
        <f t="shared" si="48"/>
        <v>197.91738814150472</v>
      </c>
      <c r="BZ22" s="137">
        <f t="shared" si="49"/>
        <v>0</v>
      </c>
      <c r="CA22" s="137">
        <f t="shared" si="50"/>
        <v>0</v>
      </c>
      <c r="CB22" s="137">
        <f t="shared" si="51"/>
        <v>134.98234108937072</v>
      </c>
      <c r="CC22" s="203">
        <f t="shared" si="52"/>
        <v>167.38630194971779</v>
      </c>
      <c r="CE22" s="135" t="s">
        <v>17</v>
      </c>
      <c r="CF22" s="44">
        <f t="shared" si="60"/>
        <v>0</v>
      </c>
      <c r="CG22" s="44">
        <f t="shared" si="61"/>
        <v>0</v>
      </c>
      <c r="CH22" s="44">
        <f t="shared" si="62"/>
        <v>20.07</v>
      </c>
      <c r="CI22" s="44">
        <f t="shared" si="63"/>
        <v>18.91</v>
      </c>
      <c r="CJ22" s="259">
        <f t="shared" si="64"/>
        <v>38.980000000000004</v>
      </c>
      <c r="CL22" s="44">
        <f t="shared" si="65"/>
        <v>0</v>
      </c>
      <c r="CM22" s="44">
        <f t="shared" si="66"/>
        <v>0</v>
      </c>
      <c r="CN22" s="44">
        <f t="shared" si="67"/>
        <v>3972201.98</v>
      </c>
      <c r="CO22" s="44">
        <f t="shared" si="68"/>
        <v>2552516.0700000003</v>
      </c>
      <c r="CP22" s="261">
        <f t="shared" si="69"/>
        <v>6524718.0500000007</v>
      </c>
      <c r="CR22" s="132">
        <f t="shared" si="70"/>
        <v>0</v>
      </c>
      <c r="CS22" s="132">
        <f t="shared" si="53"/>
        <v>0</v>
      </c>
      <c r="CT22" s="132">
        <f t="shared" si="54"/>
        <v>197.91738814150472</v>
      </c>
      <c r="CU22" s="132">
        <f t="shared" si="55"/>
        <v>134.98234108937072</v>
      </c>
      <c r="CV22" s="269">
        <f t="shared" si="56"/>
        <v>167.38630194971779</v>
      </c>
    </row>
    <row r="23" spans="2:100">
      <c r="B23" s="194" t="s">
        <v>24</v>
      </c>
      <c r="C23" s="138">
        <f>'Imports 2014-15'!$E$32</f>
        <v>37.57</v>
      </c>
      <c r="D23" s="138">
        <f>'Imports 2014-15'!$E$48</f>
        <v>0</v>
      </c>
      <c r="E23" s="138">
        <f>'Imports 2014-15'!$E$64</f>
        <v>0</v>
      </c>
      <c r="F23" s="138">
        <f>'Imports 2014-15'!$E$80</f>
        <v>0</v>
      </c>
      <c r="G23" s="138">
        <f>'Imports 2014-15'!$E$96</f>
        <v>0</v>
      </c>
      <c r="H23" s="138">
        <f>'Imports 2014-15'!$E$112</f>
        <v>57.7</v>
      </c>
      <c r="I23" s="206">
        <f t="shared" si="43"/>
        <v>95.27000000000001</v>
      </c>
      <c r="K23" s="194" t="s">
        <v>24</v>
      </c>
      <c r="L23" s="138">
        <f>'Imports 2014-15'!$T$32</f>
        <v>5717245.1399999997</v>
      </c>
      <c r="M23" s="138">
        <f>'Imports 2014-15'!$T$48</f>
        <v>0</v>
      </c>
      <c r="N23" s="138">
        <f>'Imports 2014-15'!$T$64</f>
        <v>0</v>
      </c>
      <c r="O23" s="138">
        <f>'Imports 2014-15'!$T$80</f>
        <v>0</v>
      </c>
      <c r="P23" s="138">
        <f>'Imports 2014-15'!$T$96</f>
        <v>0</v>
      </c>
      <c r="Q23" s="138">
        <f>'Imports 2014-15'!$T$112</f>
        <v>9909920.0199999996</v>
      </c>
      <c r="R23" s="198">
        <f t="shared" si="44"/>
        <v>15627165.16</v>
      </c>
      <c r="T23" s="194" t="s">
        <v>24</v>
      </c>
      <c r="U23" s="138">
        <f>'Imports 2014-15'!$AI$32</f>
        <v>93725.330163934414</v>
      </c>
      <c r="V23" s="138">
        <f>'Imports 2014-15'!$AI$48</f>
        <v>0</v>
      </c>
      <c r="W23" s="138">
        <f>'Imports 2014-15'!$AI$64</f>
        <v>0</v>
      </c>
      <c r="X23" s="138">
        <f>'Imports 2014-15'!$AI$80</f>
        <v>0</v>
      </c>
      <c r="Y23" s="138">
        <f>'Imports 2014-15'!$AI$96</f>
        <v>0</v>
      </c>
      <c r="Z23" s="138">
        <f>'Imports 2014-15'!$AI$112</f>
        <v>164257.56200102117</v>
      </c>
      <c r="AA23" s="198">
        <f t="shared" si="45"/>
        <v>257982.89216495559</v>
      </c>
      <c r="AB23" s="138"/>
      <c r="AC23" s="194" t="s">
        <v>24</v>
      </c>
      <c r="AD23" s="138">
        <f t="shared" ref="AD23:AD32" si="76">IF(U23&lt;=0,0,U23/C23)</f>
        <v>2494.6853916405221</v>
      </c>
      <c r="AE23" s="138">
        <f t="shared" si="71"/>
        <v>0</v>
      </c>
      <c r="AF23" s="138">
        <f t="shared" si="72"/>
        <v>0</v>
      </c>
      <c r="AG23" s="138">
        <f t="shared" si="73"/>
        <v>0</v>
      </c>
      <c r="AH23" s="138">
        <f t="shared" si="74"/>
        <v>2846.751507816658</v>
      </c>
      <c r="AI23" s="198">
        <f t="shared" si="75"/>
        <v>2707.9132168044039</v>
      </c>
      <c r="AJ23" s="138"/>
      <c r="AK23" s="204"/>
      <c r="AM23" s="207" t="s">
        <v>24</v>
      </c>
      <c r="AN23" s="205"/>
      <c r="AO23" s="138"/>
      <c r="AP23" s="138"/>
      <c r="AQ23" s="138"/>
      <c r="AR23" s="138">
        <v>95.27000000000001</v>
      </c>
      <c r="AS23" s="138"/>
      <c r="AT23" s="138"/>
      <c r="AU23" s="138"/>
      <c r="AV23" s="138"/>
      <c r="AW23" s="138"/>
      <c r="AX23" s="138"/>
      <c r="AY23" s="138"/>
      <c r="AZ23" s="206">
        <f t="shared" si="57"/>
        <v>95.27000000000001</v>
      </c>
      <c r="BA23" s="132"/>
      <c r="BB23" s="207" t="s">
        <v>24</v>
      </c>
      <c r="BC23" s="205"/>
      <c r="BD23" s="138"/>
      <c r="BE23" s="138"/>
      <c r="BF23" s="138"/>
      <c r="BG23" s="138">
        <f>15627165.16+9050.6099999994</f>
        <v>15636215.77</v>
      </c>
      <c r="BH23" s="138"/>
      <c r="BI23" s="138"/>
      <c r="BJ23" s="138"/>
      <c r="BK23" s="138"/>
      <c r="BL23" s="138"/>
      <c r="BM23" s="138"/>
      <c r="BN23" s="138"/>
      <c r="BO23" s="206">
        <f t="shared" si="58"/>
        <v>15636215.77</v>
      </c>
      <c r="BP23" s="45"/>
      <c r="BU23" s="44">
        <f t="shared" si="46"/>
        <v>156.27165160000001</v>
      </c>
      <c r="BV23" s="194" t="s">
        <v>24</v>
      </c>
      <c r="BW23" s="137">
        <f t="shared" si="59"/>
        <v>152.17580889007183</v>
      </c>
      <c r="BX23" s="137">
        <f t="shared" si="47"/>
        <v>0</v>
      </c>
      <c r="BY23" s="137">
        <f t="shared" si="48"/>
        <v>0</v>
      </c>
      <c r="BZ23" s="137">
        <f t="shared" si="49"/>
        <v>0</v>
      </c>
      <c r="CA23" s="137">
        <f t="shared" si="50"/>
        <v>0</v>
      </c>
      <c r="CB23" s="137">
        <f t="shared" si="51"/>
        <v>171.74904714038126</v>
      </c>
      <c r="CC23" s="203">
        <f t="shared" si="52"/>
        <v>164.03028403484831</v>
      </c>
      <c r="CE23" s="135" t="s">
        <v>24</v>
      </c>
      <c r="CF23" s="44">
        <f t="shared" si="60"/>
        <v>0</v>
      </c>
      <c r="CG23" s="44">
        <f t="shared" si="61"/>
        <v>37.57</v>
      </c>
      <c r="CH23" s="44">
        <f t="shared" si="62"/>
        <v>0</v>
      </c>
      <c r="CI23" s="44">
        <f t="shared" si="63"/>
        <v>57.7</v>
      </c>
      <c r="CJ23" s="259">
        <f t="shared" si="64"/>
        <v>95.27000000000001</v>
      </c>
      <c r="CL23" s="44">
        <f t="shared" si="65"/>
        <v>0</v>
      </c>
      <c r="CM23" s="44">
        <f t="shared" si="66"/>
        <v>5717245.1399999997</v>
      </c>
      <c r="CN23" s="44">
        <f t="shared" si="67"/>
        <v>0</v>
      </c>
      <c r="CO23" s="44">
        <f t="shared" si="68"/>
        <v>9909920.0199999996</v>
      </c>
      <c r="CP23" s="261">
        <f t="shared" si="69"/>
        <v>15627165.16</v>
      </c>
      <c r="CR23" s="132">
        <f t="shared" si="70"/>
        <v>0</v>
      </c>
      <c r="CS23" s="132">
        <f t="shared" si="53"/>
        <v>152.17580889007183</v>
      </c>
      <c r="CT23" s="132">
        <f t="shared" si="54"/>
        <v>0</v>
      </c>
      <c r="CU23" s="132">
        <f t="shared" si="55"/>
        <v>171.74904714038126</v>
      </c>
      <c r="CV23" s="269">
        <f t="shared" si="56"/>
        <v>164.03028403484831</v>
      </c>
    </row>
    <row r="24" spans="2:100">
      <c r="B24" s="194" t="s">
        <v>10</v>
      </c>
      <c r="C24" s="138">
        <f>'Imports 2014-15'!$F$32</f>
        <v>702.16500000000008</v>
      </c>
      <c r="D24" s="138">
        <f>'Imports 2014-15'!$F$48</f>
        <v>568.71999999999991</v>
      </c>
      <c r="E24" s="138">
        <f>'Imports 2014-15'!$F$64</f>
        <v>97.83</v>
      </c>
      <c r="F24" s="138">
        <f>'Imports 2014-15'!$F$80</f>
        <v>0</v>
      </c>
      <c r="G24" s="138">
        <f>'Imports 2014-15'!$F$96</f>
        <v>0</v>
      </c>
      <c r="H24" s="138">
        <f>'Imports 2014-15'!$F$112</f>
        <v>0</v>
      </c>
      <c r="I24" s="206">
        <f t="shared" si="43"/>
        <v>1368.7149999999999</v>
      </c>
      <c r="K24" s="194" t="s">
        <v>10</v>
      </c>
      <c r="L24" s="138">
        <f>'Imports 2014-15'!$U$32</f>
        <v>72180789.88000001</v>
      </c>
      <c r="M24" s="138">
        <f>'Imports 2014-15'!$U$48</f>
        <v>57882384.259999998</v>
      </c>
      <c r="N24" s="138">
        <f>'Imports 2014-15'!$U$64</f>
        <v>8138493.8399999999</v>
      </c>
      <c r="O24" s="138">
        <f>'Imports 2014-15'!$U$80</f>
        <v>0</v>
      </c>
      <c r="P24" s="138">
        <f>'Imports 2014-15'!$U$96</f>
        <v>0</v>
      </c>
      <c r="Q24" s="138">
        <f>'Imports 2014-15'!$U$112</f>
        <v>0</v>
      </c>
      <c r="R24" s="198">
        <f t="shared" si="44"/>
        <v>138201667.98000002</v>
      </c>
      <c r="T24" s="194" t="s">
        <v>10</v>
      </c>
      <c r="U24" s="138">
        <f>'Imports 2014-15'!$AJ$32</f>
        <v>1175745.5944303405</v>
      </c>
      <c r="V24" s="138">
        <f>'Imports 2014-15'!$AJ$48</f>
        <v>931913.65571818966</v>
      </c>
      <c r="W24" s="138">
        <f>'Imports 2014-15'!$AJ$64</f>
        <v>127462.70696945967</v>
      </c>
      <c r="X24" s="138">
        <f>'Imports 2014-15'!$AJ$80</f>
        <v>0</v>
      </c>
      <c r="Y24" s="138">
        <f>'Imports 2014-15'!$AJ$96</f>
        <v>0</v>
      </c>
      <c r="Z24" s="138">
        <f>'Imports 2014-15'!$AJ$112</f>
        <v>0</v>
      </c>
      <c r="AA24" s="198">
        <f t="shared" si="45"/>
        <v>2235121.9571179897</v>
      </c>
      <c r="AB24" s="138"/>
      <c r="AC24" s="194" t="s">
        <v>10</v>
      </c>
      <c r="AD24" s="138">
        <f t="shared" si="76"/>
        <v>1674.4577049985976</v>
      </c>
      <c r="AE24" s="138">
        <f t="shared" si="71"/>
        <v>1638.6159370484418</v>
      </c>
      <c r="AF24" s="138">
        <f t="shared" si="72"/>
        <v>1302.8999996878224</v>
      </c>
      <c r="AG24" s="138">
        <f t="shared" si="73"/>
        <v>0</v>
      </c>
      <c r="AH24" s="138">
        <f t="shared" si="74"/>
        <v>0</v>
      </c>
      <c r="AI24" s="198">
        <f t="shared" si="75"/>
        <v>1633.0075706907498</v>
      </c>
      <c r="AJ24" s="138"/>
      <c r="AK24" s="204"/>
      <c r="AM24" s="207" t="s">
        <v>10</v>
      </c>
      <c r="AN24" s="205"/>
      <c r="AO24" s="138"/>
      <c r="AP24" s="138"/>
      <c r="AQ24" s="138"/>
      <c r="AR24" s="138">
        <v>1368.7149999999999</v>
      </c>
      <c r="AS24" s="138"/>
      <c r="AT24" s="138"/>
      <c r="AU24" s="138"/>
      <c r="AV24" s="138"/>
      <c r="AW24" s="138"/>
      <c r="AX24" s="138"/>
      <c r="AY24" s="138"/>
      <c r="AZ24" s="206">
        <f t="shared" si="57"/>
        <v>1368.7149999999999</v>
      </c>
      <c r="BA24" s="132"/>
      <c r="BB24" s="207" t="s">
        <v>10</v>
      </c>
      <c r="BC24" s="205"/>
      <c r="BD24" s="138"/>
      <c r="BE24" s="138"/>
      <c r="BF24" s="138"/>
      <c r="BG24" s="138">
        <f>138201667.98+124265.710000038</f>
        <v>138325933.69000003</v>
      </c>
      <c r="BH24" s="138"/>
      <c r="BI24" s="138"/>
      <c r="BJ24" s="138"/>
      <c r="BK24" s="138"/>
      <c r="BL24" s="138"/>
      <c r="BM24" s="138"/>
      <c r="BN24" s="138"/>
      <c r="BO24" s="206">
        <f t="shared" si="58"/>
        <v>138325933.69000003</v>
      </c>
      <c r="BP24" s="45"/>
      <c r="BU24" s="44">
        <f t="shared" si="46"/>
        <v>1382.0166798000002</v>
      </c>
      <c r="BV24" s="194" t="s">
        <v>10</v>
      </c>
      <c r="BW24" s="137">
        <f t="shared" si="59"/>
        <v>102.79747620573512</v>
      </c>
      <c r="BX24" s="137">
        <f t="shared" si="47"/>
        <v>101.77659350822903</v>
      </c>
      <c r="BY24" s="137">
        <f t="shared" si="48"/>
        <v>83.190164980067465</v>
      </c>
      <c r="BZ24" s="137">
        <f t="shared" si="49"/>
        <v>0</v>
      </c>
      <c r="CA24" s="137">
        <f t="shared" si="50"/>
        <v>0</v>
      </c>
      <c r="CB24" s="137">
        <f t="shared" si="51"/>
        <v>0</v>
      </c>
      <c r="CC24" s="203">
        <f t="shared" si="52"/>
        <v>100.97183707345944</v>
      </c>
      <c r="CE24" s="135" t="s">
        <v>10</v>
      </c>
      <c r="CF24" s="44">
        <f t="shared" si="60"/>
        <v>568.71999999999991</v>
      </c>
      <c r="CG24" s="44">
        <f t="shared" si="61"/>
        <v>702.16500000000008</v>
      </c>
      <c r="CH24" s="44">
        <f t="shared" si="62"/>
        <v>97.83</v>
      </c>
      <c r="CI24" s="44">
        <f t="shared" si="63"/>
        <v>0</v>
      </c>
      <c r="CJ24" s="259">
        <f t="shared" si="64"/>
        <v>1368.7149999999999</v>
      </c>
      <c r="CL24" s="44">
        <f t="shared" si="65"/>
        <v>57882384.259999998</v>
      </c>
      <c r="CM24" s="44">
        <f t="shared" si="66"/>
        <v>72180789.88000001</v>
      </c>
      <c r="CN24" s="44">
        <f t="shared" si="67"/>
        <v>8138493.8399999999</v>
      </c>
      <c r="CO24" s="44">
        <f t="shared" si="68"/>
        <v>0</v>
      </c>
      <c r="CP24" s="261">
        <f t="shared" si="69"/>
        <v>138201667.98000002</v>
      </c>
      <c r="CR24" s="132">
        <f t="shared" si="70"/>
        <v>101.77659350822903</v>
      </c>
      <c r="CS24" s="132">
        <f t="shared" si="53"/>
        <v>102.79747620573512</v>
      </c>
      <c r="CT24" s="132">
        <f t="shared" si="54"/>
        <v>83.190164980067465</v>
      </c>
      <c r="CU24" s="132">
        <f t="shared" si="55"/>
        <v>0</v>
      </c>
      <c r="CV24" s="269">
        <f t="shared" si="56"/>
        <v>100.97183707345944</v>
      </c>
    </row>
    <row r="25" spans="2:100">
      <c r="B25" s="194" t="s">
        <v>11</v>
      </c>
      <c r="C25" s="138">
        <f>'Imports 2014-15'!$G$32</f>
        <v>24477.780000000002</v>
      </c>
      <c r="D25" s="138">
        <f>'Imports 2014-15'!$G$48</f>
        <v>25215.180000000004</v>
      </c>
      <c r="E25" s="138">
        <f>'Imports 2014-15'!$G$64</f>
        <v>4541.7899999999991</v>
      </c>
      <c r="F25" s="138">
        <f>'Imports 2014-15'!$G$80</f>
        <v>0</v>
      </c>
      <c r="G25" s="138">
        <f>'Imports 2014-15'!$G$96</f>
        <v>0</v>
      </c>
      <c r="H25" s="138">
        <f>'Imports 2014-15'!$G$112</f>
        <v>0.60599999999999998</v>
      </c>
      <c r="I25" s="206">
        <f t="shared" si="43"/>
        <v>54235.356000000007</v>
      </c>
      <c r="K25" s="194" t="s">
        <v>11</v>
      </c>
      <c r="L25" s="138">
        <f>'Imports 2014-15'!$V$32</f>
        <v>2414983972.4399996</v>
      </c>
      <c r="M25" s="138">
        <f>'Imports 2014-15'!$V$48</f>
        <v>2484012181.27</v>
      </c>
      <c r="N25" s="138">
        <f>'Imports 2014-15'!$V$64</f>
        <v>478528676.32999986</v>
      </c>
      <c r="O25" s="138">
        <f>'Imports 2014-15'!$V$80</f>
        <v>0</v>
      </c>
      <c r="P25" s="138">
        <f>'Imports 2014-15'!$V$96</f>
        <v>0</v>
      </c>
      <c r="Q25" s="138">
        <f>'Imports 2014-15'!$V$112</f>
        <v>38684.1</v>
      </c>
      <c r="R25" s="198">
        <f t="shared" si="44"/>
        <v>5377563514.1399994</v>
      </c>
      <c r="T25" s="194" t="s">
        <v>11</v>
      </c>
      <c r="U25" s="138">
        <f>'Imports 2014-15'!$AK$32</f>
        <v>39219086.82708063</v>
      </c>
      <c r="V25" s="138">
        <f>'Imports 2014-15'!$AK$48</f>
        <v>40538799.468376234</v>
      </c>
      <c r="W25" s="138">
        <f>'Imports 2014-15'!$AK$64</f>
        <v>7844558.4854927585</v>
      </c>
      <c r="X25" s="138">
        <f>'Imports 2014-15'!$AK$80</f>
        <v>0</v>
      </c>
      <c r="Y25" s="138">
        <f>'Imports 2014-15'!$AK$96</f>
        <v>0</v>
      </c>
      <c r="Z25" s="138">
        <f>'Imports 2014-15'!$AK$112</f>
        <v>618.94560000000001</v>
      </c>
      <c r="AA25" s="198">
        <f t="shared" si="45"/>
        <v>87603063.726549625</v>
      </c>
      <c r="AB25" s="138"/>
      <c r="AC25" s="194" t="s">
        <v>11</v>
      </c>
      <c r="AD25" s="138">
        <f t="shared" si="76"/>
        <v>1602.2321806585658</v>
      </c>
      <c r="AE25" s="138">
        <f t="shared" si="71"/>
        <v>1607.7140622583788</v>
      </c>
      <c r="AF25" s="138">
        <f t="shared" si="72"/>
        <v>1727.1953316848114</v>
      </c>
      <c r="AG25" s="138">
        <f t="shared" si="73"/>
        <v>0</v>
      </c>
      <c r="AH25" s="138">
        <f t="shared" si="74"/>
        <v>1021.3623762376238</v>
      </c>
      <c r="AI25" s="198">
        <f t="shared" si="75"/>
        <v>1615.239028329594</v>
      </c>
      <c r="AJ25" s="138"/>
      <c r="AK25" s="204"/>
      <c r="AM25" s="207" t="s">
        <v>11</v>
      </c>
      <c r="AN25" s="205">
        <v>98.789999999999992</v>
      </c>
      <c r="AO25" s="138"/>
      <c r="AP25" s="138"/>
      <c r="AQ25" s="138">
        <v>19.84</v>
      </c>
      <c r="AR25" s="138">
        <v>52958.606000000036</v>
      </c>
      <c r="AS25" s="138"/>
      <c r="AT25" s="138"/>
      <c r="AU25" s="138"/>
      <c r="AV25" s="138">
        <v>253.5</v>
      </c>
      <c r="AW25" s="138"/>
      <c r="AX25" s="138">
        <v>904.61999999999989</v>
      </c>
      <c r="AY25" s="138"/>
      <c r="AZ25" s="206">
        <f t="shared" si="57"/>
        <v>54235.356000000036</v>
      </c>
      <c r="BA25" s="132"/>
      <c r="BB25" s="207" t="s">
        <v>11</v>
      </c>
      <c r="BC25" s="205">
        <v>9582407.8699999992</v>
      </c>
      <c r="BD25" s="138"/>
      <c r="BE25" s="138"/>
      <c r="BF25" s="138">
        <v>2245828.73</v>
      </c>
      <c r="BG25" s="138">
        <f>5243725376.27+4010.79000091552</f>
        <v>5243729387.0600014</v>
      </c>
      <c r="BH25" s="138"/>
      <c r="BI25" s="138"/>
      <c r="BJ25" s="138"/>
      <c r="BK25" s="138">
        <v>25138422.280000001</v>
      </c>
      <c r="BL25" s="138"/>
      <c r="BM25" s="138">
        <v>96871478.99000001</v>
      </c>
      <c r="BN25" s="138"/>
      <c r="BO25" s="206">
        <f t="shared" si="58"/>
        <v>5377567524.9300013</v>
      </c>
      <c r="BP25" s="45"/>
      <c r="BU25" s="44">
        <f t="shared" si="46"/>
        <v>53775.635141399995</v>
      </c>
      <c r="BV25" s="194" t="s">
        <v>11</v>
      </c>
      <c r="BW25" s="137">
        <f t="shared" si="59"/>
        <v>98.660253194529872</v>
      </c>
      <c r="BX25" s="137">
        <f t="shared" si="47"/>
        <v>98.512569859505248</v>
      </c>
      <c r="BY25" s="137">
        <f t="shared" si="48"/>
        <v>105.36125103318294</v>
      </c>
      <c r="BZ25" s="137">
        <f t="shared" si="49"/>
        <v>0</v>
      </c>
      <c r="CA25" s="137">
        <f t="shared" si="50"/>
        <v>0</v>
      </c>
      <c r="CB25" s="137">
        <f t="shared" si="51"/>
        <v>63.835148514851483</v>
      </c>
      <c r="CC25" s="203">
        <f t="shared" si="52"/>
        <v>99.152359470821935</v>
      </c>
      <c r="CE25" s="135" t="s">
        <v>11</v>
      </c>
      <c r="CF25" s="44">
        <f t="shared" si="60"/>
        <v>25215.180000000004</v>
      </c>
      <c r="CG25" s="44">
        <f t="shared" si="61"/>
        <v>24477.780000000002</v>
      </c>
      <c r="CH25" s="44">
        <f t="shared" si="62"/>
        <v>4541.7899999999991</v>
      </c>
      <c r="CI25" s="44">
        <f t="shared" si="63"/>
        <v>0.60599999999999998</v>
      </c>
      <c r="CJ25" s="259">
        <f t="shared" si="64"/>
        <v>54235.356000000007</v>
      </c>
      <c r="CL25" s="44">
        <f t="shared" si="65"/>
        <v>2484012181.27</v>
      </c>
      <c r="CM25" s="44">
        <f t="shared" si="66"/>
        <v>2414983972.4399996</v>
      </c>
      <c r="CN25" s="44">
        <f t="shared" si="67"/>
        <v>478528676.32999986</v>
      </c>
      <c r="CO25" s="44">
        <f t="shared" si="68"/>
        <v>38684.1</v>
      </c>
      <c r="CP25" s="261">
        <f t="shared" si="69"/>
        <v>5377563514.1399994</v>
      </c>
      <c r="CR25" s="132">
        <f t="shared" si="70"/>
        <v>98.512569859505248</v>
      </c>
      <c r="CS25" s="132">
        <f t="shared" si="53"/>
        <v>98.660253194529872</v>
      </c>
      <c r="CT25" s="132">
        <f t="shared" si="54"/>
        <v>105.36125103318294</v>
      </c>
      <c r="CU25" s="132">
        <f t="shared" si="55"/>
        <v>63.835148514851483</v>
      </c>
      <c r="CV25" s="269">
        <f t="shared" si="56"/>
        <v>99.152359470821935</v>
      </c>
    </row>
    <row r="26" spans="2:100">
      <c r="B26" s="194" t="s">
        <v>12</v>
      </c>
      <c r="C26" s="138">
        <f>'Imports 2014-15'!$H$32</f>
        <v>5969.62</v>
      </c>
      <c r="D26" s="138">
        <f>'Imports 2014-15'!$H$48</f>
        <v>0</v>
      </c>
      <c r="E26" s="138">
        <f>'Imports 2014-15'!$H$64</f>
        <v>4705.22</v>
      </c>
      <c r="F26" s="138">
        <f>'Imports 2014-15'!$H$80</f>
        <v>0</v>
      </c>
      <c r="G26" s="138">
        <f>'Imports 2014-15'!$H$96</f>
        <v>0</v>
      </c>
      <c r="H26" s="138">
        <f>'Imports 2014-15'!$H$112</f>
        <v>0</v>
      </c>
      <c r="I26" s="206">
        <f t="shared" si="43"/>
        <v>10674.84</v>
      </c>
      <c r="K26" s="194" t="s">
        <v>12</v>
      </c>
      <c r="L26" s="138">
        <f>'Imports 2014-15'!$W$32</f>
        <v>654968969.6400001</v>
      </c>
      <c r="M26" s="138">
        <f>'Imports 2014-15'!$W$48</f>
        <v>0</v>
      </c>
      <c r="N26" s="138">
        <f>'Imports 2014-15'!$W$64</f>
        <v>449235877.71000004</v>
      </c>
      <c r="O26" s="138">
        <f>'Imports 2014-15'!$W$80</f>
        <v>0</v>
      </c>
      <c r="P26" s="138">
        <f>'Imports 2014-15'!$W$96</f>
        <v>0</v>
      </c>
      <c r="Q26" s="138">
        <f>'Imports 2014-15'!$W$112</f>
        <v>0</v>
      </c>
      <c r="R26" s="198">
        <f t="shared" si="44"/>
        <v>1104204847.3500001</v>
      </c>
      <c r="T26" s="194" t="s">
        <v>12</v>
      </c>
      <c r="U26" s="138">
        <f>'Imports 2014-15'!$AL$32</f>
        <v>10663087.699638892</v>
      </c>
      <c r="V26" s="138">
        <f>'Imports 2014-15'!$AL$48</f>
        <v>0</v>
      </c>
      <c r="W26" s="138">
        <f>'Imports 2014-15'!$AL$64</f>
        <v>7289391.8768974617</v>
      </c>
      <c r="X26" s="138">
        <f>'Imports 2014-15'!$AL$80</f>
        <v>0</v>
      </c>
      <c r="Y26" s="138">
        <f>'Imports 2014-15'!$AL$96</f>
        <v>0</v>
      </c>
      <c r="Z26" s="138">
        <f>'Imports 2014-15'!$AL$112</f>
        <v>0</v>
      </c>
      <c r="AA26" s="198">
        <f t="shared" si="45"/>
        <v>17952479.576536354</v>
      </c>
      <c r="AB26" s="138"/>
      <c r="AC26" s="194" t="s">
        <v>12</v>
      </c>
      <c r="AD26" s="138">
        <f t="shared" si="76"/>
        <v>1786.2255385835099</v>
      </c>
      <c r="AE26" s="138">
        <f t="shared" si="71"/>
        <v>0</v>
      </c>
      <c r="AF26" s="138">
        <f t="shared" si="72"/>
        <v>1549.2138256866758</v>
      </c>
      <c r="AG26" s="138">
        <f t="shared" si="73"/>
        <v>0</v>
      </c>
      <c r="AH26" s="138">
        <f t="shared" si="74"/>
        <v>0</v>
      </c>
      <c r="AI26" s="198">
        <f t="shared" si="75"/>
        <v>1681.7563145242789</v>
      </c>
      <c r="AJ26" s="138"/>
      <c r="AK26" s="204"/>
      <c r="AM26" s="207" t="s">
        <v>12</v>
      </c>
      <c r="AN26" s="205"/>
      <c r="AO26" s="138"/>
      <c r="AP26" s="138"/>
      <c r="AQ26" s="138"/>
      <c r="AR26" s="138">
        <v>10674.84</v>
      </c>
      <c r="AS26" s="138"/>
      <c r="AT26" s="138"/>
      <c r="AU26" s="138"/>
      <c r="AV26" s="138"/>
      <c r="AW26" s="138"/>
      <c r="AX26" s="138"/>
      <c r="AY26" s="138"/>
      <c r="AZ26" s="206">
        <f t="shared" si="57"/>
        <v>10674.84</v>
      </c>
      <c r="BA26" s="132"/>
      <c r="BB26" s="207" t="s">
        <v>12</v>
      </c>
      <c r="BC26" s="205"/>
      <c r="BD26" s="138"/>
      <c r="BE26" s="138"/>
      <c r="BF26" s="138"/>
      <c r="BG26" s="138">
        <v>1104204847.3500001</v>
      </c>
      <c r="BH26" s="138"/>
      <c r="BI26" s="138"/>
      <c r="BJ26" s="138"/>
      <c r="BK26" s="138"/>
      <c r="BL26" s="138"/>
      <c r="BM26" s="138"/>
      <c r="BN26" s="138"/>
      <c r="BO26" s="206">
        <f t="shared" si="58"/>
        <v>1104204847.3500001</v>
      </c>
      <c r="BP26" s="45"/>
      <c r="BU26" s="44">
        <f t="shared" si="46"/>
        <v>11042.048473500001</v>
      </c>
      <c r="BV26" s="194" t="s">
        <v>12</v>
      </c>
      <c r="BW26" s="137">
        <f t="shared" si="59"/>
        <v>109.71702882930573</v>
      </c>
      <c r="BX26" s="137">
        <f t="shared" si="47"/>
        <v>0</v>
      </c>
      <c r="BY26" s="137">
        <f t="shared" si="48"/>
        <v>95.476062269139376</v>
      </c>
      <c r="BZ26" s="137">
        <f t="shared" si="49"/>
        <v>0</v>
      </c>
      <c r="CA26" s="137">
        <f t="shared" si="50"/>
        <v>0</v>
      </c>
      <c r="CB26" s="137">
        <f t="shared" si="51"/>
        <v>0</v>
      </c>
      <c r="CC26" s="203">
        <f t="shared" si="52"/>
        <v>103.43994358229257</v>
      </c>
      <c r="CE26" s="135" t="s">
        <v>12</v>
      </c>
      <c r="CF26" s="44">
        <f t="shared" si="60"/>
        <v>0</v>
      </c>
      <c r="CG26" s="44">
        <f t="shared" si="61"/>
        <v>5969.62</v>
      </c>
      <c r="CH26" s="44">
        <f t="shared" si="62"/>
        <v>4705.22</v>
      </c>
      <c r="CI26" s="44">
        <f t="shared" si="63"/>
        <v>0</v>
      </c>
      <c r="CJ26" s="259">
        <f t="shared" si="64"/>
        <v>10674.84</v>
      </c>
      <c r="CL26" s="44">
        <f t="shared" si="65"/>
        <v>0</v>
      </c>
      <c r="CM26" s="44">
        <f t="shared" si="66"/>
        <v>654968969.6400001</v>
      </c>
      <c r="CN26" s="44">
        <f t="shared" si="67"/>
        <v>449235877.71000004</v>
      </c>
      <c r="CO26" s="44">
        <f t="shared" si="68"/>
        <v>0</v>
      </c>
      <c r="CP26" s="261">
        <f t="shared" si="69"/>
        <v>1104204847.3500001</v>
      </c>
      <c r="CR26" s="132">
        <f t="shared" si="70"/>
        <v>0</v>
      </c>
      <c r="CS26" s="132">
        <f t="shared" si="53"/>
        <v>109.71702882930573</v>
      </c>
      <c r="CT26" s="132">
        <f t="shared" si="54"/>
        <v>95.476062269139376</v>
      </c>
      <c r="CU26" s="132">
        <f t="shared" si="55"/>
        <v>0</v>
      </c>
      <c r="CV26" s="269">
        <f t="shared" si="56"/>
        <v>103.43994358229257</v>
      </c>
    </row>
    <row r="27" spans="2:100">
      <c r="B27" s="194" t="s">
        <v>13</v>
      </c>
      <c r="C27" s="138">
        <f>'Imports 2014-15'!$I$32</f>
        <v>861.84</v>
      </c>
      <c r="D27" s="138">
        <f>'Imports 2014-15'!$I$48</f>
        <v>0</v>
      </c>
      <c r="E27" s="138">
        <f>'Imports 2014-15'!$I$64</f>
        <v>932.46</v>
      </c>
      <c r="F27" s="138">
        <f>'Imports 2014-15'!$I$80</f>
        <v>0</v>
      </c>
      <c r="G27" s="138">
        <f>'Imports 2014-15'!$I$96</f>
        <v>0</v>
      </c>
      <c r="H27" s="138">
        <f>'Imports 2014-15'!$I$112</f>
        <v>0</v>
      </c>
      <c r="I27" s="206">
        <f t="shared" si="43"/>
        <v>1794.3000000000002</v>
      </c>
      <c r="K27" s="194" t="s">
        <v>13</v>
      </c>
      <c r="L27" s="138">
        <f>'Imports 2014-15'!$X$32</f>
        <v>93292506.519999996</v>
      </c>
      <c r="M27" s="138">
        <f>'Imports 2014-15'!$X$48</f>
        <v>0</v>
      </c>
      <c r="N27" s="138">
        <f>'Imports 2014-15'!$X$64</f>
        <v>92734291.160000011</v>
      </c>
      <c r="O27" s="138">
        <f>'Imports 2014-15'!$X$80</f>
        <v>0</v>
      </c>
      <c r="P27" s="138">
        <f>'Imports 2014-15'!$X$96</f>
        <v>0</v>
      </c>
      <c r="Q27" s="138">
        <f>'Imports 2014-15'!$X$112</f>
        <v>0</v>
      </c>
      <c r="R27" s="198">
        <f t="shared" si="44"/>
        <v>186026797.68000001</v>
      </c>
      <c r="T27" s="194" t="s">
        <v>13</v>
      </c>
      <c r="U27" s="138">
        <f>'Imports 2014-15'!$AM$32</f>
        <v>1516207.5511897292</v>
      </c>
      <c r="V27" s="138">
        <f>'Imports 2014-15'!$AM$48</f>
        <v>0</v>
      </c>
      <c r="W27" s="138">
        <f>'Imports 2014-15'!$AM$64</f>
        <v>1518841.9147725783</v>
      </c>
      <c r="X27" s="138">
        <f>'Imports 2014-15'!$AM$80</f>
        <v>0</v>
      </c>
      <c r="Y27" s="138">
        <f>'Imports 2014-15'!$AM$96</f>
        <v>0</v>
      </c>
      <c r="Z27" s="138">
        <f>'Imports 2014-15'!$AM$112</f>
        <v>0</v>
      </c>
      <c r="AA27" s="198">
        <f t="shared" si="45"/>
        <v>3035049.4659623075</v>
      </c>
      <c r="AB27" s="138"/>
      <c r="AC27" s="194" t="s">
        <v>13</v>
      </c>
      <c r="AD27" s="138">
        <f t="shared" si="76"/>
        <v>1759.2680209664545</v>
      </c>
      <c r="AE27" s="138">
        <f t="shared" si="71"/>
        <v>0</v>
      </c>
      <c r="AF27" s="138">
        <f t="shared" si="72"/>
        <v>1628.8547656441865</v>
      </c>
      <c r="AG27" s="138">
        <f t="shared" si="73"/>
        <v>0</v>
      </c>
      <c r="AH27" s="138">
        <f t="shared" si="74"/>
        <v>0</v>
      </c>
      <c r="AI27" s="198">
        <f t="shared" si="75"/>
        <v>1691.4949930124881</v>
      </c>
      <c r="AJ27" s="138"/>
      <c r="AK27" s="204"/>
      <c r="AM27" s="207" t="s">
        <v>13</v>
      </c>
      <c r="AN27" s="205"/>
      <c r="AO27" s="138"/>
      <c r="AP27" s="138"/>
      <c r="AQ27" s="138"/>
      <c r="AR27" s="138">
        <v>1794.2999999999997</v>
      </c>
      <c r="AS27" s="138"/>
      <c r="AT27" s="138"/>
      <c r="AU27" s="138"/>
      <c r="AV27" s="138"/>
      <c r="AW27" s="138"/>
      <c r="AX27" s="138"/>
      <c r="AY27" s="138"/>
      <c r="AZ27" s="206">
        <f t="shared" si="57"/>
        <v>1794.2999999999997</v>
      </c>
      <c r="BA27" s="132"/>
      <c r="BB27" s="207" t="s">
        <v>13</v>
      </c>
      <c r="BC27" s="205"/>
      <c r="BD27" s="138"/>
      <c r="BE27" s="138"/>
      <c r="BF27" s="138"/>
      <c r="BG27" s="138">
        <v>186026797.68000004</v>
      </c>
      <c r="BH27" s="138"/>
      <c r="BI27" s="138"/>
      <c r="BJ27" s="138"/>
      <c r="BK27" s="138"/>
      <c r="BL27" s="138"/>
      <c r="BM27" s="138"/>
      <c r="BN27" s="138"/>
      <c r="BO27" s="206">
        <f t="shared" si="58"/>
        <v>186026797.68000004</v>
      </c>
      <c r="BP27" s="45"/>
      <c r="BU27" s="44">
        <f t="shared" si="46"/>
        <v>1860.2679768</v>
      </c>
      <c r="BV27" s="194" t="s">
        <v>13</v>
      </c>
      <c r="BW27" s="137">
        <f t="shared" si="59"/>
        <v>108.24805824747051</v>
      </c>
      <c r="BX27" s="137">
        <f t="shared" si="47"/>
        <v>0</v>
      </c>
      <c r="BY27" s="137">
        <f t="shared" si="48"/>
        <v>99.451227033867411</v>
      </c>
      <c r="BZ27" s="137">
        <f t="shared" si="49"/>
        <v>0</v>
      </c>
      <c r="CA27" s="137">
        <f t="shared" si="50"/>
        <v>0</v>
      </c>
      <c r="CB27" s="137">
        <f t="shared" si="51"/>
        <v>0</v>
      </c>
      <c r="CC27" s="203">
        <f t="shared" si="52"/>
        <v>103.67652994482528</v>
      </c>
      <c r="CE27" s="135" t="s">
        <v>13</v>
      </c>
      <c r="CF27" s="44">
        <f t="shared" si="60"/>
        <v>0</v>
      </c>
      <c r="CG27" s="44">
        <f t="shared" si="61"/>
        <v>861.84</v>
      </c>
      <c r="CH27" s="44">
        <f t="shared" si="62"/>
        <v>932.46</v>
      </c>
      <c r="CI27" s="44">
        <f t="shared" si="63"/>
        <v>0</v>
      </c>
      <c r="CJ27" s="259">
        <f t="shared" si="64"/>
        <v>1794.3000000000002</v>
      </c>
      <c r="CL27" s="44">
        <f t="shared" si="65"/>
        <v>0</v>
      </c>
      <c r="CM27" s="44">
        <f t="shared" si="66"/>
        <v>93292506.519999996</v>
      </c>
      <c r="CN27" s="44">
        <f t="shared" si="67"/>
        <v>92734291.160000011</v>
      </c>
      <c r="CO27" s="44">
        <f t="shared" si="68"/>
        <v>0</v>
      </c>
      <c r="CP27" s="261">
        <f t="shared" si="69"/>
        <v>186026797.68000001</v>
      </c>
      <c r="CR27" s="132">
        <f t="shared" si="70"/>
        <v>0</v>
      </c>
      <c r="CS27" s="132">
        <f t="shared" si="53"/>
        <v>108.24805824747051</v>
      </c>
      <c r="CT27" s="132">
        <f t="shared" si="54"/>
        <v>99.451227033867411</v>
      </c>
      <c r="CU27" s="132">
        <f t="shared" si="55"/>
        <v>0</v>
      </c>
      <c r="CV27" s="269">
        <f t="shared" si="56"/>
        <v>103.67652994482528</v>
      </c>
    </row>
    <row r="28" spans="2:100">
      <c r="B28" s="194" t="s">
        <v>14</v>
      </c>
      <c r="C28" s="138">
        <f>'Imports 2014-15'!$J$32</f>
        <v>0</v>
      </c>
      <c r="D28" s="138">
        <f>'Imports 2014-15'!$J$48</f>
        <v>6.12</v>
      </c>
      <c r="E28" s="138">
        <f>'Imports 2014-15'!$J$64</f>
        <v>0</v>
      </c>
      <c r="F28" s="138">
        <f>'Imports 2014-15'!$J$80</f>
        <v>0</v>
      </c>
      <c r="G28" s="138">
        <f>'Imports 2014-15'!$J$96</f>
        <v>0</v>
      </c>
      <c r="H28" s="138">
        <f>'Imports 2014-15'!$J$112</f>
        <v>0</v>
      </c>
      <c r="I28" s="206">
        <f t="shared" si="43"/>
        <v>6.12</v>
      </c>
      <c r="K28" s="194" t="s">
        <v>14</v>
      </c>
      <c r="L28" s="138">
        <f>'Imports 2014-15'!$Y$32</f>
        <v>0</v>
      </c>
      <c r="M28" s="138">
        <f>'Imports 2014-15'!$Y$48</f>
        <v>731912.46</v>
      </c>
      <c r="N28" s="138">
        <f>'Imports 2014-15'!$Y$64</f>
        <v>0</v>
      </c>
      <c r="O28" s="138">
        <f>'Imports 2014-15'!$Y$80</f>
        <v>0</v>
      </c>
      <c r="P28" s="138">
        <f>'Imports 2014-15'!$Y$96</f>
        <v>0</v>
      </c>
      <c r="Q28" s="138">
        <f>'Imports 2014-15'!$Y$112</f>
        <v>0</v>
      </c>
      <c r="R28" s="198">
        <f t="shared" si="44"/>
        <v>731912.46</v>
      </c>
      <c r="T28" s="194" t="s">
        <v>14</v>
      </c>
      <c r="U28" s="138">
        <f>'Imports 2014-15'!$AN$32</f>
        <v>0</v>
      </c>
      <c r="V28" s="138">
        <f>'Imports 2014-15'!$AN$48</f>
        <v>11923.232639999998</v>
      </c>
      <c r="W28" s="138">
        <f>'Imports 2014-15'!$AN$64</f>
        <v>0</v>
      </c>
      <c r="X28" s="138">
        <f>'Imports 2014-15'!$AN$80</f>
        <v>0</v>
      </c>
      <c r="Y28" s="138">
        <f>'Imports 2014-15'!$AN$96</f>
        <v>0</v>
      </c>
      <c r="Z28" s="138">
        <f>'Imports 2014-15'!$AN$112</f>
        <v>0</v>
      </c>
      <c r="AA28" s="198">
        <f t="shared" si="45"/>
        <v>11923.232639999998</v>
      </c>
      <c r="AB28" s="138"/>
      <c r="AC28" s="194" t="s">
        <v>14</v>
      </c>
      <c r="AD28" s="138">
        <f t="shared" si="76"/>
        <v>0</v>
      </c>
      <c r="AE28" s="138">
        <f t="shared" si="71"/>
        <v>1948.2406274509801</v>
      </c>
      <c r="AF28" s="138">
        <f t="shared" si="72"/>
        <v>0</v>
      </c>
      <c r="AG28" s="138">
        <f t="shared" si="73"/>
        <v>0</v>
      </c>
      <c r="AH28" s="138">
        <f t="shared" si="74"/>
        <v>0</v>
      </c>
      <c r="AI28" s="198">
        <f t="shared" si="75"/>
        <v>1948.2406274509801</v>
      </c>
      <c r="AJ28" s="138"/>
      <c r="AK28" s="204"/>
      <c r="AM28" s="207" t="s">
        <v>14</v>
      </c>
      <c r="AN28" s="205"/>
      <c r="AO28" s="138"/>
      <c r="AP28" s="138"/>
      <c r="AQ28" s="138"/>
      <c r="AR28" s="138">
        <v>13.92</v>
      </c>
      <c r="AS28" s="138"/>
      <c r="AT28" s="138"/>
      <c r="AU28" s="138"/>
      <c r="AV28" s="138"/>
      <c r="AW28" s="138"/>
      <c r="AX28" s="138"/>
      <c r="AY28" s="138"/>
      <c r="AZ28" s="206">
        <f t="shared" si="57"/>
        <v>13.92</v>
      </c>
      <c r="BA28" s="132"/>
      <c r="BB28" s="207" t="s">
        <v>14</v>
      </c>
      <c r="BC28" s="205"/>
      <c r="BD28" s="138"/>
      <c r="BE28" s="138"/>
      <c r="BF28" s="138"/>
      <c r="BG28" s="138">
        <v>2512851.91</v>
      </c>
      <c r="BH28" s="138"/>
      <c r="BI28" s="138"/>
      <c r="BJ28" s="138"/>
      <c r="BK28" s="138"/>
      <c r="BL28" s="138"/>
      <c r="BM28" s="138"/>
      <c r="BN28" s="138"/>
      <c r="BO28" s="206">
        <f t="shared" si="58"/>
        <v>2512851.91</v>
      </c>
      <c r="BP28" s="45"/>
      <c r="BU28" s="44">
        <f t="shared" si="46"/>
        <v>7.3191245999999994</v>
      </c>
      <c r="BV28" s="194" t="s">
        <v>14</v>
      </c>
      <c r="BW28" s="137">
        <f t="shared" si="59"/>
        <v>0</v>
      </c>
      <c r="BX28" s="137">
        <f t="shared" si="47"/>
        <v>119.59353921568626</v>
      </c>
      <c r="BY28" s="137">
        <f t="shared" si="48"/>
        <v>0</v>
      </c>
      <c r="BZ28" s="137">
        <f t="shared" si="49"/>
        <v>0</v>
      </c>
      <c r="CA28" s="137">
        <f t="shared" si="50"/>
        <v>0</v>
      </c>
      <c r="CB28" s="137">
        <f t="shared" si="51"/>
        <v>0</v>
      </c>
      <c r="CC28" s="203">
        <f t="shared" si="52"/>
        <v>119.59353921568626</v>
      </c>
      <c r="CE28" s="135" t="s">
        <v>14</v>
      </c>
      <c r="CF28" s="44">
        <f t="shared" si="60"/>
        <v>6.12</v>
      </c>
      <c r="CG28" s="44">
        <f t="shared" si="61"/>
        <v>0</v>
      </c>
      <c r="CH28" s="44">
        <f t="shared" si="62"/>
        <v>0</v>
      </c>
      <c r="CI28" s="44">
        <f t="shared" si="63"/>
        <v>0</v>
      </c>
      <c r="CJ28" s="259">
        <f t="shared" si="64"/>
        <v>6.12</v>
      </c>
      <c r="CL28" s="44">
        <f t="shared" si="65"/>
        <v>731912.46</v>
      </c>
      <c r="CM28" s="44">
        <f t="shared" si="66"/>
        <v>0</v>
      </c>
      <c r="CN28" s="44">
        <f t="shared" si="67"/>
        <v>0</v>
      </c>
      <c r="CO28" s="44">
        <f t="shared" si="68"/>
        <v>0</v>
      </c>
      <c r="CP28" s="261">
        <f t="shared" si="69"/>
        <v>731912.46</v>
      </c>
      <c r="CR28" s="132">
        <f t="shared" si="70"/>
        <v>119.59353921568626</v>
      </c>
      <c r="CS28" s="132">
        <f t="shared" si="53"/>
        <v>0</v>
      </c>
      <c r="CT28" s="132">
        <f t="shared" si="54"/>
        <v>0</v>
      </c>
      <c r="CU28" s="132">
        <f t="shared" si="55"/>
        <v>0</v>
      </c>
      <c r="CV28" s="269">
        <f t="shared" si="56"/>
        <v>119.59353921568626</v>
      </c>
    </row>
    <row r="29" spans="2:100">
      <c r="B29" s="194" t="s">
        <v>18</v>
      </c>
      <c r="C29" s="138">
        <f>'Imports 2014-15'!$K$32</f>
        <v>66.900000000000006</v>
      </c>
      <c r="D29" s="138">
        <f>'Imports 2014-15'!$K$48</f>
        <v>240</v>
      </c>
      <c r="E29" s="138">
        <f>'Imports 2014-15'!$K$64</f>
        <v>0</v>
      </c>
      <c r="F29" s="138">
        <f>'Imports 2014-15'!$K$80</f>
        <v>0</v>
      </c>
      <c r="G29" s="138">
        <f>'Imports 2014-15'!$K$96</f>
        <v>0</v>
      </c>
      <c r="H29" s="138">
        <f>'Imports 2014-15'!$K$112</f>
        <v>0</v>
      </c>
      <c r="I29" s="206">
        <f t="shared" si="43"/>
        <v>306.89999999999998</v>
      </c>
      <c r="K29" s="194" t="s">
        <v>18</v>
      </c>
      <c r="L29" s="138">
        <f>'Imports 2014-15'!$Z$32</f>
        <v>7445372.0299999993</v>
      </c>
      <c r="M29" s="138">
        <f>'Imports 2014-15'!$Z$48</f>
        <v>27717273.459999997</v>
      </c>
      <c r="N29" s="138">
        <f>'Imports 2014-15'!$Z$64</f>
        <v>0</v>
      </c>
      <c r="O29" s="138">
        <f>'Imports 2014-15'!$Z$80</f>
        <v>0</v>
      </c>
      <c r="P29" s="138">
        <f>'Imports 2014-15'!$Z$96</f>
        <v>0</v>
      </c>
      <c r="Q29" s="138">
        <f>'Imports 2014-15'!$Z$112</f>
        <v>0</v>
      </c>
      <c r="R29" s="198">
        <f t="shared" si="44"/>
        <v>35162645.489999995</v>
      </c>
      <c r="T29" s="194" t="s">
        <v>18</v>
      </c>
      <c r="U29" s="138">
        <f>'Imports 2014-15'!$AO$32</f>
        <v>121463.7718693653</v>
      </c>
      <c r="V29" s="138">
        <f>'Imports 2014-15'!$AO$48</f>
        <v>453367.70346165687</v>
      </c>
      <c r="W29" s="138">
        <f>'Imports 2014-15'!$AO$64</f>
        <v>0</v>
      </c>
      <c r="X29" s="138">
        <f>'Imports 2014-15'!$AO$80</f>
        <v>0</v>
      </c>
      <c r="Y29" s="138">
        <f>'Imports 2014-15'!$AO$96</f>
        <v>0</v>
      </c>
      <c r="Z29" s="138">
        <f>'Imports 2014-15'!$AO$112</f>
        <v>0</v>
      </c>
      <c r="AA29" s="198">
        <f t="shared" si="45"/>
        <v>574831.47533102217</v>
      </c>
      <c r="AB29" s="138"/>
      <c r="AC29" s="194" t="s">
        <v>18</v>
      </c>
      <c r="AD29" s="138">
        <f t="shared" si="76"/>
        <v>1815.6019711414842</v>
      </c>
      <c r="AE29" s="138">
        <f t="shared" si="71"/>
        <v>1889.0320977569036</v>
      </c>
      <c r="AF29" s="138">
        <f t="shared" si="72"/>
        <v>0</v>
      </c>
      <c r="AG29" s="138">
        <f t="shared" si="73"/>
        <v>0</v>
      </c>
      <c r="AH29" s="138">
        <f t="shared" si="74"/>
        <v>0</v>
      </c>
      <c r="AI29" s="198">
        <f t="shared" si="75"/>
        <v>1873.025335063611</v>
      </c>
      <c r="AJ29" s="138"/>
      <c r="AK29" s="204"/>
      <c r="AM29" s="207" t="s">
        <v>18</v>
      </c>
      <c r="AN29" s="205"/>
      <c r="AO29" s="138"/>
      <c r="AP29" s="138"/>
      <c r="AQ29" s="138"/>
      <c r="AR29" s="138">
        <f>334.385+1.80999999999995</f>
        <v>336.19499999999994</v>
      </c>
      <c r="AS29" s="138"/>
      <c r="AT29" s="138"/>
      <c r="AU29" s="138"/>
      <c r="AV29" s="138"/>
      <c r="AW29" s="138"/>
      <c r="AX29" s="138"/>
      <c r="AY29" s="138"/>
      <c r="AZ29" s="206">
        <f t="shared" si="57"/>
        <v>336.19499999999994</v>
      </c>
      <c r="BA29" s="132"/>
      <c r="BB29" s="207" t="s">
        <v>18</v>
      </c>
      <c r="BC29" s="205"/>
      <c r="BD29" s="138"/>
      <c r="BE29" s="138"/>
      <c r="BF29" s="138"/>
      <c r="BG29" s="138">
        <f>42991969.04+1787252.98999999</f>
        <v>44779222.029999986</v>
      </c>
      <c r="BH29" s="138"/>
      <c r="BI29" s="138"/>
      <c r="BJ29" s="138"/>
      <c r="BK29" s="138"/>
      <c r="BL29" s="138"/>
      <c r="BM29" s="138"/>
      <c r="BN29" s="138"/>
      <c r="BO29" s="206">
        <f t="shared" si="58"/>
        <v>44779222.029999986</v>
      </c>
      <c r="BP29" s="45"/>
      <c r="BU29" s="44">
        <f t="shared" si="46"/>
        <v>351.62645489999994</v>
      </c>
      <c r="BV29" s="194" t="s">
        <v>18</v>
      </c>
      <c r="BW29" s="137">
        <f t="shared" si="59"/>
        <v>111.29106173393122</v>
      </c>
      <c r="BX29" s="137">
        <f t="shared" si="47"/>
        <v>115.48863941666666</v>
      </c>
      <c r="BY29" s="137">
        <f t="shared" si="48"/>
        <v>0</v>
      </c>
      <c r="BZ29" s="137">
        <f t="shared" si="49"/>
        <v>0</v>
      </c>
      <c r="CA29" s="137">
        <f t="shared" si="50"/>
        <v>0</v>
      </c>
      <c r="CB29" s="137">
        <f t="shared" si="51"/>
        <v>0</v>
      </c>
      <c r="CC29" s="203">
        <f t="shared" si="52"/>
        <v>114.57362492668621</v>
      </c>
      <c r="CE29" s="135" t="s">
        <v>18</v>
      </c>
      <c r="CF29" s="44">
        <f t="shared" si="60"/>
        <v>240</v>
      </c>
      <c r="CG29" s="44">
        <f t="shared" si="61"/>
        <v>66.900000000000006</v>
      </c>
      <c r="CH29" s="44">
        <f t="shared" si="62"/>
        <v>0</v>
      </c>
      <c r="CI29" s="44">
        <f t="shared" si="63"/>
        <v>0</v>
      </c>
      <c r="CJ29" s="259">
        <f t="shared" si="64"/>
        <v>306.89999999999998</v>
      </c>
      <c r="CL29" s="44">
        <f t="shared" si="65"/>
        <v>27717273.459999997</v>
      </c>
      <c r="CM29" s="44">
        <f t="shared" si="66"/>
        <v>7445372.0299999993</v>
      </c>
      <c r="CN29" s="44">
        <f t="shared" si="67"/>
        <v>0</v>
      </c>
      <c r="CO29" s="44">
        <f t="shared" si="68"/>
        <v>0</v>
      </c>
      <c r="CP29" s="261">
        <f t="shared" si="69"/>
        <v>35162645.489999995</v>
      </c>
      <c r="CR29" s="132">
        <f t="shared" si="70"/>
        <v>115.48863941666666</v>
      </c>
      <c r="CS29" s="132">
        <f t="shared" si="53"/>
        <v>111.29106173393122</v>
      </c>
      <c r="CT29" s="132">
        <f t="shared" si="54"/>
        <v>0</v>
      </c>
      <c r="CU29" s="132">
        <f t="shared" si="55"/>
        <v>0</v>
      </c>
      <c r="CV29" s="269">
        <f t="shared" si="56"/>
        <v>114.57362492668621</v>
      </c>
    </row>
    <row r="30" spans="2:100">
      <c r="B30" s="194" t="s">
        <v>15</v>
      </c>
      <c r="C30" s="138">
        <f>'Imports 2014-15'!$L$32</f>
        <v>166.5</v>
      </c>
      <c r="D30" s="138">
        <f>'Imports 2014-15'!$L$48</f>
        <v>15</v>
      </c>
      <c r="E30" s="138">
        <f>'Imports 2014-15'!$L$64</f>
        <v>123</v>
      </c>
      <c r="F30" s="138">
        <f>'Imports 2014-15'!$L$80</f>
        <v>0</v>
      </c>
      <c r="G30" s="138">
        <f>'Imports 2014-15'!$L$96</f>
        <v>0</v>
      </c>
      <c r="H30" s="138">
        <f>'Imports 2014-15'!$L$112</f>
        <v>0</v>
      </c>
      <c r="I30" s="206">
        <f t="shared" si="43"/>
        <v>304.5</v>
      </c>
      <c r="K30" s="194" t="s">
        <v>15</v>
      </c>
      <c r="L30" s="138">
        <f>'Imports 2014-15'!$AA$32</f>
        <v>16868440.149999999</v>
      </c>
      <c r="M30" s="138">
        <f>'Imports 2014-15'!$AA$48</f>
        <v>1478640</v>
      </c>
      <c r="N30" s="138">
        <f>'Imports 2014-15'!$AA$64</f>
        <v>11536820.449999999</v>
      </c>
      <c r="O30" s="138">
        <f>'Imports 2014-15'!$AA$80</f>
        <v>0</v>
      </c>
      <c r="P30" s="138">
        <f>'Imports 2014-15'!$AA$96</f>
        <v>0</v>
      </c>
      <c r="Q30" s="138">
        <f>'Imports 2014-15'!$AA$112</f>
        <v>0</v>
      </c>
      <c r="R30" s="198">
        <f t="shared" si="44"/>
        <v>29883900.599999998</v>
      </c>
      <c r="T30" s="194" t="s">
        <v>15</v>
      </c>
      <c r="U30" s="138">
        <f>'Imports 2014-15'!$AP$32</f>
        <v>279483.01973341312</v>
      </c>
      <c r="V30" s="138">
        <f>'Imports 2014-15'!$AP$48</f>
        <v>24240</v>
      </c>
      <c r="W30" s="138">
        <f>'Imports 2014-15'!$AP$64</f>
        <v>187597.27190753841</v>
      </c>
      <c r="X30" s="138">
        <f>'Imports 2014-15'!$AP$80</f>
        <v>0</v>
      </c>
      <c r="Y30" s="138">
        <f>'Imports 2014-15'!$AP$96</f>
        <v>0</v>
      </c>
      <c r="Z30" s="138">
        <f>'Imports 2014-15'!$AP$112</f>
        <v>0</v>
      </c>
      <c r="AA30" s="198">
        <f t="shared" si="45"/>
        <v>491320.29164095153</v>
      </c>
      <c r="AB30" s="138"/>
      <c r="AC30" s="194" t="s">
        <v>15</v>
      </c>
      <c r="AD30" s="138">
        <f t="shared" si="76"/>
        <v>1678.5766950955742</v>
      </c>
      <c r="AE30" s="138">
        <f t="shared" si="71"/>
        <v>1616</v>
      </c>
      <c r="AF30" s="138">
        <f t="shared" si="72"/>
        <v>1525.1810724190113</v>
      </c>
      <c r="AG30" s="138">
        <f t="shared" si="73"/>
        <v>0</v>
      </c>
      <c r="AH30" s="138">
        <f t="shared" si="74"/>
        <v>0</v>
      </c>
      <c r="AI30" s="198">
        <f t="shared" si="75"/>
        <v>1613.5313354382645</v>
      </c>
      <c r="AJ30" s="138"/>
      <c r="AK30" s="204"/>
      <c r="AM30" s="207" t="s">
        <v>15</v>
      </c>
      <c r="AN30" s="205"/>
      <c r="AO30" s="138"/>
      <c r="AP30" s="138"/>
      <c r="AQ30" s="138"/>
      <c r="AR30" s="138">
        <f>372.24+10.31973</f>
        <v>382.55973</v>
      </c>
      <c r="AS30" s="138"/>
      <c r="AT30" s="138"/>
      <c r="AU30" s="138"/>
      <c r="AV30" s="138"/>
      <c r="AW30" s="138"/>
      <c r="AX30" s="138">
        <v>1.0999999999999999</v>
      </c>
      <c r="AY30" s="138">
        <v>0.02</v>
      </c>
      <c r="AZ30" s="206">
        <f t="shared" si="57"/>
        <v>383.67973000000001</v>
      </c>
      <c r="BA30" s="132"/>
      <c r="BB30" s="207" t="s">
        <v>15</v>
      </c>
      <c r="BC30" s="205"/>
      <c r="BD30" s="138"/>
      <c r="BE30" s="138"/>
      <c r="BF30" s="138"/>
      <c r="BG30" s="138">
        <f>51153695.77+7678750.87</f>
        <v>58832446.640000001</v>
      </c>
      <c r="BH30" s="138"/>
      <c r="BI30" s="138"/>
      <c r="BJ30" s="138"/>
      <c r="BK30" s="138"/>
      <c r="BL30" s="138"/>
      <c r="BM30" s="138">
        <v>202906.98</v>
      </c>
      <c r="BN30" s="138">
        <v>3987.64</v>
      </c>
      <c r="BO30" s="206">
        <f t="shared" si="58"/>
        <v>59039341.259999998</v>
      </c>
      <c r="BP30" s="45"/>
      <c r="BU30" s="44">
        <f t="shared" si="46"/>
        <v>298.83900599999998</v>
      </c>
      <c r="BV30" s="194" t="s">
        <v>15</v>
      </c>
      <c r="BW30" s="137">
        <f t="shared" si="59"/>
        <v>101.31195285285284</v>
      </c>
      <c r="BX30" s="137">
        <f t="shared" si="47"/>
        <v>98.575999999999993</v>
      </c>
      <c r="BY30" s="137">
        <f t="shared" si="48"/>
        <v>93.795288211382115</v>
      </c>
      <c r="BZ30" s="137">
        <f t="shared" si="49"/>
        <v>0</v>
      </c>
      <c r="CA30" s="137">
        <f t="shared" si="50"/>
        <v>0</v>
      </c>
      <c r="CB30" s="137">
        <f t="shared" si="51"/>
        <v>0</v>
      </c>
      <c r="CC30" s="203">
        <f t="shared" si="52"/>
        <v>98.140888669950726</v>
      </c>
      <c r="CE30" s="135" t="s">
        <v>15</v>
      </c>
      <c r="CF30" s="44">
        <f t="shared" si="60"/>
        <v>15</v>
      </c>
      <c r="CG30" s="44">
        <f t="shared" si="61"/>
        <v>166.5</v>
      </c>
      <c r="CH30" s="44">
        <f t="shared" si="62"/>
        <v>123</v>
      </c>
      <c r="CI30" s="44">
        <f t="shared" si="63"/>
        <v>0</v>
      </c>
      <c r="CJ30" s="259">
        <f t="shared" si="64"/>
        <v>304.5</v>
      </c>
      <c r="CL30" s="44">
        <f t="shared" si="65"/>
        <v>1478640</v>
      </c>
      <c r="CM30" s="44">
        <f t="shared" si="66"/>
        <v>16868440.149999999</v>
      </c>
      <c r="CN30" s="44">
        <f t="shared" si="67"/>
        <v>11536820.449999999</v>
      </c>
      <c r="CO30" s="44">
        <f t="shared" si="68"/>
        <v>0</v>
      </c>
      <c r="CP30" s="261">
        <f t="shared" si="69"/>
        <v>29883900.599999998</v>
      </c>
      <c r="CR30" s="132">
        <f t="shared" si="70"/>
        <v>98.575999999999993</v>
      </c>
      <c r="CS30" s="132">
        <f t="shared" si="53"/>
        <v>101.31195285285284</v>
      </c>
      <c r="CT30" s="132">
        <f t="shared" si="54"/>
        <v>93.795288211382115</v>
      </c>
      <c r="CU30" s="132">
        <f t="shared" si="55"/>
        <v>0</v>
      </c>
      <c r="CV30" s="269">
        <f t="shared" si="56"/>
        <v>98.140888669950726</v>
      </c>
    </row>
    <row r="31" spans="2:100" ht="12.75" thickBot="1">
      <c r="B31" s="194" t="s">
        <v>16</v>
      </c>
      <c r="C31" s="138">
        <f>'Imports 2014-15'!$M$32</f>
        <v>51.6</v>
      </c>
      <c r="D31" s="138">
        <f>'Imports 2014-15'!$M$48</f>
        <v>105</v>
      </c>
      <c r="E31" s="138">
        <f>'Imports 2014-15'!$M$64</f>
        <v>0</v>
      </c>
      <c r="F31" s="138">
        <f>'Imports 2014-15'!$M$80</f>
        <v>0</v>
      </c>
      <c r="G31" s="138">
        <f>'Imports 2014-15'!$M$96</f>
        <v>0</v>
      </c>
      <c r="H31" s="138">
        <f>'Imports 2014-15'!$M$112</f>
        <v>19.129000000000001</v>
      </c>
      <c r="I31" s="206">
        <f t="shared" si="43"/>
        <v>175.72899999999998</v>
      </c>
      <c r="K31" s="194" t="s">
        <v>16</v>
      </c>
      <c r="L31" s="138">
        <f>'Imports 2014-15'!$AB$32</f>
        <v>5252729.3099999996</v>
      </c>
      <c r="M31" s="138">
        <f>'Imports 2014-15'!$AB$48</f>
        <v>10733472.01</v>
      </c>
      <c r="N31" s="138">
        <f>'Imports 2014-15'!$AB$64</f>
        <v>0</v>
      </c>
      <c r="O31" s="138">
        <f>'Imports 2014-15'!$AB$80</f>
        <v>0</v>
      </c>
      <c r="P31" s="138">
        <f>'Imports 2014-15'!$AB$96</f>
        <v>0</v>
      </c>
      <c r="Q31" s="138">
        <f>'Imports 2014-15'!$AB$112</f>
        <v>1357255.65</v>
      </c>
      <c r="R31" s="198">
        <f t="shared" si="44"/>
        <v>17343456.969999999</v>
      </c>
      <c r="T31" s="194" t="s">
        <v>16</v>
      </c>
      <c r="U31" s="138">
        <f>'Imports 2014-15'!$AQ$32</f>
        <v>86358.219502343039</v>
      </c>
      <c r="V31" s="138">
        <f>'Imports 2014-15'!$AQ$48</f>
        <v>176697.77465028691</v>
      </c>
      <c r="W31" s="138">
        <f>'Imports 2014-15'!$AQ$64</f>
        <v>0</v>
      </c>
      <c r="X31" s="138">
        <f>'Imports 2014-15'!$AQ$80</f>
        <v>0</v>
      </c>
      <c r="Y31" s="138">
        <f>'Imports 2014-15'!$AQ$96</f>
        <v>0</v>
      </c>
      <c r="Z31" s="138">
        <f>'Imports 2014-15'!AQ128</f>
        <v>0</v>
      </c>
      <c r="AA31" s="198">
        <f t="shared" si="45"/>
        <v>263055.99415262998</v>
      </c>
      <c r="AB31" s="138"/>
      <c r="AC31" s="194" t="s">
        <v>16</v>
      </c>
      <c r="AD31" s="138">
        <f t="shared" si="76"/>
        <v>1673.6089050841674</v>
      </c>
      <c r="AE31" s="138">
        <f t="shared" si="71"/>
        <v>1682.8359490503515</v>
      </c>
      <c r="AF31" s="138">
        <f t="shared" si="72"/>
        <v>0</v>
      </c>
      <c r="AG31" s="138">
        <f t="shared" si="73"/>
        <v>0</v>
      </c>
      <c r="AH31" s="138">
        <f t="shared" si="74"/>
        <v>0</v>
      </c>
      <c r="AI31" s="198">
        <f t="shared" si="75"/>
        <v>1496.9412797695884</v>
      </c>
      <c r="AJ31" s="138"/>
      <c r="AK31" s="204"/>
      <c r="AM31" s="207" t="s">
        <v>16</v>
      </c>
      <c r="AN31" s="205"/>
      <c r="AO31" s="138"/>
      <c r="AP31" s="138"/>
      <c r="AQ31" s="138"/>
      <c r="AR31" s="138">
        <f>189.029+2.76349999999999</f>
        <v>191.79249999999999</v>
      </c>
      <c r="AS31" s="138"/>
      <c r="AT31" s="138"/>
      <c r="AU31" s="138"/>
      <c r="AV31" s="138"/>
      <c r="AW31" s="138"/>
      <c r="AX31" s="138">
        <v>0.93999999999999984</v>
      </c>
      <c r="AY31" s="138">
        <v>0.46</v>
      </c>
      <c r="AZ31" s="206">
        <f t="shared" si="57"/>
        <v>193.1925</v>
      </c>
      <c r="BA31" s="132"/>
      <c r="BB31" s="207" t="s">
        <v>16</v>
      </c>
      <c r="BC31" s="205"/>
      <c r="BD31" s="138"/>
      <c r="BE31" s="138"/>
      <c r="BF31" s="138"/>
      <c r="BG31" s="138">
        <f>21637663.04+1219042.89</f>
        <v>22856705.93</v>
      </c>
      <c r="BH31" s="138"/>
      <c r="BI31" s="138"/>
      <c r="BJ31" s="138"/>
      <c r="BK31" s="138"/>
      <c r="BL31" s="138"/>
      <c r="BM31" s="138">
        <v>170956.38999999998</v>
      </c>
      <c r="BN31" s="138">
        <v>106959.75</v>
      </c>
      <c r="BO31" s="206">
        <f t="shared" si="58"/>
        <v>23134622.07</v>
      </c>
      <c r="BP31" s="45"/>
      <c r="BU31" s="44">
        <f t="shared" si="46"/>
        <v>173.4345697</v>
      </c>
      <c r="BV31" s="194" t="s">
        <v>16</v>
      </c>
      <c r="BW31" s="137">
        <f t="shared" si="59"/>
        <v>101.79707965116279</v>
      </c>
      <c r="BX31" s="137">
        <f t="shared" si="47"/>
        <v>102.22354295238094</v>
      </c>
      <c r="BY31" s="137">
        <f t="shared" si="48"/>
        <v>0</v>
      </c>
      <c r="BZ31" s="137">
        <f t="shared" si="49"/>
        <v>0</v>
      </c>
      <c r="CA31" s="137">
        <f t="shared" si="50"/>
        <v>0</v>
      </c>
      <c r="CB31" s="137">
        <f t="shared" si="51"/>
        <v>70.952775890009931</v>
      </c>
      <c r="CC31" s="203">
        <f t="shared" si="52"/>
        <v>98.694335994628105</v>
      </c>
      <c r="CE31" s="135" t="s">
        <v>16</v>
      </c>
      <c r="CF31" s="44">
        <f t="shared" si="60"/>
        <v>105</v>
      </c>
      <c r="CG31" s="44">
        <f t="shared" si="61"/>
        <v>51.6</v>
      </c>
      <c r="CH31" s="44">
        <f t="shared" si="62"/>
        <v>0</v>
      </c>
      <c r="CI31" s="44">
        <f t="shared" si="63"/>
        <v>19.129000000000001</v>
      </c>
      <c r="CJ31" s="259">
        <f t="shared" si="64"/>
        <v>175.72899999999998</v>
      </c>
      <c r="CL31" s="44">
        <f t="shared" si="65"/>
        <v>10733472.01</v>
      </c>
      <c r="CM31" s="44">
        <f t="shared" si="66"/>
        <v>5252729.3099999996</v>
      </c>
      <c r="CN31" s="44">
        <f t="shared" si="67"/>
        <v>0</v>
      </c>
      <c r="CO31" s="44">
        <f t="shared" si="68"/>
        <v>1357255.65</v>
      </c>
      <c r="CP31" s="261">
        <f t="shared" si="69"/>
        <v>17343456.969999999</v>
      </c>
      <c r="CR31" s="132">
        <f t="shared" si="70"/>
        <v>102.22354295238094</v>
      </c>
      <c r="CS31" s="132">
        <f t="shared" si="53"/>
        <v>101.79707965116279</v>
      </c>
      <c r="CT31" s="132">
        <f t="shared" si="54"/>
        <v>0</v>
      </c>
      <c r="CU31" s="132">
        <f t="shared" si="55"/>
        <v>70.952775890009931</v>
      </c>
      <c r="CV31" s="269">
        <f t="shared" si="56"/>
        <v>98.694335994628105</v>
      </c>
    </row>
    <row r="32" spans="2:100" s="47" customFormat="1" ht="12.75" thickBot="1">
      <c r="B32" s="208" t="s">
        <v>20</v>
      </c>
      <c r="C32" s="209">
        <f t="shared" ref="C32:I32" si="77">SUM(C20:C31)</f>
        <v>32333.975000000002</v>
      </c>
      <c r="D32" s="209">
        <f t="shared" si="77"/>
        <v>26150.020000000004</v>
      </c>
      <c r="E32" s="209">
        <f t="shared" si="77"/>
        <v>10420.369999999999</v>
      </c>
      <c r="F32" s="209">
        <f t="shared" si="77"/>
        <v>0</v>
      </c>
      <c r="G32" s="209">
        <f t="shared" si="77"/>
        <v>0</v>
      </c>
      <c r="H32" s="209">
        <f t="shared" si="77"/>
        <v>96.344999999999999</v>
      </c>
      <c r="I32" s="211">
        <f t="shared" si="77"/>
        <v>69000.710000000006</v>
      </c>
      <c r="K32" s="208" t="s">
        <v>20</v>
      </c>
      <c r="L32" s="210">
        <f t="shared" ref="L32:R32" si="78">SUM(L20:L31)</f>
        <v>3270710025.1099997</v>
      </c>
      <c r="M32" s="210">
        <f t="shared" si="78"/>
        <v>2582555863.4600005</v>
      </c>
      <c r="N32" s="210">
        <f t="shared" si="78"/>
        <v>1044146361.4699999</v>
      </c>
      <c r="O32" s="210">
        <f t="shared" si="78"/>
        <v>0</v>
      </c>
      <c r="P32" s="210">
        <f t="shared" si="78"/>
        <v>0</v>
      </c>
      <c r="Q32" s="210">
        <f t="shared" si="78"/>
        <v>13858375.84</v>
      </c>
      <c r="R32" s="211">
        <f t="shared" si="78"/>
        <v>6911270625.8800001</v>
      </c>
      <c r="T32" s="208" t="s">
        <v>20</v>
      </c>
      <c r="U32" s="210">
        <f t="shared" ref="U32:Z32" si="79">SUM(U22:U31)</f>
        <v>53155158.013608649</v>
      </c>
      <c r="V32" s="210">
        <f t="shared" si="79"/>
        <v>42136941.83484637</v>
      </c>
      <c r="W32" s="210">
        <f t="shared" si="79"/>
        <v>17033292.156863518</v>
      </c>
      <c r="X32" s="210">
        <f t="shared" si="79"/>
        <v>0</v>
      </c>
      <c r="Y32" s="210">
        <f t="shared" si="79"/>
        <v>0</v>
      </c>
      <c r="Z32" s="210">
        <f t="shared" si="79"/>
        <v>207101.75276231149</v>
      </c>
      <c r="AA32" s="211">
        <f t="shared" si="45"/>
        <v>112532493.75808084</v>
      </c>
      <c r="AB32" s="46"/>
      <c r="AC32" s="208" t="s">
        <v>20</v>
      </c>
      <c r="AD32" s="210">
        <f t="shared" si="76"/>
        <v>1643.9413345748133</v>
      </c>
      <c r="AE32" s="210">
        <f t="shared" si="71"/>
        <v>1611.3540958992139</v>
      </c>
      <c r="AF32" s="210">
        <f t="shared" si="72"/>
        <v>1634.6149087665333</v>
      </c>
      <c r="AG32" s="210">
        <f t="shared" si="73"/>
        <v>0</v>
      </c>
      <c r="AH32" s="210">
        <f t="shared" si="74"/>
        <v>2149.5848540382117</v>
      </c>
      <c r="AI32" s="211">
        <f t="shared" si="75"/>
        <v>1630.8889250281748</v>
      </c>
      <c r="AJ32" s="46"/>
      <c r="AK32" s="212"/>
      <c r="AM32" s="214" t="s">
        <v>20</v>
      </c>
      <c r="AN32" s="213">
        <f t="shared" ref="AN32:AZ32" si="80">SUM(AN22:AN31)</f>
        <v>98.789999999999992</v>
      </c>
      <c r="AO32" s="210">
        <f t="shared" si="80"/>
        <v>0</v>
      </c>
      <c r="AP32" s="210">
        <f t="shared" si="80"/>
        <v>0</v>
      </c>
      <c r="AQ32" s="210">
        <f t="shared" si="80"/>
        <v>19.84</v>
      </c>
      <c r="AR32" s="210">
        <f t="shared" si="80"/>
        <v>67855.178230000034</v>
      </c>
      <c r="AS32" s="210">
        <f t="shared" si="80"/>
        <v>0</v>
      </c>
      <c r="AT32" s="210">
        <f t="shared" si="80"/>
        <v>0</v>
      </c>
      <c r="AU32" s="210">
        <f t="shared" si="80"/>
        <v>0</v>
      </c>
      <c r="AV32" s="210">
        <f t="shared" si="80"/>
        <v>253.5</v>
      </c>
      <c r="AW32" s="210">
        <f t="shared" si="80"/>
        <v>0</v>
      </c>
      <c r="AX32" s="210">
        <f t="shared" si="80"/>
        <v>906.66</v>
      </c>
      <c r="AY32" s="210">
        <f t="shared" si="80"/>
        <v>0.48000000000000004</v>
      </c>
      <c r="AZ32" s="211">
        <f t="shared" si="80"/>
        <v>69134.448230000053</v>
      </c>
      <c r="BB32" s="214" t="s">
        <v>20</v>
      </c>
      <c r="BC32" s="213">
        <f t="shared" ref="BC32:BO32" si="81">SUM(BC22:BC31)</f>
        <v>9582407.8699999992</v>
      </c>
      <c r="BD32" s="210">
        <f t="shared" si="81"/>
        <v>0</v>
      </c>
      <c r="BE32" s="210">
        <f t="shared" si="81"/>
        <v>0</v>
      </c>
      <c r="BF32" s="210">
        <f t="shared" si="81"/>
        <v>2245828.73</v>
      </c>
      <c r="BG32" s="210">
        <f t="shared" si="81"/>
        <v>6823429126.1100025</v>
      </c>
      <c r="BH32" s="210">
        <f t="shared" si="81"/>
        <v>0</v>
      </c>
      <c r="BI32" s="210">
        <f t="shared" si="81"/>
        <v>0</v>
      </c>
      <c r="BJ32" s="210">
        <f t="shared" si="81"/>
        <v>0</v>
      </c>
      <c r="BK32" s="210">
        <f t="shared" si="81"/>
        <v>25138422.280000001</v>
      </c>
      <c r="BL32" s="210">
        <f t="shared" si="81"/>
        <v>0</v>
      </c>
      <c r="BM32" s="210">
        <f t="shared" si="81"/>
        <v>97245342.360000014</v>
      </c>
      <c r="BN32" s="210">
        <f t="shared" si="81"/>
        <v>110947.39</v>
      </c>
      <c r="BO32" s="211">
        <f t="shared" si="81"/>
        <v>6957752074.7400017</v>
      </c>
      <c r="BU32" s="142">
        <f>R32/10^5</f>
        <v>69112.706258799997</v>
      </c>
      <c r="BV32" s="208" t="s">
        <v>20</v>
      </c>
      <c r="BW32" s="216">
        <f t="shared" si="59"/>
        <v>101.15397272095372</v>
      </c>
      <c r="BX32" s="216">
        <f t="shared" si="47"/>
        <v>98.759230909192425</v>
      </c>
      <c r="BY32" s="216">
        <f t="shared" si="48"/>
        <v>100.20242673436741</v>
      </c>
      <c r="BZ32" s="216">
        <f t="shared" si="49"/>
        <v>0</v>
      </c>
      <c r="CA32" s="216">
        <f t="shared" si="50"/>
        <v>0</v>
      </c>
      <c r="CB32" s="216">
        <f t="shared" si="51"/>
        <v>143.84115252478074</v>
      </c>
      <c r="CC32" s="217">
        <f t="shared" si="52"/>
        <v>100.16231174838634</v>
      </c>
      <c r="CE32" s="257" t="s">
        <v>20</v>
      </c>
      <c r="CF32" s="258">
        <f>SUM(CF20:CF31)</f>
        <v>26150.020000000004</v>
      </c>
      <c r="CG32" s="258">
        <f t="shared" ref="CG32" si="82">SUM(CG20:CG31)</f>
        <v>32333.975000000002</v>
      </c>
      <c r="CH32" s="258">
        <f t="shared" ref="CH32" si="83">SUM(CH20:CH31)</f>
        <v>10420.369999999999</v>
      </c>
      <c r="CI32" s="258">
        <f t="shared" ref="CI32" si="84">SUM(CI20:CI31)</f>
        <v>96.344999999999999</v>
      </c>
      <c r="CJ32" s="260">
        <f t="shared" ref="CJ32" si="85">SUM(CJ20:CJ31)</f>
        <v>69000.710000000006</v>
      </c>
      <c r="CL32" s="258">
        <f t="shared" si="65"/>
        <v>2582555863.4600005</v>
      </c>
      <c r="CM32" s="258">
        <f t="shared" si="66"/>
        <v>3270710025.1099997</v>
      </c>
      <c r="CN32" s="258">
        <f t="shared" si="67"/>
        <v>1044146361.4699999</v>
      </c>
      <c r="CO32" s="258">
        <f t="shared" si="68"/>
        <v>13858375.84</v>
      </c>
      <c r="CP32" s="260">
        <f t="shared" si="69"/>
        <v>6911270625.8800001</v>
      </c>
      <c r="CR32" s="270">
        <f t="shared" si="70"/>
        <v>98.759230909192425</v>
      </c>
      <c r="CS32" s="270">
        <f t="shared" si="53"/>
        <v>101.15397272095372</v>
      </c>
      <c r="CT32" s="270">
        <f t="shared" si="54"/>
        <v>100.20242673436741</v>
      </c>
      <c r="CU32" s="270">
        <f t="shared" si="55"/>
        <v>143.84115252478074</v>
      </c>
      <c r="CV32" s="271">
        <f t="shared" si="56"/>
        <v>100.16231174838634</v>
      </c>
    </row>
    <row r="33" spans="2:100" ht="12.75" thickBot="1"/>
    <row r="34" spans="2:100" ht="12.75" thickBot="1">
      <c r="B34" s="182" t="s">
        <v>21</v>
      </c>
      <c r="C34" s="418" t="s">
        <v>69</v>
      </c>
      <c r="D34" s="419"/>
      <c r="E34" s="419"/>
      <c r="F34" s="419"/>
      <c r="G34" s="419"/>
      <c r="H34" s="419"/>
      <c r="I34" s="420"/>
      <c r="K34" s="182" t="s">
        <v>6</v>
      </c>
      <c r="L34" s="418" t="s">
        <v>69</v>
      </c>
      <c r="M34" s="419"/>
      <c r="N34" s="419"/>
      <c r="O34" s="419"/>
      <c r="P34" s="419"/>
      <c r="Q34" s="419"/>
      <c r="R34" s="420"/>
      <c r="T34" s="182" t="s">
        <v>21</v>
      </c>
      <c r="U34" s="418" t="s">
        <v>69</v>
      </c>
      <c r="V34" s="419"/>
      <c r="W34" s="419"/>
      <c r="X34" s="419"/>
      <c r="Y34" s="419"/>
      <c r="Z34" s="419"/>
      <c r="AA34" s="420"/>
      <c r="AB34" s="165"/>
      <c r="AC34" s="182" t="s">
        <v>21</v>
      </c>
      <c r="AD34" s="418" t="s">
        <v>69</v>
      </c>
      <c r="AE34" s="419"/>
      <c r="AF34" s="419"/>
      <c r="AG34" s="419"/>
      <c r="AH34" s="419"/>
      <c r="AI34" s="420"/>
      <c r="AJ34" s="165"/>
      <c r="AK34" s="183"/>
      <c r="AM34" s="182" t="s">
        <v>21</v>
      </c>
      <c r="AN34" s="184" t="s">
        <v>69</v>
      </c>
      <c r="AO34" s="185"/>
      <c r="AP34" s="185"/>
      <c r="AQ34" s="185"/>
      <c r="AR34" s="185"/>
      <c r="AS34" s="185"/>
      <c r="AT34" s="185"/>
      <c r="AU34" s="185"/>
      <c r="AV34" s="185"/>
      <c r="AW34" s="185"/>
      <c r="AX34" s="185"/>
      <c r="AY34" s="185"/>
      <c r="AZ34" s="186"/>
      <c r="BB34" s="182" t="s">
        <v>6</v>
      </c>
      <c r="BC34" s="184" t="s">
        <v>69</v>
      </c>
      <c r="BD34" s="185"/>
      <c r="BE34" s="185"/>
      <c r="BF34" s="185"/>
      <c r="BG34" s="185"/>
      <c r="BH34" s="185"/>
      <c r="BI34" s="185"/>
      <c r="BJ34" s="185"/>
      <c r="BK34" s="185"/>
      <c r="BL34" s="185"/>
      <c r="BM34" s="185"/>
      <c r="BN34" s="185"/>
      <c r="BO34" s="186"/>
      <c r="BT34" s="35">
        <f>AQ34</f>
        <v>0</v>
      </c>
      <c r="BV34" s="182" t="s">
        <v>136</v>
      </c>
      <c r="BW34" s="418" t="s">
        <v>69</v>
      </c>
      <c r="BX34" s="419"/>
      <c r="BY34" s="419"/>
      <c r="BZ34" s="419"/>
      <c r="CA34" s="419"/>
      <c r="CB34" s="419"/>
      <c r="CC34" s="420"/>
      <c r="CF34" s="416" t="s">
        <v>202</v>
      </c>
      <c r="CG34" s="416"/>
      <c r="CH34" s="416"/>
      <c r="CI34" s="416"/>
      <c r="CJ34" s="416"/>
      <c r="CL34" s="416" t="s">
        <v>203</v>
      </c>
      <c r="CM34" s="416"/>
      <c r="CN34" s="416"/>
      <c r="CO34" s="416"/>
      <c r="CP34" s="416"/>
      <c r="CR34" s="417" t="s">
        <v>204</v>
      </c>
      <c r="CS34" s="417"/>
      <c r="CT34" s="417"/>
      <c r="CU34" s="417"/>
      <c r="CV34" s="417"/>
    </row>
    <row r="35" spans="2:100" ht="12.75" thickBot="1">
      <c r="B35" s="187" t="s">
        <v>66</v>
      </c>
      <c r="C35" s="218" t="s">
        <v>35</v>
      </c>
      <c r="D35" s="219" t="s">
        <v>36</v>
      </c>
      <c r="E35" s="219" t="s">
        <v>37</v>
      </c>
      <c r="F35" s="164" t="s">
        <v>135</v>
      </c>
      <c r="G35" s="219" t="s">
        <v>64</v>
      </c>
      <c r="H35" s="220" t="s">
        <v>65</v>
      </c>
      <c r="I35" s="221" t="s">
        <v>20</v>
      </c>
      <c r="K35" s="187" t="s">
        <v>66</v>
      </c>
      <c r="L35" s="164" t="s">
        <v>35</v>
      </c>
      <c r="M35" s="164" t="s">
        <v>36</v>
      </c>
      <c r="N35" s="164" t="s">
        <v>37</v>
      </c>
      <c r="O35" s="164" t="s">
        <v>135</v>
      </c>
      <c r="P35" s="164" t="s">
        <v>64</v>
      </c>
      <c r="Q35" s="164" t="s">
        <v>65</v>
      </c>
      <c r="R35" s="188" t="s">
        <v>20</v>
      </c>
      <c r="T35" s="187" t="s">
        <v>66</v>
      </c>
      <c r="U35" s="164" t="s">
        <v>35</v>
      </c>
      <c r="V35" s="164" t="s">
        <v>36</v>
      </c>
      <c r="W35" s="164" t="s">
        <v>37</v>
      </c>
      <c r="X35" s="164" t="s">
        <v>135</v>
      </c>
      <c r="Y35" s="164" t="s">
        <v>64</v>
      </c>
      <c r="Z35" s="164" t="s">
        <v>65</v>
      </c>
      <c r="AA35" s="188" t="s">
        <v>20</v>
      </c>
      <c r="AB35" s="165"/>
      <c r="AC35" s="187" t="s">
        <v>66</v>
      </c>
      <c r="AD35" s="218" t="s">
        <v>35</v>
      </c>
      <c r="AE35" s="219" t="s">
        <v>36</v>
      </c>
      <c r="AF35" s="219" t="s">
        <v>37</v>
      </c>
      <c r="AG35" s="219" t="s">
        <v>64</v>
      </c>
      <c r="AH35" s="220" t="s">
        <v>65</v>
      </c>
      <c r="AI35" s="221" t="s">
        <v>20</v>
      </c>
      <c r="AJ35" s="165"/>
      <c r="AK35" s="183"/>
      <c r="AM35" s="189" t="s">
        <v>66</v>
      </c>
      <c r="AN35" s="190" t="s">
        <v>70</v>
      </c>
      <c r="AO35" s="191" t="s">
        <v>80</v>
      </c>
      <c r="AP35" s="191" t="s">
        <v>79</v>
      </c>
      <c r="AQ35" s="192" t="s">
        <v>71</v>
      </c>
      <c r="AR35" s="192" t="s">
        <v>72</v>
      </c>
      <c r="AS35" s="192" t="s">
        <v>73</v>
      </c>
      <c r="AT35" s="192" t="s">
        <v>74</v>
      </c>
      <c r="AU35" s="192" t="s">
        <v>75</v>
      </c>
      <c r="AV35" s="192" t="s">
        <v>76</v>
      </c>
      <c r="AW35" s="192" t="s">
        <v>77</v>
      </c>
      <c r="AX35" s="192" t="s">
        <v>78</v>
      </c>
      <c r="AY35" s="191" t="s">
        <v>81</v>
      </c>
      <c r="AZ35" s="193" t="s">
        <v>4</v>
      </c>
      <c r="BB35" s="189" t="s">
        <v>66</v>
      </c>
      <c r="BC35" s="190" t="s">
        <v>70</v>
      </c>
      <c r="BD35" s="191" t="s">
        <v>80</v>
      </c>
      <c r="BE35" s="191" t="s">
        <v>79</v>
      </c>
      <c r="BF35" s="192" t="s">
        <v>71</v>
      </c>
      <c r="BG35" s="192" t="s">
        <v>72</v>
      </c>
      <c r="BH35" s="192" t="s">
        <v>73</v>
      </c>
      <c r="BI35" s="192" t="s">
        <v>74</v>
      </c>
      <c r="BJ35" s="192" t="s">
        <v>75</v>
      </c>
      <c r="BK35" s="192" t="s">
        <v>76</v>
      </c>
      <c r="BL35" s="192" t="s">
        <v>77</v>
      </c>
      <c r="BM35" s="192" t="s">
        <v>78</v>
      </c>
      <c r="BN35" s="191" t="s">
        <v>81</v>
      </c>
      <c r="BO35" s="193" t="s">
        <v>4</v>
      </c>
      <c r="BV35" s="187" t="s">
        <v>66</v>
      </c>
      <c r="BW35" s="164" t="s">
        <v>35</v>
      </c>
      <c r="BX35" s="164" t="s">
        <v>36</v>
      </c>
      <c r="BY35" s="164" t="s">
        <v>37</v>
      </c>
      <c r="BZ35" s="164" t="s">
        <v>135</v>
      </c>
      <c r="CA35" s="164" t="s">
        <v>64</v>
      </c>
      <c r="CB35" s="164" t="s">
        <v>65</v>
      </c>
      <c r="CC35" s="188" t="s">
        <v>20</v>
      </c>
      <c r="CF35" s="264" t="s">
        <v>0</v>
      </c>
      <c r="CG35" s="264" t="s">
        <v>1</v>
      </c>
      <c r="CH35" s="264" t="s">
        <v>3</v>
      </c>
      <c r="CI35" s="264" t="s">
        <v>7</v>
      </c>
      <c r="CJ35" s="263" t="s">
        <v>58</v>
      </c>
      <c r="CL35" s="264" t="s">
        <v>0</v>
      </c>
      <c r="CM35" s="264" t="s">
        <v>1</v>
      </c>
      <c r="CN35" s="264" t="s">
        <v>3</v>
      </c>
      <c r="CO35" s="264" t="s">
        <v>7</v>
      </c>
      <c r="CP35" s="263" t="s">
        <v>58</v>
      </c>
      <c r="CR35" s="267" t="s">
        <v>0</v>
      </c>
      <c r="CS35" s="267" t="s">
        <v>1</v>
      </c>
      <c r="CT35" s="267" t="s">
        <v>3</v>
      </c>
      <c r="CU35" s="267" t="s">
        <v>7</v>
      </c>
      <c r="CV35" s="268" t="s">
        <v>58</v>
      </c>
    </row>
    <row r="36" spans="2:100">
      <c r="B36" s="194" t="s">
        <v>133</v>
      </c>
      <c r="C36" s="195">
        <f>'Imports 2015-16'!$B$32</f>
        <v>0</v>
      </c>
      <c r="D36" s="196">
        <f>'Imports 2015-16'!$B$48</f>
        <v>0</v>
      </c>
      <c r="E36" s="197">
        <f>'Imports 2015-16'!$B$64</f>
        <v>0</v>
      </c>
      <c r="F36" s="197">
        <f>'Imports 2015-16'!$B$80</f>
        <v>0</v>
      </c>
      <c r="G36" s="195">
        <f>'Imports 2015-16'!$B$96</f>
        <v>0</v>
      </c>
      <c r="H36" s="195">
        <f>'Imports 2015-16'!$B$112</f>
        <v>0</v>
      </c>
      <c r="I36" s="206">
        <f t="shared" ref="I36:I47" si="86">SUM(C36:H36)</f>
        <v>0</v>
      </c>
      <c r="K36" s="194" t="s">
        <v>133</v>
      </c>
      <c r="L36" s="138">
        <f>'Imports 2015-16'!$Q$32</f>
        <v>0</v>
      </c>
      <c r="M36" s="138">
        <f>'Imports 2015-16'!$Q80</f>
        <v>0</v>
      </c>
      <c r="N36" s="138">
        <f>'Imports 2015-16'!$Q$64</f>
        <v>0</v>
      </c>
      <c r="O36" s="138">
        <f>'Imports 2015-16'!$Q$80</f>
        <v>0</v>
      </c>
      <c r="P36" s="138">
        <f>'Imports 2015-16'!$Q$96</f>
        <v>0</v>
      </c>
      <c r="Q36" s="138">
        <f>'Imports 2015-16'!$Q$112</f>
        <v>0</v>
      </c>
      <c r="R36" s="198">
        <f t="shared" ref="R36:R47" si="87">SUM(L36:Q36)</f>
        <v>0</v>
      </c>
      <c r="T36" s="194" t="s">
        <v>133</v>
      </c>
      <c r="U36" s="138">
        <f>'Imports 2015-16'!$AF$32</f>
        <v>0</v>
      </c>
      <c r="V36" s="138">
        <f>'Imports 2015-16'!$AF$48</f>
        <v>0</v>
      </c>
      <c r="W36" s="138">
        <f>'Imports 2015-16'!$AF$64</f>
        <v>0</v>
      </c>
      <c r="X36" s="138">
        <f>'Imports 2015-16'!$AF$80</f>
        <v>0</v>
      </c>
      <c r="Y36" s="138">
        <f>'Imports 2015-16'!$AF$96</f>
        <v>0</v>
      </c>
      <c r="Z36" s="138">
        <f>'Imports 2015-16'!$AF$112</f>
        <v>0</v>
      </c>
      <c r="AA36" s="199">
        <f t="shared" ref="AA36:AA48" si="88">SUM(U36:Z36)</f>
        <v>0</v>
      </c>
      <c r="AB36" s="165"/>
      <c r="AC36" s="194" t="s">
        <v>133</v>
      </c>
      <c r="AD36" s="165"/>
      <c r="AE36" s="165"/>
      <c r="AF36" s="165"/>
      <c r="AG36" s="165"/>
      <c r="AH36" s="165"/>
      <c r="AI36" s="222"/>
      <c r="AJ36" s="165"/>
      <c r="AK36" s="183"/>
      <c r="AM36" s="202"/>
      <c r="AN36" s="201"/>
      <c r="AO36" s="165"/>
      <c r="AP36" s="165"/>
      <c r="AQ36" s="165"/>
      <c r="AR36" s="165"/>
      <c r="AS36" s="165"/>
      <c r="AT36" s="165"/>
      <c r="AU36" s="165"/>
      <c r="AV36" s="165"/>
      <c r="AW36" s="165"/>
      <c r="AX36" s="165"/>
      <c r="AY36" s="165"/>
      <c r="AZ36" s="200"/>
      <c r="BB36" s="202"/>
      <c r="BC36" s="201"/>
      <c r="BD36" s="165"/>
      <c r="BE36" s="165"/>
      <c r="BF36" s="165"/>
      <c r="BG36" s="165"/>
      <c r="BH36" s="165"/>
      <c r="BI36" s="165"/>
      <c r="BJ36" s="165"/>
      <c r="BK36" s="165"/>
      <c r="BL36" s="165"/>
      <c r="BM36" s="165"/>
      <c r="BN36" s="165"/>
      <c r="BO36" s="200"/>
      <c r="BU36" s="44">
        <f t="shared" ref="BU36:BU47" si="89">R36/10^5</f>
        <v>0</v>
      </c>
      <c r="BV36" s="194" t="s">
        <v>133</v>
      </c>
      <c r="BW36" s="137">
        <f>IF(L36&lt;=0,0,L36/C36/1000)</f>
        <v>0</v>
      </c>
      <c r="BX36" s="137">
        <f t="shared" ref="BX36:BX48" si="90">IF(M36&lt;=0,0,M36/D36/1000)</f>
        <v>0</v>
      </c>
      <c r="BY36" s="137">
        <f t="shared" ref="BY36:BY48" si="91">IF(N36&lt;=0,0,N36/E36/1000)</f>
        <v>0</v>
      </c>
      <c r="BZ36" s="137">
        <f t="shared" ref="BZ36:BZ48" si="92">IF(O36&lt;=0,0,O36/F36/1000)</f>
        <v>0</v>
      </c>
      <c r="CA36" s="137">
        <f t="shared" ref="CA36:CA48" si="93">IF(P36&lt;=0,0,P36/G36/1000)</f>
        <v>0</v>
      </c>
      <c r="CB36" s="137">
        <f t="shared" ref="CB36:CB48" si="94">IF(Q36&lt;=0,0,Q36/H36/1000)</f>
        <v>0</v>
      </c>
      <c r="CC36" s="203">
        <f t="shared" ref="CC36:CC48" si="95">IF(R36&lt;=0,0,R36/I36/1000)</f>
        <v>0</v>
      </c>
      <c r="CE36" s="135" t="s">
        <v>133</v>
      </c>
      <c r="CF36" s="44">
        <f>D36</f>
        <v>0</v>
      </c>
      <c r="CG36" s="44">
        <f>C36</f>
        <v>0</v>
      </c>
      <c r="CH36" s="44">
        <f>E36</f>
        <v>0</v>
      </c>
      <c r="CI36" s="44">
        <f>SUM(F36:H36)</f>
        <v>0</v>
      </c>
      <c r="CJ36" s="259">
        <f>SUM(CF36:CI36)</f>
        <v>0</v>
      </c>
      <c r="CL36" s="44">
        <f>M36</f>
        <v>0</v>
      </c>
      <c r="CM36" s="44">
        <f>L36</f>
        <v>0</v>
      </c>
      <c r="CN36" s="44">
        <f>N36</f>
        <v>0</v>
      </c>
      <c r="CO36" s="44">
        <f>SUM(O36:Q36)</f>
        <v>0</v>
      </c>
      <c r="CP36" s="261">
        <f>SUM(CL36:CO36)</f>
        <v>0</v>
      </c>
      <c r="CR36" s="132">
        <f>IF(CF36&lt;=0,0,CL36/CF36/1000)</f>
        <v>0</v>
      </c>
      <c r="CS36" s="132">
        <f t="shared" ref="CS36:CS48" si="96">IF(CG36&lt;=0,0,CM36/CG36/1000)</f>
        <v>0</v>
      </c>
      <c r="CT36" s="132">
        <f t="shared" ref="CT36:CT48" si="97">IF(CH36&lt;=0,0,CN36/CH36/1000)</f>
        <v>0</v>
      </c>
      <c r="CU36" s="132">
        <f t="shared" ref="CU36:CU48" si="98">IF(CI36&lt;=0,0,CO36/CI36/1000)</f>
        <v>0</v>
      </c>
      <c r="CV36" s="269">
        <f t="shared" ref="CV36:CV48" si="99">IF(CJ36&lt;=0,0,CP36/CJ36/1000)</f>
        <v>0</v>
      </c>
    </row>
    <row r="37" spans="2:100">
      <c r="B37" s="194" t="s">
        <v>19</v>
      </c>
      <c r="C37" s="138">
        <f>'Imports 2015-16'!$C$32</f>
        <v>2.04</v>
      </c>
      <c r="D37" s="138">
        <f>'Imports 2015-16'!$C$48</f>
        <v>0</v>
      </c>
      <c r="E37" s="138">
        <f>'Imports 2015-16'!$C$64</f>
        <v>0</v>
      </c>
      <c r="F37" s="138">
        <f>'Imports 2015-16'!$C$80</f>
        <v>0</v>
      </c>
      <c r="G37" s="138">
        <f>'Imports 2015-16'!$C$96</f>
        <v>0</v>
      </c>
      <c r="H37" s="138">
        <f>'Imports 2015-16'!$C$112</f>
        <v>0</v>
      </c>
      <c r="I37" s="206">
        <f t="shared" si="86"/>
        <v>2.04</v>
      </c>
      <c r="J37" s="44"/>
      <c r="K37" s="194" t="s">
        <v>19</v>
      </c>
      <c r="L37" s="138">
        <f>'Imports 2015-16'!$R$32</f>
        <v>465221.84</v>
      </c>
      <c r="M37" s="138">
        <f>'Imports 2015-16'!$R$48</f>
        <v>0</v>
      </c>
      <c r="N37" s="138">
        <f>'Imports 2015-16'!$R$64</f>
        <v>0</v>
      </c>
      <c r="O37" s="138">
        <f>'Imports 2015-16'!$R$80</f>
        <v>0</v>
      </c>
      <c r="P37" s="138">
        <f>'Imports 2015-16'!$R$96</f>
        <v>0</v>
      </c>
      <c r="Q37" s="138">
        <f>'Imports 2015-16'!$R$112</f>
        <v>0</v>
      </c>
      <c r="R37" s="198">
        <f t="shared" si="87"/>
        <v>465221.84</v>
      </c>
      <c r="T37" s="194" t="s">
        <v>19</v>
      </c>
      <c r="U37" s="138">
        <f>'Imports 2015-16'!$AG$32</f>
        <v>6922.9440476190475</v>
      </c>
      <c r="V37" s="138">
        <f>'Imports 2015-16'!$AG$48</f>
        <v>0</v>
      </c>
      <c r="W37" s="138">
        <f>'Imports 2015-16'!$AG$64</f>
        <v>0</v>
      </c>
      <c r="X37" s="138">
        <f>'Imports 2015-16'!$AG$80</f>
        <v>0</v>
      </c>
      <c r="Y37" s="138">
        <f>'Imports 2015-16'!$AG$96</f>
        <v>0</v>
      </c>
      <c r="Z37" s="138">
        <f>'Imports 2015-16'!$AG$112</f>
        <v>0</v>
      </c>
      <c r="AA37" s="198">
        <f t="shared" si="88"/>
        <v>6922.9440476190475</v>
      </c>
      <c r="AB37" s="223"/>
      <c r="AC37" s="194" t="s">
        <v>19</v>
      </c>
      <c r="AD37" s="138">
        <f>IF(U37&lt;=0,0,U37/C37)</f>
        <v>3393.6000233426703</v>
      </c>
      <c r="AE37" s="138">
        <f>IF(V37&lt;=0,0,V37/D37)</f>
        <v>0</v>
      </c>
      <c r="AF37" s="138">
        <f>IF(W37&lt;=0,0,W37/E37)</f>
        <v>0</v>
      </c>
      <c r="AG37" s="138">
        <f>IF(Y37&lt;=0,0,Y37/G37)</f>
        <v>0</v>
      </c>
      <c r="AH37" s="138">
        <f>IF(Z37&lt;=0,0,Z37/H37)</f>
        <v>0</v>
      </c>
      <c r="AI37" s="198">
        <f>IF(AA37&lt;=0,0,AA37/I37)</f>
        <v>3393.6000233426703</v>
      </c>
      <c r="AJ37" s="223"/>
      <c r="AK37" s="204"/>
      <c r="AM37" s="207" t="s">
        <v>19</v>
      </c>
      <c r="AN37" s="205"/>
      <c r="AO37" s="138"/>
      <c r="AP37" s="138"/>
      <c r="AQ37" s="138"/>
      <c r="AR37" s="138">
        <v>2.04</v>
      </c>
      <c r="AS37" s="138">
        <v>0.63600000000000001</v>
      </c>
      <c r="AT37" s="138"/>
      <c r="AU37" s="138"/>
      <c r="AV37" s="138"/>
      <c r="AW37" s="138"/>
      <c r="AX37" s="138"/>
      <c r="AY37" s="138"/>
      <c r="AZ37" s="206">
        <f t="shared" ref="AZ37:AZ47" si="100">SUM(AN37:AY37)</f>
        <v>2.6760000000000002</v>
      </c>
      <c r="BB37" s="207" t="s">
        <v>19</v>
      </c>
      <c r="BC37" s="205"/>
      <c r="BF37" s="138"/>
      <c r="BG37" s="138">
        <v>465221.84</v>
      </c>
      <c r="BH37" s="138">
        <v>235985.91</v>
      </c>
      <c r="BI37" s="138"/>
      <c r="BJ37" s="138"/>
      <c r="BK37" s="138"/>
      <c r="BL37" s="138"/>
      <c r="BM37" s="138"/>
      <c r="BO37" s="206">
        <f t="shared" ref="BO37:BO47" si="101">SUM(BC37:BN37)</f>
        <v>701207.75</v>
      </c>
      <c r="BP37" s="45"/>
      <c r="BU37" s="44">
        <f t="shared" si="89"/>
        <v>4.6522184000000006</v>
      </c>
      <c r="BV37" s="194" t="s">
        <v>19</v>
      </c>
      <c r="BW37" s="137">
        <f t="shared" ref="BW37:BW48" si="102">IF(L37&lt;=0,0,L37/C37/1000)</f>
        <v>228.04992156862747</v>
      </c>
      <c r="BX37" s="137">
        <f t="shared" si="90"/>
        <v>0</v>
      </c>
      <c r="BY37" s="137">
        <f t="shared" si="91"/>
        <v>0</v>
      </c>
      <c r="BZ37" s="137">
        <f t="shared" si="92"/>
        <v>0</v>
      </c>
      <c r="CA37" s="137">
        <f t="shared" si="93"/>
        <v>0</v>
      </c>
      <c r="CB37" s="137">
        <f t="shared" si="94"/>
        <v>0</v>
      </c>
      <c r="CC37" s="203">
        <f t="shared" si="95"/>
        <v>228.04992156862747</v>
      </c>
      <c r="CE37" s="135" t="s">
        <v>19</v>
      </c>
      <c r="CF37" s="44">
        <f t="shared" ref="CF37:CF47" si="103">D37</f>
        <v>0</v>
      </c>
      <c r="CG37" s="44">
        <f t="shared" ref="CG37:CG47" si="104">C37</f>
        <v>2.04</v>
      </c>
      <c r="CH37" s="44">
        <f t="shared" ref="CH37:CH47" si="105">E37</f>
        <v>0</v>
      </c>
      <c r="CI37" s="44">
        <f t="shared" ref="CI37:CI47" si="106">SUM(F37:H37)</f>
        <v>0</v>
      </c>
      <c r="CJ37" s="259">
        <f t="shared" ref="CJ37:CJ47" si="107">SUM(CF37:CI37)</f>
        <v>2.04</v>
      </c>
      <c r="CL37" s="44">
        <f t="shared" ref="CL37:CL48" si="108">M37</f>
        <v>0</v>
      </c>
      <c r="CM37" s="44">
        <f t="shared" ref="CM37:CM48" si="109">L37</f>
        <v>465221.84</v>
      </c>
      <c r="CN37" s="44">
        <f t="shared" ref="CN37:CN48" si="110">N37</f>
        <v>0</v>
      </c>
      <c r="CO37" s="44">
        <f t="shared" ref="CO37:CO48" si="111">SUM(O37:Q37)</f>
        <v>0</v>
      </c>
      <c r="CP37" s="261">
        <f t="shared" ref="CP37:CP48" si="112">SUM(CL37:CO37)</f>
        <v>465221.84</v>
      </c>
      <c r="CR37" s="132">
        <f t="shared" ref="CR37:CR48" si="113">IF(CF37&lt;=0,0,CL37/CF37/1000)</f>
        <v>0</v>
      </c>
      <c r="CS37" s="132">
        <f t="shared" si="96"/>
        <v>228.04992156862747</v>
      </c>
      <c r="CT37" s="132">
        <f t="shared" si="97"/>
        <v>0</v>
      </c>
      <c r="CU37" s="132">
        <f t="shared" si="98"/>
        <v>0</v>
      </c>
      <c r="CV37" s="269">
        <f t="shared" si="99"/>
        <v>228.04992156862747</v>
      </c>
    </row>
    <row r="38" spans="2:100">
      <c r="B38" s="194" t="s">
        <v>17</v>
      </c>
      <c r="C38" s="138">
        <f>'Imports 2015-16'!$D$32</f>
        <v>0</v>
      </c>
      <c r="D38" s="138">
        <f>'Imports 2015-16'!$D$48</f>
        <v>6.8</v>
      </c>
      <c r="E38" s="138">
        <f>'Imports 2015-16'!$D$64</f>
        <v>0</v>
      </c>
      <c r="F38" s="138">
        <f>'Imports 2015-16'!$D$80</f>
        <v>0</v>
      </c>
      <c r="G38" s="138">
        <f>'Imports 2015-16'!$D$96</f>
        <v>0</v>
      </c>
      <c r="H38" s="138">
        <f>'Imports 2015-16'!$D$112</f>
        <v>13.6</v>
      </c>
      <c r="I38" s="206">
        <f t="shared" si="86"/>
        <v>20.399999999999999</v>
      </c>
      <c r="J38" s="44"/>
      <c r="K38" s="194" t="s">
        <v>17</v>
      </c>
      <c r="L38" s="138">
        <f>'Imports 2015-16'!$S$32</f>
        <v>0</v>
      </c>
      <c r="M38" s="138">
        <f>'Imports 2015-16'!$S$48</f>
        <v>1657797.84</v>
      </c>
      <c r="N38" s="138">
        <f>'Imports 2015-16'!$S$64</f>
        <v>0</v>
      </c>
      <c r="O38" s="138">
        <f>'Imports 2015-16'!$S$80</f>
        <v>0</v>
      </c>
      <c r="P38" s="138">
        <f>'Imports 2015-16'!$S$96</f>
        <v>0</v>
      </c>
      <c r="Q38" s="138">
        <f>'Imports 2015-16'!$S$112</f>
        <v>2939006.07</v>
      </c>
      <c r="R38" s="198">
        <f t="shared" si="87"/>
        <v>4596803.91</v>
      </c>
      <c r="T38" s="194" t="s">
        <v>17</v>
      </c>
      <c r="U38" s="138">
        <f>'Imports 2015-16'!$AH$32</f>
        <v>0</v>
      </c>
      <c r="V38" s="138">
        <f>'Imports 2015-16'!$AH$48</f>
        <v>24724.800000000003</v>
      </c>
      <c r="W38" s="138">
        <f>'Imports 2015-16'!$AH$64</f>
        <v>0</v>
      </c>
      <c r="X38" s="138">
        <f>'Imports 2015-16'!$AH$80</f>
        <v>0</v>
      </c>
      <c r="Y38" s="138">
        <f>'Imports 2015-16'!$AH$96</f>
        <v>0</v>
      </c>
      <c r="Z38" s="138">
        <f>'Imports 2015-16'!$AH$112</f>
        <v>45707.714930015551</v>
      </c>
      <c r="AA38" s="198">
        <f t="shared" si="88"/>
        <v>70432.514930015546</v>
      </c>
      <c r="AB38" s="223"/>
      <c r="AC38" s="194" t="s">
        <v>17</v>
      </c>
      <c r="AD38" s="138">
        <f>IF(U38&lt;=0,0,U38/C38)</f>
        <v>0</v>
      </c>
      <c r="AE38" s="138">
        <f t="shared" ref="AE38:AE48" si="114">IF(V38&lt;=0,0,V38/D38)</f>
        <v>3636.0000000000005</v>
      </c>
      <c r="AF38" s="138">
        <f t="shared" ref="AF38:AF48" si="115">IF(W38&lt;=0,0,W38/E38)</f>
        <v>0</v>
      </c>
      <c r="AG38" s="138">
        <f t="shared" ref="AG38:AG48" si="116">IF(Y38&lt;=0,0,Y38/G38)</f>
        <v>0</v>
      </c>
      <c r="AH38" s="138">
        <f t="shared" ref="AH38:AH48" si="117">IF(Z38&lt;=0,0,Z38/H38)</f>
        <v>3360.8613919129084</v>
      </c>
      <c r="AI38" s="198">
        <f t="shared" ref="AI38:AI48" si="118">IF(AA38&lt;=0,0,AA38/I38)</f>
        <v>3452.574261275272</v>
      </c>
      <c r="AJ38" s="223"/>
      <c r="AK38" s="204"/>
      <c r="AM38" s="207" t="s">
        <v>17</v>
      </c>
      <c r="AN38" s="205"/>
      <c r="AO38" s="138"/>
      <c r="AP38" s="138"/>
      <c r="AQ38" s="138">
        <v>13.6</v>
      </c>
      <c r="AR38" s="138">
        <v>6.8</v>
      </c>
      <c r="AS38" s="138"/>
      <c r="AT38" s="138"/>
      <c r="AU38" s="138"/>
      <c r="AV38" s="138"/>
      <c r="AW38" s="138"/>
      <c r="AX38" s="138"/>
      <c r="AY38" s="138"/>
      <c r="AZ38" s="206">
        <f t="shared" si="100"/>
        <v>20.399999999999999</v>
      </c>
      <c r="BB38" s="207" t="s">
        <v>17</v>
      </c>
      <c r="BC38" s="205"/>
      <c r="BF38" s="138">
        <v>2939006.07</v>
      </c>
      <c r="BG38" s="138">
        <v>1657797.84</v>
      </c>
      <c r="BH38" s="138"/>
      <c r="BI38" s="138"/>
      <c r="BJ38" s="138"/>
      <c r="BK38" s="138"/>
      <c r="BL38" s="138"/>
      <c r="BM38" s="138"/>
      <c r="BO38" s="206">
        <f t="shared" si="101"/>
        <v>4596803.91</v>
      </c>
      <c r="BP38" s="45"/>
      <c r="BU38" s="44">
        <f t="shared" si="89"/>
        <v>45.968039099999999</v>
      </c>
      <c r="BV38" s="194" t="s">
        <v>17</v>
      </c>
      <c r="BW38" s="137">
        <f t="shared" si="102"/>
        <v>0</v>
      </c>
      <c r="BX38" s="137">
        <f t="shared" si="90"/>
        <v>243.7938</v>
      </c>
      <c r="BY38" s="137">
        <f t="shared" si="91"/>
        <v>0</v>
      </c>
      <c r="BZ38" s="137">
        <f t="shared" si="92"/>
        <v>0</v>
      </c>
      <c r="CA38" s="137">
        <f t="shared" si="93"/>
        <v>0</v>
      </c>
      <c r="CB38" s="137">
        <f t="shared" si="94"/>
        <v>216.1033875</v>
      </c>
      <c r="CC38" s="203">
        <f t="shared" si="95"/>
        <v>225.33352500000004</v>
      </c>
      <c r="CE38" s="135" t="s">
        <v>17</v>
      </c>
      <c r="CF38" s="44">
        <f t="shared" si="103"/>
        <v>6.8</v>
      </c>
      <c r="CG38" s="44">
        <f t="shared" si="104"/>
        <v>0</v>
      </c>
      <c r="CH38" s="44">
        <f t="shared" si="105"/>
        <v>0</v>
      </c>
      <c r="CI38" s="44">
        <f t="shared" si="106"/>
        <v>13.6</v>
      </c>
      <c r="CJ38" s="259">
        <f t="shared" si="107"/>
        <v>20.399999999999999</v>
      </c>
      <c r="CL38" s="44">
        <f t="shared" si="108"/>
        <v>1657797.84</v>
      </c>
      <c r="CM38" s="44">
        <f t="shared" si="109"/>
        <v>0</v>
      </c>
      <c r="CN38" s="44">
        <f t="shared" si="110"/>
        <v>0</v>
      </c>
      <c r="CO38" s="44">
        <f t="shared" si="111"/>
        <v>2939006.07</v>
      </c>
      <c r="CP38" s="261">
        <f t="shared" si="112"/>
        <v>4596803.91</v>
      </c>
      <c r="CR38" s="132">
        <f t="shared" si="113"/>
        <v>243.7938</v>
      </c>
      <c r="CS38" s="132">
        <f t="shared" si="96"/>
        <v>0</v>
      </c>
      <c r="CT38" s="132">
        <f t="shared" si="97"/>
        <v>0</v>
      </c>
      <c r="CU38" s="132">
        <f t="shared" si="98"/>
        <v>216.1033875</v>
      </c>
      <c r="CV38" s="269">
        <f t="shared" si="99"/>
        <v>225.33352500000004</v>
      </c>
    </row>
    <row r="39" spans="2:100">
      <c r="B39" s="194" t="s">
        <v>24</v>
      </c>
      <c r="C39" s="138">
        <f>'Imports 2015-16'!$E$32</f>
        <v>0</v>
      </c>
      <c r="D39" s="138">
        <f>'Imports 2015-16'!$E$48</f>
        <v>0</v>
      </c>
      <c r="E39" s="138">
        <f>'Imports 2015-16'!$E$64</f>
        <v>0</v>
      </c>
      <c r="F39" s="138">
        <f>'Imports 2015-16'!$E$80</f>
        <v>0</v>
      </c>
      <c r="G39" s="138">
        <f>'Imports 2015-16'!$E$96</f>
        <v>0</v>
      </c>
      <c r="H39" s="138">
        <f>'Imports 2015-16'!$E$112</f>
        <v>0</v>
      </c>
      <c r="I39" s="206">
        <f t="shared" si="86"/>
        <v>0</v>
      </c>
      <c r="K39" s="194" t="s">
        <v>24</v>
      </c>
      <c r="L39" s="138">
        <f>'Imports 2015-16'!$T$32</f>
        <v>0</v>
      </c>
      <c r="M39" s="138">
        <f>'Imports 2015-16'!$T$48</f>
        <v>0</v>
      </c>
      <c r="N39" s="138">
        <f>'Imports 2015-16'!$T$64</f>
        <v>0</v>
      </c>
      <c r="O39" s="138">
        <f>'Imports 2015-16'!$T$80</f>
        <v>0</v>
      </c>
      <c r="P39" s="138">
        <f>'Imports 2015-16'!$T$96</f>
        <v>0</v>
      </c>
      <c r="Q39" s="138">
        <f>'Imports 2015-16'!$T$112</f>
        <v>0</v>
      </c>
      <c r="R39" s="198">
        <f t="shared" si="87"/>
        <v>0</v>
      </c>
      <c r="T39" s="194" t="s">
        <v>24</v>
      </c>
      <c r="U39" s="138">
        <f>'Imports 2015-16'!$AI$32</f>
        <v>0</v>
      </c>
      <c r="V39" s="138">
        <f>'Imports 2015-16'!$AI$48</f>
        <v>0</v>
      </c>
      <c r="W39" s="138">
        <f>'Imports 2015-16'!$AI$64</f>
        <v>0</v>
      </c>
      <c r="X39" s="138">
        <f>'Imports 2015-16'!$AI$80</f>
        <v>0</v>
      </c>
      <c r="Y39" s="138">
        <f>'Imports 2015-16'!$AI$96</f>
        <v>0</v>
      </c>
      <c r="Z39" s="138">
        <f>'Imports 2015-16'!$AI$112</f>
        <v>0</v>
      </c>
      <c r="AA39" s="198">
        <f t="shared" si="88"/>
        <v>0</v>
      </c>
      <c r="AB39" s="136"/>
      <c r="AC39" s="194" t="s">
        <v>24</v>
      </c>
      <c r="AD39" s="138">
        <f t="shared" ref="AD39:AD48" si="119">IF(U39&lt;=0,0,U39/C39)</f>
        <v>0</v>
      </c>
      <c r="AE39" s="138">
        <f t="shared" si="114"/>
        <v>0</v>
      </c>
      <c r="AF39" s="138">
        <f t="shared" si="115"/>
        <v>0</v>
      </c>
      <c r="AG39" s="138">
        <f t="shared" si="116"/>
        <v>0</v>
      </c>
      <c r="AH39" s="138">
        <f t="shared" si="117"/>
        <v>0</v>
      </c>
      <c r="AI39" s="198">
        <f t="shared" si="118"/>
        <v>0</v>
      </c>
      <c r="AJ39" s="224"/>
      <c r="AK39" s="225"/>
      <c r="AM39" s="207" t="s">
        <v>24</v>
      </c>
      <c r="AN39" s="205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206">
        <f t="shared" si="100"/>
        <v>0</v>
      </c>
      <c r="BA39" s="45"/>
      <c r="BB39" s="207" t="s">
        <v>24</v>
      </c>
      <c r="BC39" s="205"/>
      <c r="BF39" s="138"/>
      <c r="BG39" s="138"/>
      <c r="BH39" s="138"/>
      <c r="BI39" s="138"/>
      <c r="BJ39" s="138"/>
      <c r="BK39" s="138"/>
      <c r="BL39" s="138"/>
      <c r="BM39" s="138"/>
      <c r="BO39" s="206">
        <f t="shared" si="101"/>
        <v>0</v>
      </c>
      <c r="BP39" s="45"/>
      <c r="BU39" s="44">
        <f t="shared" si="89"/>
        <v>0</v>
      </c>
      <c r="BV39" s="194" t="s">
        <v>24</v>
      </c>
      <c r="BW39" s="137">
        <f t="shared" si="102"/>
        <v>0</v>
      </c>
      <c r="BX39" s="137">
        <f t="shared" si="90"/>
        <v>0</v>
      </c>
      <c r="BY39" s="137">
        <f t="shared" si="91"/>
        <v>0</v>
      </c>
      <c r="BZ39" s="137">
        <f t="shared" si="92"/>
        <v>0</v>
      </c>
      <c r="CA39" s="137">
        <f t="shared" si="93"/>
        <v>0</v>
      </c>
      <c r="CB39" s="137">
        <f t="shared" si="94"/>
        <v>0</v>
      </c>
      <c r="CC39" s="203">
        <f t="shared" si="95"/>
        <v>0</v>
      </c>
      <c r="CE39" s="135" t="s">
        <v>24</v>
      </c>
      <c r="CF39" s="44">
        <f t="shared" si="103"/>
        <v>0</v>
      </c>
      <c r="CG39" s="44">
        <f t="shared" si="104"/>
        <v>0</v>
      </c>
      <c r="CH39" s="44">
        <f t="shared" si="105"/>
        <v>0</v>
      </c>
      <c r="CI39" s="44">
        <f t="shared" si="106"/>
        <v>0</v>
      </c>
      <c r="CJ39" s="259">
        <f t="shared" si="107"/>
        <v>0</v>
      </c>
      <c r="CL39" s="44">
        <f t="shared" si="108"/>
        <v>0</v>
      </c>
      <c r="CM39" s="44">
        <f t="shared" si="109"/>
        <v>0</v>
      </c>
      <c r="CN39" s="44">
        <f t="shared" si="110"/>
        <v>0</v>
      </c>
      <c r="CO39" s="44">
        <f t="shared" si="111"/>
        <v>0</v>
      </c>
      <c r="CP39" s="261">
        <f t="shared" si="112"/>
        <v>0</v>
      </c>
      <c r="CR39" s="132">
        <f t="shared" si="113"/>
        <v>0</v>
      </c>
      <c r="CS39" s="132">
        <f t="shared" si="96"/>
        <v>0</v>
      </c>
      <c r="CT39" s="132">
        <f t="shared" si="97"/>
        <v>0</v>
      </c>
      <c r="CU39" s="132">
        <f t="shared" si="98"/>
        <v>0</v>
      </c>
      <c r="CV39" s="269">
        <f t="shared" si="99"/>
        <v>0</v>
      </c>
    </row>
    <row r="40" spans="2:100">
      <c r="B40" s="194" t="s">
        <v>10</v>
      </c>
      <c r="C40" s="138">
        <f>'Imports 2015-16'!$F$32</f>
        <v>185.74</v>
      </c>
      <c r="D40" s="138">
        <f>'Imports 2015-16'!$F$48</f>
        <v>557.28000000000009</v>
      </c>
      <c r="E40" s="138">
        <f>'Imports 2015-16'!$F$64</f>
        <v>0</v>
      </c>
      <c r="F40" s="138">
        <f>'Imports 2015-16'!$F$80</f>
        <v>0</v>
      </c>
      <c r="G40" s="138">
        <f>'Imports 2015-16'!$F$96</f>
        <v>0</v>
      </c>
      <c r="H40" s="138">
        <f>'Imports 2015-16'!$F$112</f>
        <v>0</v>
      </c>
      <c r="I40" s="206">
        <f t="shared" si="86"/>
        <v>743.0200000000001</v>
      </c>
      <c r="K40" s="194" t="s">
        <v>10</v>
      </c>
      <c r="L40" s="138">
        <f>'Imports 2015-16'!$U$32</f>
        <v>16647883.01</v>
      </c>
      <c r="M40" s="138">
        <f>'Imports 2015-16'!$U$48</f>
        <v>50375980.920000002</v>
      </c>
      <c r="N40" s="138">
        <f>'Imports 2015-16'!$U$64</f>
        <v>0</v>
      </c>
      <c r="O40" s="138">
        <f>'Imports 2015-16'!$U$80</f>
        <v>0</v>
      </c>
      <c r="P40" s="138">
        <f>'Imports 2015-16'!$U$96</f>
        <v>0</v>
      </c>
      <c r="Q40" s="138">
        <f>'Imports 2015-16'!$U$112</f>
        <v>0</v>
      </c>
      <c r="R40" s="198">
        <f t="shared" si="87"/>
        <v>67023863.93</v>
      </c>
      <c r="T40" s="194" t="s">
        <v>10</v>
      </c>
      <c r="U40" s="138">
        <f>'Imports 2015-16'!$AJ$32</f>
        <v>252524.65401574285</v>
      </c>
      <c r="V40" s="138">
        <f>'Imports 2015-16'!$AJ$48</f>
        <v>768603.60836878931</v>
      </c>
      <c r="W40" s="138">
        <f>'Imports 2015-16'!$AJ$64</f>
        <v>0</v>
      </c>
      <c r="X40" s="138">
        <f>'Imports 2015-16'!$AJ$80</f>
        <v>0</v>
      </c>
      <c r="Y40" s="138">
        <f>'Imports 2015-16'!$AJ$96</f>
        <v>0</v>
      </c>
      <c r="Z40" s="138">
        <f>'Imports 2015-16'!$AJ$112</f>
        <v>0</v>
      </c>
      <c r="AA40" s="198">
        <f t="shared" si="88"/>
        <v>1021128.2623845321</v>
      </c>
      <c r="AB40" s="223"/>
      <c r="AC40" s="194" t="s">
        <v>10</v>
      </c>
      <c r="AD40" s="138">
        <f t="shared" si="119"/>
        <v>1359.5598902538109</v>
      </c>
      <c r="AE40" s="138">
        <f t="shared" si="114"/>
        <v>1379.2054413737962</v>
      </c>
      <c r="AF40" s="138">
        <f t="shared" si="115"/>
        <v>0</v>
      </c>
      <c r="AG40" s="138">
        <f t="shared" si="116"/>
        <v>0</v>
      </c>
      <c r="AH40" s="138">
        <f t="shared" si="117"/>
        <v>0</v>
      </c>
      <c r="AI40" s="198">
        <f t="shared" si="118"/>
        <v>1374.2944501958655</v>
      </c>
      <c r="AJ40" s="223"/>
      <c r="AK40" s="204"/>
      <c r="AM40" s="207" t="s">
        <v>10</v>
      </c>
      <c r="AN40" s="205"/>
      <c r="AO40" s="138"/>
      <c r="AP40" s="138"/>
      <c r="AQ40" s="138">
        <v>0.05</v>
      </c>
      <c r="AR40" s="138">
        <v>743.02000000000021</v>
      </c>
      <c r="AS40" s="138"/>
      <c r="AT40" s="138"/>
      <c r="AU40" s="138"/>
      <c r="AV40" s="138"/>
      <c r="AW40" s="138"/>
      <c r="AX40" s="138"/>
      <c r="AY40" s="138"/>
      <c r="AZ40" s="206">
        <f t="shared" si="100"/>
        <v>743.07000000000016</v>
      </c>
      <c r="BB40" s="207" t="s">
        <v>10</v>
      </c>
      <c r="BC40" s="205"/>
      <c r="BF40" s="138">
        <v>12122.02</v>
      </c>
      <c r="BG40" s="138">
        <f>SUM(BG28:BG39)</f>
        <v>6954533372.3000031</v>
      </c>
      <c r="BH40" s="138"/>
      <c r="BI40" s="138"/>
      <c r="BJ40" s="138"/>
      <c r="BK40" s="138"/>
      <c r="BL40" s="138"/>
      <c r="BM40" s="138"/>
      <c r="BO40" s="206">
        <f t="shared" si="101"/>
        <v>6954545494.3200035</v>
      </c>
      <c r="BP40" s="45"/>
      <c r="BU40" s="44">
        <f t="shared" si="89"/>
        <v>670.23863930000005</v>
      </c>
      <c r="BV40" s="194" t="s">
        <v>10</v>
      </c>
      <c r="BW40" s="137">
        <f t="shared" si="102"/>
        <v>89.63003666415419</v>
      </c>
      <c r="BX40" s="137">
        <f t="shared" si="90"/>
        <v>90.396175925925917</v>
      </c>
      <c r="BY40" s="137">
        <f t="shared" si="91"/>
        <v>0</v>
      </c>
      <c r="BZ40" s="137">
        <f t="shared" si="92"/>
        <v>0</v>
      </c>
      <c r="CA40" s="137">
        <f t="shared" si="93"/>
        <v>0</v>
      </c>
      <c r="CB40" s="137">
        <f t="shared" si="94"/>
        <v>0</v>
      </c>
      <c r="CC40" s="203">
        <f t="shared" si="95"/>
        <v>90.204656577211907</v>
      </c>
      <c r="CE40" s="135" t="s">
        <v>10</v>
      </c>
      <c r="CF40" s="44">
        <f t="shared" si="103"/>
        <v>557.28000000000009</v>
      </c>
      <c r="CG40" s="44">
        <f t="shared" si="104"/>
        <v>185.74</v>
      </c>
      <c r="CH40" s="44">
        <f t="shared" si="105"/>
        <v>0</v>
      </c>
      <c r="CI40" s="44">
        <f t="shared" si="106"/>
        <v>0</v>
      </c>
      <c r="CJ40" s="259">
        <f t="shared" si="107"/>
        <v>743.0200000000001</v>
      </c>
      <c r="CL40" s="44">
        <f t="shared" si="108"/>
        <v>50375980.920000002</v>
      </c>
      <c r="CM40" s="44">
        <f t="shared" si="109"/>
        <v>16647883.01</v>
      </c>
      <c r="CN40" s="44">
        <f t="shared" si="110"/>
        <v>0</v>
      </c>
      <c r="CO40" s="44">
        <f t="shared" si="111"/>
        <v>0</v>
      </c>
      <c r="CP40" s="261">
        <f t="shared" si="112"/>
        <v>67023863.93</v>
      </c>
      <c r="CR40" s="132">
        <f t="shared" si="113"/>
        <v>90.396175925925917</v>
      </c>
      <c r="CS40" s="132">
        <f t="shared" si="96"/>
        <v>89.63003666415419</v>
      </c>
      <c r="CT40" s="132">
        <f t="shared" si="97"/>
        <v>0</v>
      </c>
      <c r="CU40" s="132">
        <f t="shared" si="98"/>
        <v>0</v>
      </c>
      <c r="CV40" s="269">
        <f t="shared" si="99"/>
        <v>90.204656577211907</v>
      </c>
    </row>
    <row r="41" spans="2:100">
      <c r="B41" s="194" t="s">
        <v>11</v>
      </c>
      <c r="C41" s="138">
        <f>'Imports 2015-16'!$G$32</f>
        <v>16163.770000000002</v>
      </c>
      <c r="D41" s="138">
        <f>'Imports 2015-16'!$G$48</f>
        <v>10655.46</v>
      </c>
      <c r="E41" s="138">
        <f>'Imports 2015-16'!$G$64</f>
        <v>1978.97</v>
      </c>
      <c r="F41" s="138">
        <f>'Imports 2015-16'!$G$80</f>
        <v>0</v>
      </c>
      <c r="G41" s="138">
        <f>'Imports 2015-16'!$G$96</f>
        <v>2436.3719999999998</v>
      </c>
      <c r="H41" s="138">
        <f>'Imports 2015-16'!$G$112</f>
        <v>20.501999999999999</v>
      </c>
      <c r="I41" s="206">
        <f t="shared" si="86"/>
        <v>31255.074000000004</v>
      </c>
      <c r="J41" s="44"/>
      <c r="K41" s="194" t="s">
        <v>11</v>
      </c>
      <c r="L41" s="138">
        <f>'Imports 2015-16'!$V$32</f>
        <v>1350782375.6800003</v>
      </c>
      <c r="M41" s="138">
        <f>'Imports 2015-16'!$V$48</f>
        <v>881270679.92000008</v>
      </c>
      <c r="N41" s="138">
        <f>'Imports 2015-16'!$V$64</f>
        <v>161775056.44</v>
      </c>
      <c r="O41" s="138">
        <f>'Imports 2015-16'!$V$80</f>
        <v>0</v>
      </c>
      <c r="P41" s="138">
        <f>'Imports 2015-16'!$V$96</f>
        <v>210904424.93000001</v>
      </c>
      <c r="Q41" s="138">
        <f>'Imports 2015-16'!$V$112</f>
        <v>1307963.1200000001</v>
      </c>
      <c r="R41" s="198">
        <f t="shared" si="87"/>
        <v>2606040500.0900002</v>
      </c>
      <c r="T41" s="194" t="s">
        <v>11</v>
      </c>
      <c r="U41" s="138">
        <f>'Imports 2015-16'!$AK$32</f>
        <v>20788258.301268633</v>
      </c>
      <c r="V41" s="138">
        <f>'Imports 2015-16'!$AK$48</f>
        <v>13493851.703286922</v>
      </c>
      <c r="W41" s="138">
        <f>'Imports 2015-16'!$AK$64</f>
        <v>2487793.3198216115</v>
      </c>
      <c r="X41" s="138">
        <f>'Imports 2015-16'!$AK$80</f>
        <v>0</v>
      </c>
      <c r="Y41" s="138">
        <f>'Imports 2015-16'!$AK$96</f>
        <v>3241957.0535104107</v>
      </c>
      <c r="Z41" s="138">
        <f>'Imports 2015-16'!$AK$112</f>
        <v>19892.975209125478</v>
      </c>
      <c r="AA41" s="198">
        <f t="shared" si="88"/>
        <v>40031753.353096701</v>
      </c>
      <c r="AB41" s="223"/>
      <c r="AC41" s="194" t="s">
        <v>11</v>
      </c>
      <c r="AD41" s="138">
        <f t="shared" si="119"/>
        <v>1286.102085173733</v>
      </c>
      <c r="AE41" s="138">
        <f t="shared" si="114"/>
        <v>1266.379086711125</v>
      </c>
      <c r="AF41" s="138">
        <f t="shared" si="115"/>
        <v>1257.1152265176388</v>
      </c>
      <c r="AG41" s="138">
        <f t="shared" si="116"/>
        <v>1330.6494465994565</v>
      </c>
      <c r="AH41" s="138">
        <f t="shared" si="117"/>
        <v>970.29437172595249</v>
      </c>
      <c r="AI41" s="198">
        <f t="shared" si="118"/>
        <v>1280.8081450422001</v>
      </c>
      <c r="AJ41" s="223"/>
      <c r="AK41" s="204"/>
      <c r="AM41" s="207" t="s">
        <v>11</v>
      </c>
      <c r="AN41" s="205">
        <v>196.95000000000002</v>
      </c>
      <c r="AO41" s="138"/>
      <c r="AP41" s="138"/>
      <c r="AQ41" s="138">
        <v>78.03</v>
      </c>
      <c r="AR41" s="138">
        <f>27860.792+0.000199999994947575</f>
        <v>27860.792199999996</v>
      </c>
      <c r="AS41" s="138"/>
      <c r="AT41" s="138">
        <v>19.41</v>
      </c>
      <c r="AU41" s="138">
        <v>1658.412</v>
      </c>
      <c r="AV41" s="138">
        <v>102.98</v>
      </c>
      <c r="AW41" s="138">
        <v>320.08999999999997</v>
      </c>
      <c r="AX41" s="138">
        <v>1018.4100000000001</v>
      </c>
      <c r="AY41" s="138"/>
      <c r="AZ41" s="206">
        <f t="shared" si="100"/>
        <v>31255.074199999995</v>
      </c>
      <c r="BA41" s="226"/>
      <c r="BB41" s="207" t="s">
        <v>11</v>
      </c>
      <c r="BC41" s="205">
        <v>17312747.880000003</v>
      </c>
      <c r="BF41" s="138">
        <v>6232607</v>
      </c>
      <c r="BG41" s="138">
        <f>2317819884.96+715.310002803802</f>
        <v>2317820600.2700028</v>
      </c>
      <c r="BH41" s="138"/>
      <c r="BI41" s="138">
        <v>1619813.27</v>
      </c>
      <c r="BJ41" s="138">
        <v>143707018.37</v>
      </c>
      <c r="BK41" s="138">
        <v>7993945.8600000003</v>
      </c>
      <c r="BL41" s="138">
        <v>24307995.970000003</v>
      </c>
      <c r="BM41" s="138">
        <v>87046486.780000001</v>
      </c>
      <c r="BO41" s="206">
        <f t="shared" si="101"/>
        <v>2606041215.400003</v>
      </c>
      <c r="BP41" s="45"/>
      <c r="BU41" s="44">
        <f t="shared" si="89"/>
        <v>26060.405000900002</v>
      </c>
      <c r="BV41" s="194" t="s">
        <v>11</v>
      </c>
      <c r="BW41" s="137">
        <f t="shared" si="102"/>
        <v>83.56852242267739</v>
      </c>
      <c r="BX41" s="137">
        <f t="shared" si="90"/>
        <v>82.706019253978724</v>
      </c>
      <c r="BY41" s="137">
        <f t="shared" si="91"/>
        <v>81.747098965623536</v>
      </c>
      <c r="BZ41" s="137">
        <f t="shared" si="92"/>
        <v>0</v>
      </c>
      <c r="CA41" s="137">
        <f t="shared" si="93"/>
        <v>86.564951875165207</v>
      </c>
      <c r="CB41" s="137">
        <f t="shared" si="94"/>
        <v>63.796854940981376</v>
      </c>
      <c r="CC41" s="203">
        <f t="shared" si="95"/>
        <v>83.379757798365787</v>
      </c>
      <c r="CE41" s="135" t="s">
        <v>11</v>
      </c>
      <c r="CF41" s="44">
        <f t="shared" si="103"/>
        <v>10655.46</v>
      </c>
      <c r="CG41" s="44">
        <f t="shared" si="104"/>
        <v>16163.770000000002</v>
      </c>
      <c r="CH41" s="44">
        <f t="shared" si="105"/>
        <v>1978.97</v>
      </c>
      <c r="CI41" s="44">
        <f t="shared" si="106"/>
        <v>2456.8739999999998</v>
      </c>
      <c r="CJ41" s="259">
        <f t="shared" si="107"/>
        <v>31255.074000000004</v>
      </c>
      <c r="CL41" s="44">
        <f t="shared" si="108"/>
        <v>881270679.92000008</v>
      </c>
      <c r="CM41" s="44">
        <f t="shared" si="109"/>
        <v>1350782375.6800003</v>
      </c>
      <c r="CN41" s="44">
        <f t="shared" si="110"/>
        <v>161775056.44</v>
      </c>
      <c r="CO41" s="44">
        <f t="shared" si="111"/>
        <v>212212388.05000001</v>
      </c>
      <c r="CP41" s="261">
        <f t="shared" si="112"/>
        <v>2606040500.0900006</v>
      </c>
      <c r="CR41" s="132">
        <f t="shared" si="113"/>
        <v>82.706019253978724</v>
      </c>
      <c r="CS41" s="132">
        <f t="shared" si="96"/>
        <v>83.56852242267739</v>
      </c>
      <c r="CT41" s="132">
        <f t="shared" si="97"/>
        <v>81.747098965623536</v>
      </c>
      <c r="CU41" s="132">
        <f t="shared" si="98"/>
        <v>86.374957791893294</v>
      </c>
      <c r="CV41" s="269">
        <f t="shared" si="99"/>
        <v>83.379757798365802</v>
      </c>
    </row>
    <row r="42" spans="2:100">
      <c r="B42" s="194" t="s">
        <v>12</v>
      </c>
      <c r="C42" s="138">
        <f>'Imports 2015-16'!$H$32</f>
        <v>7362.6200000000008</v>
      </c>
      <c r="D42" s="138">
        <f>'Imports 2015-16'!$H$48</f>
        <v>0</v>
      </c>
      <c r="E42" s="138">
        <f>'Imports 2015-16'!$H$64</f>
        <v>4507.42</v>
      </c>
      <c r="F42" s="138">
        <f>'Imports 2015-16'!$H$80</f>
        <v>0</v>
      </c>
      <c r="G42" s="138">
        <f>'Imports 2015-16'!$H$96</f>
        <v>0</v>
      </c>
      <c r="H42" s="138">
        <f>'Imports 2015-16'!$H$112</f>
        <v>0</v>
      </c>
      <c r="I42" s="206">
        <f t="shared" si="86"/>
        <v>11870.04</v>
      </c>
      <c r="J42" s="44"/>
      <c r="K42" s="194" t="s">
        <v>12</v>
      </c>
      <c r="L42" s="138">
        <f>'Imports 2015-16'!$W$32</f>
        <v>679266458.36000013</v>
      </c>
      <c r="M42" s="138">
        <f>'Imports 2015-16'!$W$48</f>
        <v>0</v>
      </c>
      <c r="N42" s="138">
        <f>'Imports 2015-16'!$W$64</f>
        <v>375814854.58000004</v>
      </c>
      <c r="O42" s="138">
        <f>'Imports 2015-16'!$W$80</f>
        <v>0</v>
      </c>
      <c r="P42" s="138">
        <f>'Imports 2015-16'!$W$96</f>
        <v>0</v>
      </c>
      <c r="Q42" s="138">
        <f>'Imports 2015-16'!$W$112</f>
        <v>0</v>
      </c>
      <c r="R42" s="198">
        <f t="shared" si="87"/>
        <v>1055081312.9400002</v>
      </c>
      <c r="T42" s="194" t="s">
        <v>12</v>
      </c>
      <c r="U42" s="138">
        <f>'Imports 2015-16'!$AL$32</f>
        <v>10297325.860750586</v>
      </c>
      <c r="V42" s="138">
        <f>'Imports 2015-16'!$AL$48</f>
        <v>0</v>
      </c>
      <c r="W42" s="138">
        <f>'Imports 2015-16'!$AL$64</f>
        <v>5716080.763984425</v>
      </c>
      <c r="X42" s="138">
        <f>'Imports 2015-16'!$AL$80</f>
        <v>0</v>
      </c>
      <c r="Y42" s="138">
        <f>'Imports 2015-16'!$AL$96</f>
        <v>0</v>
      </c>
      <c r="Z42" s="138">
        <f>'Imports 2015-16'!$AL$112</f>
        <v>0</v>
      </c>
      <c r="AA42" s="198">
        <f t="shared" si="88"/>
        <v>16013406.624735011</v>
      </c>
      <c r="AB42" s="223"/>
      <c r="AC42" s="194" t="s">
        <v>12</v>
      </c>
      <c r="AD42" s="138">
        <f t="shared" si="119"/>
        <v>1398.5953180729937</v>
      </c>
      <c r="AE42" s="138">
        <f t="shared" si="114"/>
        <v>0</v>
      </c>
      <c r="AF42" s="138">
        <f t="shared" si="115"/>
        <v>1268.1491327598549</v>
      </c>
      <c r="AG42" s="138">
        <f t="shared" si="116"/>
        <v>0</v>
      </c>
      <c r="AH42" s="138">
        <f t="shared" si="117"/>
        <v>0</v>
      </c>
      <c r="AI42" s="198">
        <f t="shared" si="118"/>
        <v>1349.0608814068873</v>
      </c>
      <c r="AJ42" s="223"/>
      <c r="AK42" s="204"/>
      <c r="AM42" s="207" t="s">
        <v>12</v>
      </c>
      <c r="AN42" s="205"/>
      <c r="AO42" s="138"/>
      <c r="AP42" s="138"/>
      <c r="AQ42" s="138"/>
      <c r="AR42" s="138">
        <v>11870.039999999997</v>
      </c>
      <c r="AS42" s="138"/>
      <c r="AT42" s="138"/>
      <c r="AU42" s="138"/>
      <c r="AV42" s="138"/>
      <c r="AW42" s="138"/>
      <c r="AX42" s="138"/>
      <c r="AY42" s="138"/>
      <c r="AZ42" s="206">
        <f t="shared" si="100"/>
        <v>11870.039999999997</v>
      </c>
      <c r="BB42" s="207" t="s">
        <v>12</v>
      </c>
      <c r="BC42" s="205"/>
      <c r="BF42" s="138"/>
      <c r="BG42" s="138">
        <v>1055081312.9400002</v>
      </c>
      <c r="BH42" s="138"/>
      <c r="BI42" s="138"/>
      <c r="BJ42" s="138"/>
      <c r="BK42" s="138"/>
      <c r="BL42" s="138"/>
      <c r="BM42" s="138"/>
      <c r="BO42" s="206">
        <f t="shared" si="101"/>
        <v>1055081312.9400002</v>
      </c>
      <c r="BP42" s="45"/>
      <c r="BU42" s="44">
        <f t="shared" si="89"/>
        <v>10550.813129400001</v>
      </c>
      <c r="BV42" s="194" t="s">
        <v>12</v>
      </c>
      <c r="BW42" s="137">
        <f t="shared" si="102"/>
        <v>92.258796238295616</v>
      </c>
      <c r="BX42" s="137">
        <f t="shared" si="90"/>
        <v>0</v>
      </c>
      <c r="BY42" s="137">
        <f t="shared" si="91"/>
        <v>83.376932830754626</v>
      </c>
      <c r="BZ42" s="137">
        <f t="shared" si="92"/>
        <v>0</v>
      </c>
      <c r="CA42" s="137">
        <f t="shared" si="93"/>
        <v>0</v>
      </c>
      <c r="CB42" s="137">
        <f t="shared" si="94"/>
        <v>0</v>
      </c>
      <c r="CC42" s="203">
        <f t="shared" si="95"/>
        <v>88.886078980357283</v>
      </c>
      <c r="CE42" s="135" t="s">
        <v>12</v>
      </c>
      <c r="CF42" s="44">
        <f t="shared" si="103"/>
        <v>0</v>
      </c>
      <c r="CG42" s="44">
        <f t="shared" si="104"/>
        <v>7362.6200000000008</v>
      </c>
      <c r="CH42" s="44">
        <f t="shared" si="105"/>
        <v>4507.42</v>
      </c>
      <c r="CI42" s="44">
        <f t="shared" si="106"/>
        <v>0</v>
      </c>
      <c r="CJ42" s="259">
        <f t="shared" si="107"/>
        <v>11870.04</v>
      </c>
      <c r="CL42" s="44">
        <f t="shared" si="108"/>
        <v>0</v>
      </c>
      <c r="CM42" s="44">
        <f t="shared" si="109"/>
        <v>679266458.36000013</v>
      </c>
      <c r="CN42" s="44">
        <f t="shared" si="110"/>
        <v>375814854.58000004</v>
      </c>
      <c r="CO42" s="44">
        <f t="shared" si="111"/>
        <v>0</v>
      </c>
      <c r="CP42" s="261">
        <f t="shared" si="112"/>
        <v>1055081312.9400002</v>
      </c>
      <c r="CR42" s="132">
        <f t="shared" si="113"/>
        <v>0</v>
      </c>
      <c r="CS42" s="132">
        <f t="shared" si="96"/>
        <v>92.258796238295616</v>
      </c>
      <c r="CT42" s="132">
        <f t="shared" si="97"/>
        <v>83.376932830754626</v>
      </c>
      <c r="CU42" s="132">
        <f t="shared" si="98"/>
        <v>0</v>
      </c>
      <c r="CV42" s="269">
        <f t="shared" si="99"/>
        <v>88.886078980357283</v>
      </c>
    </row>
    <row r="43" spans="2:100">
      <c r="B43" s="194" t="s">
        <v>13</v>
      </c>
      <c r="C43" s="138">
        <f>'Imports 2015-16'!$I$32</f>
        <v>1092.3499999999999</v>
      </c>
      <c r="D43" s="138">
        <f>'Imports 2015-16'!$I$48</f>
        <v>39.369999999999997</v>
      </c>
      <c r="E43" s="138">
        <f>'Imports 2015-16'!$I$64</f>
        <v>732.89</v>
      </c>
      <c r="F43" s="138">
        <f>'Imports 2015-16'!$I$80</f>
        <v>0</v>
      </c>
      <c r="G43" s="138">
        <f>'Imports 2015-16'!$I$96</f>
        <v>0</v>
      </c>
      <c r="H43" s="138">
        <f>'Imports 2015-16'!$I$112</f>
        <v>0</v>
      </c>
      <c r="I43" s="206">
        <f t="shared" si="86"/>
        <v>1864.6099999999997</v>
      </c>
      <c r="J43" s="44"/>
      <c r="K43" s="194" t="s">
        <v>13</v>
      </c>
      <c r="L43" s="138">
        <f>'Imports 2015-16'!$X$32</f>
        <v>97797999.439999998</v>
      </c>
      <c r="M43" s="138">
        <f>'Imports 2015-16'!$X$48</f>
        <v>2890051.7</v>
      </c>
      <c r="N43" s="138">
        <f>'Imports 2015-16'!$X$64</f>
        <v>63802849.030000001</v>
      </c>
      <c r="O43" s="138">
        <f>'Imports 2015-16'!$X$80</f>
        <v>0</v>
      </c>
      <c r="P43" s="138">
        <f>'Imports 2015-16'!$X$96</f>
        <v>0</v>
      </c>
      <c r="Q43" s="138">
        <f>'Imports 2015-16'!$X$112</f>
        <v>0</v>
      </c>
      <c r="R43" s="198">
        <f t="shared" si="87"/>
        <v>164490900.17000002</v>
      </c>
      <c r="T43" s="194" t="s">
        <v>13</v>
      </c>
      <c r="U43" s="138">
        <f>'Imports 2015-16'!$AM$32</f>
        <v>1477286.7862969334</v>
      </c>
      <c r="V43" s="138">
        <f>'Imports 2015-16'!$AM$48</f>
        <v>42547.158876945883</v>
      </c>
      <c r="W43" s="138">
        <f>'Imports 2015-16'!$AM$64</f>
        <v>981079.18108054937</v>
      </c>
      <c r="X43" s="138">
        <f>'Imports 2015-16'!$AM$80</f>
        <v>0</v>
      </c>
      <c r="Y43" s="138">
        <f>'Imports 2015-16'!$AM$96</f>
        <v>0</v>
      </c>
      <c r="Z43" s="138">
        <f>'Imports 2015-16'!$AM$112</f>
        <v>0</v>
      </c>
      <c r="AA43" s="198">
        <f t="shared" si="88"/>
        <v>2500913.1262544286</v>
      </c>
      <c r="AB43" s="223"/>
      <c r="AC43" s="194" t="s">
        <v>13</v>
      </c>
      <c r="AD43" s="138">
        <f t="shared" si="119"/>
        <v>1352.3932679973759</v>
      </c>
      <c r="AE43" s="138">
        <f t="shared" si="114"/>
        <v>1080.6999968744192</v>
      </c>
      <c r="AF43" s="138">
        <f t="shared" si="115"/>
        <v>1338.6445183868648</v>
      </c>
      <c r="AG43" s="138">
        <f t="shared" si="116"/>
        <v>0</v>
      </c>
      <c r="AH43" s="138">
        <f t="shared" si="117"/>
        <v>0</v>
      </c>
      <c r="AI43" s="198">
        <f t="shared" si="118"/>
        <v>1341.2526620872081</v>
      </c>
      <c r="AJ43" s="223"/>
      <c r="AK43" s="204"/>
      <c r="AM43" s="207" t="s">
        <v>13</v>
      </c>
      <c r="AN43" s="205"/>
      <c r="AO43" s="138"/>
      <c r="AP43" s="138"/>
      <c r="AQ43" s="138"/>
      <c r="AR43" s="138">
        <v>1864.6100000000001</v>
      </c>
      <c r="AS43" s="138"/>
      <c r="AT43" s="138"/>
      <c r="AU43" s="138"/>
      <c r="AV43" s="138"/>
      <c r="AW43" s="138"/>
      <c r="AX43" s="138"/>
      <c r="AY43" s="138"/>
      <c r="AZ43" s="206">
        <f t="shared" si="100"/>
        <v>1864.6100000000001</v>
      </c>
      <c r="BB43" s="207" t="s">
        <v>13</v>
      </c>
      <c r="BC43" s="205"/>
      <c r="BF43" s="138"/>
      <c r="BG43" s="138">
        <v>164490900.17000002</v>
      </c>
      <c r="BH43" s="138"/>
      <c r="BI43" s="138"/>
      <c r="BJ43" s="138"/>
      <c r="BK43" s="138"/>
      <c r="BL43" s="138"/>
      <c r="BM43" s="138"/>
      <c r="BO43" s="206">
        <f t="shared" si="101"/>
        <v>164490900.17000002</v>
      </c>
      <c r="BP43" s="45"/>
      <c r="BU43" s="44">
        <f t="shared" si="89"/>
        <v>1644.9090017000001</v>
      </c>
      <c r="BV43" s="194" t="s">
        <v>13</v>
      </c>
      <c r="BW43" s="137">
        <f t="shared" si="102"/>
        <v>89.529912061152572</v>
      </c>
      <c r="BX43" s="137">
        <f t="shared" si="90"/>
        <v>73.407459994920004</v>
      </c>
      <c r="BY43" s="137">
        <f t="shared" si="91"/>
        <v>87.056514661136049</v>
      </c>
      <c r="BZ43" s="137">
        <f t="shared" si="92"/>
        <v>0</v>
      </c>
      <c r="CA43" s="137">
        <f t="shared" si="93"/>
        <v>0</v>
      </c>
      <c r="CB43" s="137">
        <f t="shared" si="94"/>
        <v>0</v>
      </c>
      <c r="CC43" s="203">
        <f t="shared" si="95"/>
        <v>88.217321675846449</v>
      </c>
      <c r="CE43" s="135" t="s">
        <v>13</v>
      </c>
      <c r="CF43" s="44">
        <f t="shared" si="103"/>
        <v>39.369999999999997</v>
      </c>
      <c r="CG43" s="44">
        <f t="shared" si="104"/>
        <v>1092.3499999999999</v>
      </c>
      <c r="CH43" s="44">
        <f t="shared" si="105"/>
        <v>732.89</v>
      </c>
      <c r="CI43" s="44">
        <f t="shared" si="106"/>
        <v>0</v>
      </c>
      <c r="CJ43" s="259">
        <f t="shared" si="107"/>
        <v>1864.6099999999997</v>
      </c>
      <c r="CL43" s="44">
        <f t="shared" si="108"/>
        <v>2890051.7</v>
      </c>
      <c r="CM43" s="44">
        <f t="shared" si="109"/>
        <v>97797999.439999998</v>
      </c>
      <c r="CN43" s="44">
        <f t="shared" si="110"/>
        <v>63802849.030000001</v>
      </c>
      <c r="CO43" s="44">
        <f t="shared" si="111"/>
        <v>0</v>
      </c>
      <c r="CP43" s="261">
        <f t="shared" si="112"/>
        <v>164490900.17000002</v>
      </c>
      <c r="CR43" s="132">
        <f t="shared" si="113"/>
        <v>73.407459994920004</v>
      </c>
      <c r="CS43" s="132">
        <f t="shared" si="96"/>
        <v>89.529912061152572</v>
      </c>
      <c r="CT43" s="132">
        <f t="shared" si="97"/>
        <v>87.056514661136049</v>
      </c>
      <c r="CU43" s="132">
        <f t="shared" si="98"/>
        <v>0</v>
      </c>
      <c r="CV43" s="269">
        <f t="shared" si="99"/>
        <v>88.217321675846449</v>
      </c>
    </row>
    <row r="44" spans="2:100">
      <c r="B44" s="194" t="s">
        <v>14</v>
      </c>
      <c r="C44" s="138">
        <f>'Imports 2015-16'!$J$32</f>
        <v>0</v>
      </c>
      <c r="D44" s="138">
        <f>'Imports 2015-16'!$J$48</f>
        <v>0</v>
      </c>
      <c r="E44" s="138">
        <f>'Imports 2015-16'!$J$64</f>
        <v>0</v>
      </c>
      <c r="F44" s="138">
        <f>'Imports 2015-16'!$J$80</f>
        <v>0</v>
      </c>
      <c r="G44" s="138">
        <f>'Imports 2015-16'!$J$96</f>
        <v>0</v>
      </c>
      <c r="H44" s="138">
        <f>'Imports 2015-16'!$J$112</f>
        <v>1.6</v>
      </c>
      <c r="I44" s="206">
        <f t="shared" si="86"/>
        <v>1.6</v>
      </c>
      <c r="J44" s="44"/>
      <c r="K44" s="194" t="s">
        <v>14</v>
      </c>
      <c r="L44" s="138">
        <f>'Imports 2015-16'!$Y$32</f>
        <v>0</v>
      </c>
      <c r="M44" s="138">
        <f>'Imports 2015-16'!$Y$48</f>
        <v>0</v>
      </c>
      <c r="N44" s="138">
        <f>'Imports 2015-16'!$Y$64</f>
        <v>0</v>
      </c>
      <c r="O44" s="138">
        <f>'Imports 2015-16'!$Y$80</f>
        <v>0</v>
      </c>
      <c r="P44" s="138">
        <f>'Imports 2015-16'!$Y$96</f>
        <v>0</v>
      </c>
      <c r="Q44" s="138">
        <f>'Imports 2015-16'!$Y$112</f>
        <v>311594.09000000003</v>
      </c>
      <c r="R44" s="198">
        <f t="shared" si="87"/>
        <v>311594.09000000003</v>
      </c>
      <c r="T44" s="194" t="s">
        <v>14</v>
      </c>
      <c r="U44" s="138">
        <f>'Imports 2015-16'!$AN$32</f>
        <v>0</v>
      </c>
      <c r="V44" s="138">
        <f>'Imports 2015-16'!$AN$48</f>
        <v>0</v>
      </c>
      <c r="W44" s="138">
        <f>'Imports 2015-16'!$AN$64</f>
        <v>0</v>
      </c>
      <c r="X44" s="138">
        <f>'Imports 2015-16'!$AN$80</f>
        <v>0</v>
      </c>
      <c r="Y44" s="138">
        <f>'Imports 2015-16'!$AN$96</f>
        <v>0</v>
      </c>
      <c r="Z44" s="138">
        <f>'Imports 2015-16'!$AN$112</f>
        <v>4555.4691520467841</v>
      </c>
      <c r="AA44" s="198">
        <f t="shared" si="88"/>
        <v>4555.4691520467841</v>
      </c>
      <c r="AB44" s="223"/>
      <c r="AC44" s="194" t="s">
        <v>14</v>
      </c>
      <c r="AD44" s="138">
        <f t="shared" si="119"/>
        <v>0</v>
      </c>
      <c r="AE44" s="138">
        <f t="shared" si="114"/>
        <v>0</v>
      </c>
      <c r="AF44" s="138">
        <f t="shared" si="115"/>
        <v>0</v>
      </c>
      <c r="AG44" s="138">
        <f t="shared" si="116"/>
        <v>0</v>
      </c>
      <c r="AH44" s="138">
        <f t="shared" si="117"/>
        <v>2847.1682200292398</v>
      </c>
      <c r="AI44" s="198">
        <f t="shared" si="118"/>
        <v>2847.1682200292398</v>
      </c>
      <c r="AJ44" s="223"/>
      <c r="AK44" s="204"/>
      <c r="AM44" s="207" t="s">
        <v>14</v>
      </c>
      <c r="AN44" s="205"/>
      <c r="AO44" s="138"/>
      <c r="AP44" s="138"/>
      <c r="AQ44" s="138"/>
      <c r="AR44" s="138">
        <v>1.6</v>
      </c>
      <c r="AS44" s="138"/>
      <c r="AT44" s="138"/>
      <c r="AU44" s="138"/>
      <c r="AV44" s="138"/>
      <c r="AW44" s="138"/>
      <c r="AX44" s="138"/>
      <c r="AY44" s="138"/>
      <c r="AZ44" s="206">
        <f t="shared" si="100"/>
        <v>1.6</v>
      </c>
      <c r="BB44" s="207" t="s">
        <v>14</v>
      </c>
      <c r="BC44" s="205"/>
      <c r="BF44" s="138"/>
      <c r="BG44" s="138">
        <v>311594.09000000003</v>
      </c>
      <c r="BH44" s="138"/>
      <c r="BI44" s="138"/>
      <c r="BJ44" s="138"/>
      <c r="BK44" s="138"/>
      <c r="BL44" s="138"/>
      <c r="BM44" s="138"/>
      <c r="BO44" s="206">
        <f t="shared" si="101"/>
        <v>311594.09000000003</v>
      </c>
      <c r="BP44" s="45"/>
      <c r="BU44" s="44">
        <f t="shared" si="89"/>
        <v>3.1159409000000005</v>
      </c>
      <c r="BV44" s="194" t="s">
        <v>14</v>
      </c>
      <c r="BW44" s="137">
        <f t="shared" si="102"/>
        <v>0</v>
      </c>
      <c r="BX44" s="137">
        <f t="shared" si="90"/>
        <v>0</v>
      </c>
      <c r="BY44" s="137">
        <f t="shared" si="91"/>
        <v>0</v>
      </c>
      <c r="BZ44" s="137">
        <f t="shared" si="92"/>
        <v>0</v>
      </c>
      <c r="CA44" s="137">
        <f t="shared" si="93"/>
        <v>0</v>
      </c>
      <c r="CB44" s="137">
        <f t="shared" si="94"/>
        <v>194.74630625</v>
      </c>
      <c r="CC44" s="203">
        <f t="shared" si="95"/>
        <v>194.74630625</v>
      </c>
      <c r="CE44" s="135" t="s">
        <v>14</v>
      </c>
      <c r="CF44" s="44">
        <f t="shared" si="103"/>
        <v>0</v>
      </c>
      <c r="CG44" s="44">
        <f t="shared" si="104"/>
        <v>0</v>
      </c>
      <c r="CH44" s="44">
        <f t="shared" si="105"/>
        <v>0</v>
      </c>
      <c r="CI44" s="44">
        <f t="shared" si="106"/>
        <v>1.6</v>
      </c>
      <c r="CJ44" s="259">
        <f t="shared" si="107"/>
        <v>1.6</v>
      </c>
      <c r="CL44" s="44">
        <f t="shared" si="108"/>
        <v>0</v>
      </c>
      <c r="CM44" s="44">
        <f t="shared" si="109"/>
        <v>0</v>
      </c>
      <c r="CN44" s="44">
        <f t="shared" si="110"/>
        <v>0</v>
      </c>
      <c r="CO44" s="44">
        <f t="shared" si="111"/>
        <v>311594.09000000003</v>
      </c>
      <c r="CP44" s="261">
        <f t="shared" si="112"/>
        <v>311594.09000000003</v>
      </c>
      <c r="CR44" s="132">
        <f t="shared" si="113"/>
        <v>0</v>
      </c>
      <c r="CS44" s="132">
        <f t="shared" si="96"/>
        <v>0</v>
      </c>
      <c r="CT44" s="132">
        <f t="shared" si="97"/>
        <v>0</v>
      </c>
      <c r="CU44" s="132">
        <f t="shared" si="98"/>
        <v>194.74630625</v>
      </c>
      <c r="CV44" s="269">
        <f t="shared" si="99"/>
        <v>194.74630625</v>
      </c>
    </row>
    <row r="45" spans="2:100">
      <c r="B45" s="194" t="s">
        <v>18</v>
      </c>
      <c r="C45" s="138">
        <f>'Imports 2015-16'!$K$32</f>
        <v>63.79999999999999</v>
      </c>
      <c r="D45" s="138">
        <f>'Imports 2015-16'!$K$48</f>
        <v>30</v>
      </c>
      <c r="E45" s="138">
        <f>'Imports 2015-16'!$K$64</f>
        <v>0</v>
      </c>
      <c r="F45" s="138">
        <f>'Imports 2015-16'!$K$80</f>
        <v>0</v>
      </c>
      <c r="G45" s="138">
        <f>'Imports 2015-16'!$K$96</f>
        <v>0</v>
      </c>
      <c r="H45" s="138">
        <f>'Imports 2015-16'!$K$112</f>
        <v>0.91649999999999998</v>
      </c>
      <c r="I45" s="206">
        <f t="shared" si="86"/>
        <v>94.716499999999982</v>
      </c>
      <c r="J45" s="44"/>
      <c r="K45" s="194" t="s">
        <v>18</v>
      </c>
      <c r="L45" s="138">
        <f>'Imports 2015-16'!$Z$32</f>
        <v>6271549.7800000003</v>
      </c>
      <c r="M45" s="138">
        <f>'Imports 2015-16'!$Z$48</f>
        <v>3291526.88</v>
      </c>
      <c r="N45" s="138">
        <f>'Imports 2015-16'!$Z$64</f>
        <v>0</v>
      </c>
      <c r="O45" s="138">
        <f>'Imports 2015-16'!$Z$80</f>
        <v>0</v>
      </c>
      <c r="P45" s="138">
        <f>'Imports 2015-16'!$Z$96</f>
        <v>0</v>
      </c>
      <c r="Q45" s="138">
        <f>'Imports 2015-16'!$Z$112</f>
        <v>493425.72</v>
      </c>
      <c r="R45" s="198">
        <f t="shared" si="87"/>
        <v>10056502.380000001</v>
      </c>
      <c r="T45" s="194" t="s">
        <v>18</v>
      </c>
      <c r="U45" s="138">
        <f>'Imports 2015-16'!$AO$32</f>
        <v>96123.830141073806</v>
      </c>
      <c r="V45" s="138">
        <f>'Imports 2015-16'!$AO$48</f>
        <v>49237.50007479432</v>
      </c>
      <c r="W45" s="138">
        <f>'Imports 2015-16'!$AO$64</f>
        <v>0</v>
      </c>
      <c r="X45" s="138">
        <f>'Imports 2015-16'!$AO$80</f>
        <v>0</v>
      </c>
      <c r="Y45" s="138">
        <f>'Imports 2015-16'!$AO$96</f>
        <v>0</v>
      </c>
      <c r="Z45" s="138">
        <f>'Imports 2015-16'!$AO$112</f>
        <v>7208.5569028487944</v>
      </c>
      <c r="AA45" s="198">
        <f t="shared" si="88"/>
        <v>152569.88711871693</v>
      </c>
      <c r="AB45" s="223"/>
      <c r="AC45" s="194" t="s">
        <v>18</v>
      </c>
      <c r="AD45" s="138">
        <f t="shared" si="119"/>
        <v>1506.6431056594643</v>
      </c>
      <c r="AE45" s="138">
        <f t="shared" si="114"/>
        <v>1641.2500024931439</v>
      </c>
      <c r="AF45" s="138">
        <f t="shared" si="115"/>
        <v>0</v>
      </c>
      <c r="AG45" s="138">
        <f t="shared" si="116"/>
        <v>0</v>
      </c>
      <c r="AH45" s="138">
        <f t="shared" si="117"/>
        <v>7865.3103140739713</v>
      </c>
      <c r="AI45" s="198">
        <f t="shared" si="118"/>
        <v>1610.8057953864106</v>
      </c>
      <c r="AJ45" s="223"/>
      <c r="AK45" s="204"/>
      <c r="AM45" s="207" t="s">
        <v>18</v>
      </c>
      <c r="AN45" s="205"/>
      <c r="AO45" s="138"/>
      <c r="AP45" s="138"/>
      <c r="AQ45" s="138"/>
      <c r="AR45" s="138">
        <v>94.945000000000007</v>
      </c>
      <c r="AS45" s="138"/>
      <c r="AT45" s="138"/>
      <c r="AU45" s="138"/>
      <c r="AV45" s="138"/>
      <c r="AW45" s="138"/>
      <c r="AX45" s="138"/>
      <c r="AY45" s="138"/>
      <c r="AZ45" s="206">
        <f t="shared" si="100"/>
        <v>94.945000000000007</v>
      </c>
      <c r="BB45" s="207" t="s">
        <v>18</v>
      </c>
      <c r="BC45" s="205"/>
      <c r="BF45" s="138"/>
      <c r="BG45" s="138">
        <v>10193416.48</v>
      </c>
      <c r="BH45" s="138"/>
      <c r="BI45" s="138"/>
      <c r="BJ45" s="138"/>
      <c r="BK45" s="138"/>
      <c r="BL45" s="138"/>
      <c r="BM45" s="138"/>
      <c r="BO45" s="206">
        <f t="shared" si="101"/>
        <v>10193416.48</v>
      </c>
      <c r="BP45" s="45"/>
      <c r="BU45" s="44">
        <f t="shared" si="89"/>
        <v>100.56502380000001</v>
      </c>
      <c r="BV45" s="194" t="s">
        <v>18</v>
      </c>
      <c r="BW45" s="137">
        <f t="shared" si="102"/>
        <v>98.300153291536077</v>
      </c>
      <c r="BX45" s="137">
        <f t="shared" si="90"/>
        <v>109.71756266666667</v>
      </c>
      <c r="BY45" s="137">
        <f t="shared" si="91"/>
        <v>0</v>
      </c>
      <c r="BZ45" s="137">
        <f t="shared" si="92"/>
        <v>0</v>
      </c>
      <c r="CA45" s="137">
        <f t="shared" si="93"/>
        <v>0</v>
      </c>
      <c r="CB45" s="137">
        <f t="shared" si="94"/>
        <v>538.38049099836337</v>
      </c>
      <c r="CC45" s="203">
        <f t="shared" si="95"/>
        <v>106.17476764872015</v>
      </c>
      <c r="CE45" s="135" t="s">
        <v>18</v>
      </c>
      <c r="CF45" s="44">
        <f t="shared" si="103"/>
        <v>30</v>
      </c>
      <c r="CG45" s="44">
        <f t="shared" si="104"/>
        <v>63.79999999999999</v>
      </c>
      <c r="CH45" s="44">
        <f t="shared" si="105"/>
        <v>0</v>
      </c>
      <c r="CI45" s="44">
        <f t="shared" si="106"/>
        <v>0.91649999999999998</v>
      </c>
      <c r="CJ45" s="259">
        <f t="shared" si="107"/>
        <v>94.716499999999982</v>
      </c>
      <c r="CL45" s="44">
        <f t="shared" si="108"/>
        <v>3291526.88</v>
      </c>
      <c r="CM45" s="44">
        <f t="shared" si="109"/>
        <v>6271549.7800000003</v>
      </c>
      <c r="CN45" s="44">
        <f t="shared" si="110"/>
        <v>0</v>
      </c>
      <c r="CO45" s="44">
        <f t="shared" si="111"/>
        <v>493425.72</v>
      </c>
      <c r="CP45" s="261">
        <f t="shared" si="112"/>
        <v>10056502.380000001</v>
      </c>
      <c r="CR45" s="132">
        <f t="shared" si="113"/>
        <v>109.71756266666667</v>
      </c>
      <c r="CS45" s="132">
        <f t="shared" si="96"/>
        <v>98.300153291536077</v>
      </c>
      <c r="CT45" s="132">
        <f t="shared" si="97"/>
        <v>0</v>
      </c>
      <c r="CU45" s="132">
        <f t="shared" si="98"/>
        <v>538.38049099836337</v>
      </c>
      <c r="CV45" s="269">
        <f t="shared" si="99"/>
        <v>106.17476764872015</v>
      </c>
    </row>
    <row r="46" spans="2:100">
      <c r="B46" s="194" t="s">
        <v>15</v>
      </c>
      <c r="C46" s="138">
        <f>'Imports 2015-16'!$L$32</f>
        <v>94.2</v>
      </c>
      <c r="D46" s="138">
        <f>'Imports 2015-16'!$L$48</f>
        <v>75</v>
      </c>
      <c r="E46" s="138">
        <f>'Imports 2015-16'!$L$64</f>
        <v>0</v>
      </c>
      <c r="F46" s="138">
        <f>'Imports 2015-16'!$L$80</f>
        <v>0</v>
      </c>
      <c r="G46" s="138">
        <f>'Imports 2015-16'!$L$96</f>
        <v>40</v>
      </c>
      <c r="H46" s="138">
        <f>'Imports 2015-16'!$L$112</f>
        <v>12.48</v>
      </c>
      <c r="I46" s="206">
        <f t="shared" si="86"/>
        <v>221.67999999999998</v>
      </c>
      <c r="J46" s="44"/>
      <c r="K46" s="194" t="s">
        <v>15</v>
      </c>
      <c r="L46" s="138">
        <f>'Imports 2015-16'!$AA$32</f>
        <v>8075814.7999999989</v>
      </c>
      <c r="M46" s="138">
        <f>'Imports 2015-16'!$AA$48</f>
        <v>6564851.04</v>
      </c>
      <c r="N46" s="138">
        <f>'Imports 2015-16'!$AA$64</f>
        <v>0</v>
      </c>
      <c r="O46" s="138">
        <f>'Imports 2015-16'!$AA$80</f>
        <v>0</v>
      </c>
      <c r="P46" s="138">
        <f>'Imports 2015-16'!$AA$96</f>
        <v>3051994.57</v>
      </c>
      <c r="Q46" s="138">
        <f>'Imports 2015-16'!$AA$112</f>
        <v>1660702.29</v>
      </c>
      <c r="R46" s="198">
        <f t="shared" si="87"/>
        <v>19353362.699999999</v>
      </c>
      <c r="T46" s="194" t="s">
        <v>15</v>
      </c>
      <c r="U46" s="138">
        <f>'Imports 2015-16'!$AP$32</f>
        <v>120865.41551420273</v>
      </c>
      <c r="V46" s="138">
        <f>'Imports 2015-16'!$AP$48</f>
        <v>97736.091895261983</v>
      </c>
      <c r="W46" s="138">
        <f>'Imports 2015-16'!$AP$64</f>
        <v>0</v>
      </c>
      <c r="X46" s="138">
        <f>'Imports 2015-16'!$AP$80</f>
        <v>0</v>
      </c>
      <c r="Y46" s="138">
        <f>'Imports 2015-16'!$AP$96</f>
        <v>45757.040029985001</v>
      </c>
      <c r="Z46" s="138">
        <f>'Imports 2015-16'!$AP$112</f>
        <v>25699.901516535421</v>
      </c>
      <c r="AA46" s="198">
        <f t="shared" si="88"/>
        <v>290058.44895598514</v>
      </c>
      <c r="AB46" s="223"/>
      <c r="AC46" s="194" t="s">
        <v>15</v>
      </c>
      <c r="AD46" s="138">
        <f t="shared" si="119"/>
        <v>1283.0723515308146</v>
      </c>
      <c r="AE46" s="138">
        <f t="shared" si="114"/>
        <v>1303.1478919368265</v>
      </c>
      <c r="AF46" s="138">
        <f t="shared" si="115"/>
        <v>0</v>
      </c>
      <c r="AG46" s="138">
        <f t="shared" si="116"/>
        <v>1143.926000749625</v>
      </c>
      <c r="AH46" s="138">
        <f t="shared" si="117"/>
        <v>2059.2869804916204</v>
      </c>
      <c r="AI46" s="198">
        <f t="shared" si="118"/>
        <v>1308.4556520930403</v>
      </c>
      <c r="AJ46" s="223"/>
      <c r="AK46" s="204"/>
      <c r="AM46" s="207" t="s">
        <v>15</v>
      </c>
      <c r="AN46" s="205"/>
      <c r="AO46" s="138"/>
      <c r="AP46" s="138"/>
      <c r="AQ46" s="138"/>
      <c r="AR46" s="138">
        <v>296.99999999999989</v>
      </c>
      <c r="AS46" s="138"/>
      <c r="AT46" s="138"/>
      <c r="AU46" s="138"/>
      <c r="AV46" s="138"/>
      <c r="AW46" s="138"/>
      <c r="AX46" s="138">
        <v>8.34</v>
      </c>
      <c r="AY46" s="138"/>
      <c r="AZ46" s="206">
        <f t="shared" si="100"/>
        <v>305.33999999999986</v>
      </c>
      <c r="BB46" s="207" t="s">
        <v>15</v>
      </c>
      <c r="BC46" s="205"/>
      <c r="BF46" s="138"/>
      <c r="BG46" s="138">
        <v>39461647.699999988</v>
      </c>
      <c r="BH46" s="138"/>
      <c r="BI46" s="138"/>
      <c r="BJ46" s="138"/>
      <c r="BK46" s="138"/>
      <c r="BL46" s="138"/>
      <c r="BM46" s="138">
        <v>884005.16000000015</v>
      </c>
      <c r="BO46" s="206">
        <f t="shared" si="101"/>
        <v>40345652.859999985</v>
      </c>
      <c r="BP46" s="45"/>
      <c r="BU46" s="44">
        <f t="shared" si="89"/>
        <v>193.533627</v>
      </c>
      <c r="BV46" s="194" t="s">
        <v>15</v>
      </c>
      <c r="BW46" s="137">
        <f t="shared" si="102"/>
        <v>85.730518046709108</v>
      </c>
      <c r="BX46" s="137">
        <f t="shared" si="90"/>
        <v>87.531347199999999</v>
      </c>
      <c r="BY46" s="137">
        <f t="shared" si="91"/>
        <v>0</v>
      </c>
      <c r="BZ46" s="137">
        <f t="shared" si="92"/>
        <v>0</v>
      </c>
      <c r="CA46" s="137">
        <f t="shared" si="93"/>
        <v>76.299864249999999</v>
      </c>
      <c r="CB46" s="137">
        <f t="shared" si="94"/>
        <v>133.06909375000001</v>
      </c>
      <c r="CC46" s="203">
        <f t="shared" si="95"/>
        <v>87.303151840490798</v>
      </c>
      <c r="CE46" s="135" t="s">
        <v>15</v>
      </c>
      <c r="CF46" s="44">
        <f t="shared" si="103"/>
        <v>75</v>
      </c>
      <c r="CG46" s="44">
        <f t="shared" si="104"/>
        <v>94.2</v>
      </c>
      <c r="CH46" s="44">
        <f t="shared" si="105"/>
        <v>0</v>
      </c>
      <c r="CI46" s="44">
        <f t="shared" si="106"/>
        <v>52.480000000000004</v>
      </c>
      <c r="CJ46" s="259">
        <f t="shared" si="107"/>
        <v>221.68</v>
      </c>
      <c r="CL46" s="44">
        <f t="shared" si="108"/>
        <v>6564851.04</v>
      </c>
      <c r="CM46" s="44">
        <f t="shared" si="109"/>
        <v>8075814.7999999989</v>
      </c>
      <c r="CN46" s="44">
        <f t="shared" si="110"/>
        <v>0</v>
      </c>
      <c r="CO46" s="44">
        <f t="shared" si="111"/>
        <v>4712696.8599999994</v>
      </c>
      <c r="CP46" s="261">
        <f t="shared" si="112"/>
        <v>19353362.699999999</v>
      </c>
      <c r="CR46" s="132">
        <f t="shared" si="113"/>
        <v>87.531347199999999</v>
      </c>
      <c r="CS46" s="132">
        <f t="shared" si="96"/>
        <v>85.730518046709108</v>
      </c>
      <c r="CT46" s="132">
        <f t="shared" si="97"/>
        <v>0</v>
      </c>
      <c r="CU46" s="132">
        <f t="shared" si="98"/>
        <v>89.79986394817071</v>
      </c>
      <c r="CV46" s="269">
        <f t="shared" si="99"/>
        <v>87.303151840490798</v>
      </c>
    </row>
    <row r="47" spans="2:100" ht="12.75" thickBot="1">
      <c r="B47" s="194" t="s">
        <v>16</v>
      </c>
      <c r="C47" s="138">
        <f>'Imports 2015-16'!$M$32</f>
        <v>62</v>
      </c>
      <c r="D47" s="138">
        <f>'Imports 2015-16'!$M$48</f>
        <v>0</v>
      </c>
      <c r="E47" s="138">
        <f>'Imports 2015-16'!$M$64</f>
        <v>16</v>
      </c>
      <c r="F47" s="138">
        <f>'Imports 2015-16'!$M$80</f>
        <v>237.92000000000002</v>
      </c>
      <c r="G47" s="138">
        <f>'Imports 2015-16'!$M$96</f>
        <v>0</v>
      </c>
      <c r="H47" s="138">
        <f>'Imports 2015-16'!$M$112</f>
        <v>0</v>
      </c>
      <c r="I47" s="206">
        <f t="shared" si="86"/>
        <v>315.92</v>
      </c>
      <c r="J47" s="44"/>
      <c r="K47" s="194" t="s">
        <v>16</v>
      </c>
      <c r="L47" s="138">
        <f>'Imports 2015-16'!$AB$32</f>
        <v>5478702.6699999999</v>
      </c>
      <c r="M47" s="138">
        <f>'Imports 2015-16'!$AB$48</f>
        <v>0</v>
      </c>
      <c r="N47" s="138">
        <f>'Imports 2015-16'!$AB$64</f>
        <v>1571115.6</v>
      </c>
      <c r="O47" s="138">
        <f>'Imports 2015-16'!$AB$80</f>
        <v>17735316.170000002</v>
      </c>
      <c r="P47" s="138">
        <f>'Imports 2015-16'!$AB$96</f>
        <v>0</v>
      </c>
      <c r="Q47" s="138">
        <f>'Imports 2015-16'!$AB$112</f>
        <v>0</v>
      </c>
      <c r="R47" s="198">
        <f t="shared" si="87"/>
        <v>24785134.440000001</v>
      </c>
      <c r="T47" s="194" t="s">
        <v>16</v>
      </c>
      <c r="U47" s="138">
        <f>'Imports 2015-16'!$AQ$32</f>
        <v>81163.5839175687</v>
      </c>
      <c r="V47" s="138">
        <f>'Imports 2015-16'!$AQ$48</f>
        <v>0</v>
      </c>
      <c r="W47" s="138">
        <f>'Imports 2015-16'!$AQ$64</f>
        <v>23432.000000000004</v>
      </c>
      <c r="X47" s="138">
        <f>'Imports 2015-16'!$AQ$80</f>
        <v>261967.88129975178</v>
      </c>
      <c r="Y47" s="138">
        <f>'Imports 2015-16'!$AQ$96</f>
        <v>0</v>
      </c>
      <c r="Z47" s="138">
        <f>'Imports 2015-16'!AQ144</f>
        <v>0</v>
      </c>
      <c r="AA47" s="198">
        <f t="shared" si="88"/>
        <v>366563.46521732048</v>
      </c>
      <c r="AB47" s="223"/>
      <c r="AC47" s="194" t="s">
        <v>16</v>
      </c>
      <c r="AD47" s="138">
        <f t="shared" si="119"/>
        <v>1309.090063186592</v>
      </c>
      <c r="AE47" s="138">
        <f t="shared" si="114"/>
        <v>0</v>
      </c>
      <c r="AF47" s="138">
        <f t="shared" si="115"/>
        <v>1464.5000000000002</v>
      </c>
      <c r="AG47" s="138">
        <f t="shared" si="116"/>
        <v>0</v>
      </c>
      <c r="AH47" s="138">
        <f t="shared" si="117"/>
        <v>0</v>
      </c>
      <c r="AI47" s="198">
        <f t="shared" si="118"/>
        <v>1160.3047139064336</v>
      </c>
      <c r="AJ47" s="223"/>
      <c r="AK47" s="204"/>
      <c r="AM47" s="207" t="s">
        <v>16</v>
      </c>
      <c r="AN47" s="205"/>
      <c r="AO47" s="138"/>
      <c r="AP47" s="138"/>
      <c r="AQ47" s="138"/>
      <c r="AR47" s="138">
        <f>255.92+8.31999999999999</f>
        <v>264.23999999999995</v>
      </c>
      <c r="AS47" s="138"/>
      <c r="AT47" s="138"/>
      <c r="AU47" s="138"/>
      <c r="AV47" s="138"/>
      <c r="AW47" s="138"/>
      <c r="AX47" s="138">
        <v>60</v>
      </c>
      <c r="AY47" s="138"/>
      <c r="AZ47" s="206">
        <f t="shared" si="100"/>
        <v>324.23999999999995</v>
      </c>
      <c r="BA47" s="45"/>
      <c r="BB47" s="207" t="s">
        <v>16</v>
      </c>
      <c r="BC47" s="205"/>
      <c r="BF47" s="138"/>
      <c r="BG47" s="138">
        <f>19502765+3247654.36</f>
        <v>22750419.359999999</v>
      </c>
      <c r="BH47" s="138"/>
      <c r="BI47" s="138"/>
      <c r="BJ47" s="138"/>
      <c r="BK47" s="138"/>
      <c r="BL47" s="138"/>
      <c r="BM47" s="138">
        <v>5282369.4399999995</v>
      </c>
      <c r="BO47" s="206">
        <f t="shared" si="101"/>
        <v>28032788.799999997</v>
      </c>
      <c r="BP47" s="45"/>
      <c r="BU47" s="44">
        <f t="shared" si="89"/>
        <v>247.85134440000002</v>
      </c>
      <c r="BV47" s="194" t="s">
        <v>16</v>
      </c>
      <c r="BW47" s="137">
        <f t="shared" si="102"/>
        <v>88.366172096774193</v>
      </c>
      <c r="BX47" s="137">
        <f t="shared" si="90"/>
        <v>0</v>
      </c>
      <c r="BY47" s="137">
        <f t="shared" si="91"/>
        <v>98.194725000000005</v>
      </c>
      <c r="BZ47" s="137">
        <f t="shared" si="92"/>
        <v>74.543191703093484</v>
      </c>
      <c r="CA47" s="137">
        <f t="shared" si="93"/>
        <v>0</v>
      </c>
      <c r="CB47" s="137">
        <f t="shared" si="94"/>
        <v>0</v>
      </c>
      <c r="CC47" s="203">
        <f t="shared" si="95"/>
        <v>78.453831476323117</v>
      </c>
      <c r="CE47" s="135" t="s">
        <v>16</v>
      </c>
      <c r="CF47" s="44">
        <f t="shared" si="103"/>
        <v>0</v>
      </c>
      <c r="CG47" s="44">
        <f t="shared" si="104"/>
        <v>62</v>
      </c>
      <c r="CH47" s="44">
        <f t="shared" si="105"/>
        <v>16</v>
      </c>
      <c r="CI47" s="44">
        <f t="shared" si="106"/>
        <v>237.92000000000002</v>
      </c>
      <c r="CJ47" s="259">
        <f t="shared" si="107"/>
        <v>315.92</v>
      </c>
      <c r="CL47" s="44">
        <f t="shared" si="108"/>
        <v>0</v>
      </c>
      <c r="CM47" s="44">
        <f t="shared" si="109"/>
        <v>5478702.6699999999</v>
      </c>
      <c r="CN47" s="44">
        <f t="shared" si="110"/>
        <v>1571115.6</v>
      </c>
      <c r="CO47" s="44">
        <f t="shared" si="111"/>
        <v>17735316.170000002</v>
      </c>
      <c r="CP47" s="261">
        <f t="shared" si="112"/>
        <v>24785134.440000001</v>
      </c>
      <c r="CR47" s="132">
        <f t="shared" si="113"/>
        <v>0</v>
      </c>
      <c r="CS47" s="132">
        <f t="shared" si="96"/>
        <v>88.366172096774193</v>
      </c>
      <c r="CT47" s="132">
        <f t="shared" si="97"/>
        <v>98.194725000000005</v>
      </c>
      <c r="CU47" s="132">
        <f t="shared" si="98"/>
        <v>74.543191703093484</v>
      </c>
      <c r="CV47" s="269">
        <f t="shared" si="99"/>
        <v>78.453831476323117</v>
      </c>
    </row>
    <row r="48" spans="2:100" s="47" customFormat="1" ht="12.75" thickBot="1">
      <c r="B48" s="208" t="s">
        <v>20</v>
      </c>
      <c r="C48" s="209">
        <f t="shared" ref="C48:I48" si="120">SUM(C36:C47)</f>
        <v>25026.520000000004</v>
      </c>
      <c r="D48" s="209">
        <f t="shared" si="120"/>
        <v>11363.91</v>
      </c>
      <c r="E48" s="209">
        <f t="shared" si="120"/>
        <v>7235.2800000000007</v>
      </c>
      <c r="F48" s="209">
        <f t="shared" si="120"/>
        <v>237.92000000000002</v>
      </c>
      <c r="G48" s="209">
        <f t="shared" si="120"/>
        <v>2476.3719999999998</v>
      </c>
      <c r="H48" s="209">
        <f t="shared" si="120"/>
        <v>49.098500000000001</v>
      </c>
      <c r="I48" s="211">
        <f t="shared" si="120"/>
        <v>46389.100500000008</v>
      </c>
      <c r="J48" s="142"/>
      <c r="K48" s="208" t="s">
        <v>20</v>
      </c>
      <c r="L48" s="210">
        <f t="shared" ref="L48:R48" si="121">SUM(L36:L47)</f>
        <v>2164786005.5800009</v>
      </c>
      <c r="M48" s="210">
        <f t="shared" si="121"/>
        <v>946050888.30000007</v>
      </c>
      <c r="N48" s="210">
        <f t="shared" si="121"/>
        <v>602963875.64999998</v>
      </c>
      <c r="O48" s="210">
        <f t="shared" si="121"/>
        <v>17735316.170000002</v>
      </c>
      <c r="P48" s="210">
        <f t="shared" si="121"/>
        <v>213956419.5</v>
      </c>
      <c r="Q48" s="210">
        <f t="shared" si="121"/>
        <v>6712691.2899999991</v>
      </c>
      <c r="R48" s="211">
        <f t="shared" si="121"/>
        <v>3952205196.4900002</v>
      </c>
      <c r="T48" s="208" t="s">
        <v>20</v>
      </c>
      <c r="U48" s="210">
        <f t="shared" ref="U48:Z48" si="122">SUM(U38:U47)</f>
        <v>33113548.431904741</v>
      </c>
      <c r="V48" s="210">
        <f t="shared" si="122"/>
        <v>14476700.862502713</v>
      </c>
      <c r="W48" s="210">
        <f t="shared" si="122"/>
        <v>9208385.264886586</v>
      </c>
      <c r="X48" s="210">
        <f t="shared" si="122"/>
        <v>261967.88129975178</v>
      </c>
      <c r="Y48" s="210">
        <f t="shared" si="122"/>
        <v>3287714.0935403956</v>
      </c>
      <c r="Z48" s="210">
        <f t="shared" si="122"/>
        <v>103064.61771057203</v>
      </c>
      <c r="AA48" s="211">
        <f t="shared" si="88"/>
        <v>60451381.151844762</v>
      </c>
      <c r="AB48" s="46"/>
      <c r="AC48" s="208" t="s">
        <v>20</v>
      </c>
      <c r="AD48" s="210">
        <f t="shared" si="119"/>
        <v>1323.1383521122686</v>
      </c>
      <c r="AE48" s="210">
        <f t="shared" si="114"/>
        <v>1273.9189999307205</v>
      </c>
      <c r="AF48" s="210">
        <f t="shared" si="115"/>
        <v>1272.7061378255694</v>
      </c>
      <c r="AG48" s="210">
        <f t="shared" si="116"/>
        <v>1327.6333658837993</v>
      </c>
      <c r="AH48" s="210">
        <f t="shared" si="117"/>
        <v>2099.1398456281154</v>
      </c>
      <c r="AI48" s="211">
        <f t="shared" si="118"/>
        <v>1303.1376012959067</v>
      </c>
      <c r="AJ48" s="46"/>
      <c r="AK48" s="212"/>
      <c r="AM48" s="214" t="s">
        <v>20</v>
      </c>
      <c r="AN48" s="213">
        <f t="shared" ref="AN48:AZ48" si="123">SUM(AN38:AN47)</f>
        <v>196.95000000000002</v>
      </c>
      <c r="AO48" s="210">
        <f t="shared" si="123"/>
        <v>0</v>
      </c>
      <c r="AP48" s="210">
        <f t="shared" si="123"/>
        <v>0</v>
      </c>
      <c r="AQ48" s="210">
        <f t="shared" si="123"/>
        <v>91.68</v>
      </c>
      <c r="AR48" s="210">
        <f t="shared" si="123"/>
        <v>43003.047199999994</v>
      </c>
      <c r="AS48" s="210">
        <f t="shared" si="123"/>
        <v>0</v>
      </c>
      <c r="AT48" s="210">
        <f t="shared" si="123"/>
        <v>19.41</v>
      </c>
      <c r="AU48" s="210">
        <f t="shared" si="123"/>
        <v>1658.412</v>
      </c>
      <c r="AV48" s="210">
        <f t="shared" si="123"/>
        <v>102.98</v>
      </c>
      <c r="AW48" s="210">
        <f t="shared" si="123"/>
        <v>320.08999999999997</v>
      </c>
      <c r="AX48" s="210">
        <f t="shared" si="123"/>
        <v>1086.75</v>
      </c>
      <c r="AY48" s="210">
        <f t="shared" si="123"/>
        <v>0</v>
      </c>
      <c r="AZ48" s="211">
        <f t="shared" si="123"/>
        <v>46479.319199999991</v>
      </c>
      <c r="BB48" s="214" t="s">
        <v>20</v>
      </c>
      <c r="BC48" s="213">
        <f t="shared" ref="BC48:BO48" si="124">SUM(BC38:BC47)</f>
        <v>17312747.880000003</v>
      </c>
      <c r="BD48" s="210">
        <f t="shared" si="124"/>
        <v>0</v>
      </c>
      <c r="BE48" s="210">
        <f t="shared" si="124"/>
        <v>0</v>
      </c>
      <c r="BF48" s="210">
        <f t="shared" si="124"/>
        <v>9183735.0899999999</v>
      </c>
      <c r="BG48" s="210">
        <f t="shared" si="124"/>
        <v>10566301061.150007</v>
      </c>
      <c r="BH48" s="210">
        <f t="shared" si="124"/>
        <v>0</v>
      </c>
      <c r="BI48" s="210">
        <f t="shared" si="124"/>
        <v>1619813.27</v>
      </c>
      <c r="BJ48" s="210">
        <f t="shared" si="124"/>
        <v>143707018.37</v>
      </c>
      <c r="BK48" s="210">
        <f t="shared" si="124"/>
        <v>7993945.8600000003</v>
      </c>
      <c r="BL48" s="210">
        <f t="shared" si="124"/>
        <v>24307995.970000003</v>
      </c>
      <c r="BM48" s="210">
        <f t="shared" si="124"/>
        <v>93212861.379999995</v>
      </c>
      <c r="BN48" s="210">
        <f t="shared" si="124"/>
        <v>0</v>
      </c>
      <c r="BO48" s="211">
        <f t="shared" si="124"/>
        <v>10863639178.970007</v>
      </c>
      <c r="BP48" s="143"/>
      <c r="BU48" s="142">
        <f>R48/10^5</f>
        <v>39522.051964900005</v>
      </c>
      <c r="BV48" s="208" t="s">
        <v>20</v>
      </c>
      <c r="BW48" s="216">
        <f t="shared" si="102"/>
        <v>86.499681361212041</v>
      </c>
      <c r="BX48" s="216">
        <f t="shared" si="90"/>
        <v>83.250473498998147</v>
      </c>
      <c r="BY48" s="216">
        <f t="shared" si="91"/>
        <v>83.336633226357506</v>
      </c>
      <c r="BZ48" s="216">
        <f t="shared" si="92"/>
        <v>74.543191703093484</v>
      </c>
      <c r="CA48" s="216">
        <f t="shared" si="93"/>
        <v>86.399143383950403</v>
      </c>
      <c r="CB48" s="216">
        <f t="shared" si="94"/>
        <v>136.71886697149606</v>
      </c>
      <c r="CC48" s="217">
        <f t="shared" si="95"/>
        <v>85.19684912816966</v>
      </c>
      <c r="CE48" s="257" t="s">
        <v>20</v>
      </c>
      <c r="CF48" s="258">
        <f>SUM(CF36:CF47)</f>
        <v>11363.91</v>
      </c>
      <c r="CG48" s="258">
        <f t="shared" ref="CG48" si="125">SUM(CG36:CG47)</f>
        <v>25026.520000000004</v>
      </c>
      <c r="CH48" s="258">
        <f t="shared" ref="CH48" si="126">SUM(CH36:CH47)</f>
        <v>7235.2800000000007</v>
      </c>
      <c r="CI48" s="258">
        <f t="shared" ref="CI48" si="127">SUM(CI36:CI47)</f>
        <v>2763.3904999999995</v>
      </c>
      <c r="CJ48" s="260">
        <f t="shared" ref="CJ48" si="128">SUM(CJ36:CJ47)</f>
        <v>46389.100500000008</v>
      </c>
      <c r="CL48" s="258">
        <f t="shared" si="108"/>
        <v>946050888.30000007</v>
      </c>
      <c r="CM48" s="258">
        <f t="shared" si="109"/>
        <v>2164786005.5800009</v>
      </c>
      <c r="CN48" s="258">
        <f t="shared" si="110"/>
        <v>602963875.64999998</v>
      </c>
      <c r="CO48" s="258">
        <f t="shared" si="111"/>
        <v>238404426.96000001</v>
      </c>
      <c r="CP48" s="260">
        <f t="shared" si="112"/>
        <v>3952205196.4900012</v>
      </c>
      <c r="CR48" s="270">
        <f t="shared" si="113"/>
        <v>83.250473498998147</v>
      </c>
      <c r="CS48" s="270">
        <f t="shared" si="96"/>
        <v>86.499681361212041</v>
      </c>
      <c r="CT48" s="270">
        <f t="shared" si="97"/>
        <v>83.336633226357506</v>
      </c>
      <c r="CU48" s="270">
        <f t="shared" si="98"/>
        <v>86.272434880267568</v>
      </c>
      <c r="CV48" s="271">
        <f t="shared" si="99"/>
        <v>85.196849128169674</v>
      </c>
    </row>
    <row r="49" spans="2:100" ht="12.75" thickBot="1">
      <c r="I49" s="143"/>
      <c r="L49" s="44"/>
      <c r="M49" s="44"/>
      <c r="N49" s="44"/>
      <c r="O49" s="44"/>
      <c r="P49" s="44"/>
      <c r="Q49" s="44"/>
      <c r="R49" s="45">
        <f>R48-R36-1932834</f>
        <v>3950272362.4900002</v>
      </c>
      <c r="S49" s="45"/>
      <c r="BU49" s="215">
        <f>R49/10^5</f>
        <v>39502.723624900005</v>
      </c>
      <c r="BW49" s="44"/>
      <c r="BX49" s="44"/>
      <c r="BY49" s="44"/>
      <c r="BZ49" s="44"/>
      <c r="CA49" s="44"/>
      <c r="CB49" s="44"/>
    </row>
    <row r="50" spans="2:100" ht="12.75" thickBot="1">
      <c r="B50" s="182" t="s">
        <v>21</v>
      </c>
      <c r="C50" s="419" t="s">
        <v>344</v>
      </c>
      <c r="D50" s="419"/>
      <c r="E50" s="419"/>
      <c r="F50" s="419"/>
      <c r="G50" s="419"/>
      <c r="H50" s="419"/>
      <c r="I50" s="420"/>
      <c r="K50" s="182" t="s">
        <v>6</v>
      </c>
      <c r="L50" s="419" t="s">
        <v>344</v>
      </c>
      <c r="M50" s="419"/>
      <c r="N50" s="419"/>
      <c r="O50" s="419"/>
      <c r="P50" s="419"/>
      <c r="Q50" s="419"/>
      <c r="R50" s="420"/>
      <c r="T50" s="182" t="s">
        <v>21</v>
      </c>
      <c r="U50" s="419" t="s">
        <v>112</v>
      </c>
      <c r="V50" s="419"/>
      <c r="W50" s="419"/>
      <c r="X50" s="419"/>
      <c r="Y50" s="419"/>
      <c r="Z50" s="419"/>
      <c r="AA50" s="420"/>
      <c r="AB50" s="165"/>
      <c r="AC50" s="182" t="s">
        <v>21</v>
      </c>
      <c r="AD50" s="419" t="s">
        <v>111</v>
      </c>
      <c r="AE50" s="419"/>
      <c r="AF50" s="419"/>
      <c r="AG50" s="419"/>
      <c r="AH50" s="419"/>
      <c r="AI50" s="420"/>
      <c r="AJ50" s="165"/>
      <c r="AK50" s="183"/>
      <c r="AM50" s="182" t="s">
        <v>21</v>
      </c>
      <c r="AN50" s="184" t="s">
        <v>113</v>
      </c>
      <c r="AO50" s="185"/>
      <c r="AP50" s="185"/>
      <c r="AQ50" s="185"/>
      <c r="AR50" s="185"/>
      <c r="AS50" s="185"/>
      <c r="AT50" s="185"/>
      <c r="AU50" s="185"/>
      <c r="AV50" s="185"/>
      <c r="AW50" s="185"/>
      <c r="AX50" s="185"/>
      <c r="AY50" s="185"/>
      <c r="AZ50" s="186"/>
      <c r="BB50" s="182" t="s">
        <v>6</v>
      </c>
      <c r="BC50" s="184" t="s">
        <v>113</v>
      </c>
      <c r="BD50" s="185"/>
      <c r="BE50" s="185"/>
      <c r="BF50" s="185"/>
      <c r="BG50" s="185"/>
      <c r="BH50" s="185"/>
      <c r="BI50" s="185"/>
      <c r="BJ50" s="185"/>
      <c r="BK50" s="185"/>
      <c r="BL50" s="185"/>
      <c r="BM50" s="185"/>
      <c r="BN50" s="185"/>
      <c r="BO50" s="186"/>
      <c r="BU50" s="227" t="e">
        <f>BU49*10^5/I49</f>
        <v>#DIV/0!</v>
      </c>
      <c r="BV50" s="182" t="s">
        <v>136</v>
      </c>
      <c r="BW50" s="419" t="s">
        <v>344</v>
      </c>
      <c r="BX50" s="419"/>
      <c r="BY50" s="419"/>
      <c r="BZ50" s="419"/>
      <c r="CA50" s="419"/>
      <c r="CB50" s="419"/>
      <c r="CC50" s="420"/>
      <c r="CF50" s="416" t="s">
        <v>202</v>
      </c>
      <c r="CG50" s="416"/>
      <c r="CH50" s="416"/>
      <c r="CI50" s="416"/>
      <c r="CJ50" s="416"/>
      <c r="CL50" s="416" t="s">
        <v>203</v>
      </c>
      <c r="CM50" s="416"/>
      <c r="CN50" s="416"/>
      <c r="CO50" s="416"/>
      <c r="CP50" s="416"/>
      <c r="CR50" s="417" t="s">
        <v>204</v>
      </c>
      <c r="CS50" s="417"/>
      <c r="CT50" s="417"/>
      <c r="CU50" s="417"/>
      <c r="CV50" s="417"/>
    </row>
    <row r="51" spans="2:100" ht="12.75" thickBot="1">
      <c r="B51" s="187" t="s">
        <v>66</v>
      </c>
      <c r="C51" s="164" t="s">
        <v>35</v>
      </c>
      <c r="D51" s="164" t="s">
        <v>36</v>
      </c>
      <c r="E51" s="164" t="s">
        <v>37</v>
      </c>
      <c r="F51" s="164" t="s">
        <v>135</v>
      </c>
      <c r="G51" s="164" t="s">
        <v>64</v>
      </c>
      <c r="H51" s="164" t="s">
        <v>65</v>
      </c>
      <c r="I51" s="228" t="s">
        <v>20</v>
      </c>
      <c r="K51" s="187" t="s">
        <v>66</v>
      </c>
      <c r="L51" s="164" t="s">
        <v>35</v>
      </c>
      <c r="M51" s="164" t="s">
        <v>36</v>
      </c>
      <c r="N51" s="164" t="s">
        <v>37</v>
      </c>
      <c r="O51" s="164" t="s">
        <v>135</v>
      </c>
      <c r="P51" s="164" t="s">
        <v>64</v>
      </c>
      <c r="Q51" s="164" t="s">
        <v>65</v>
      </c>
      <c r="R51" s="188" t="s">
        <v>20</v>
      </c>
      <c r="T51" s="187" t="s">
        <v>66</v>
      </c>
      <c r="U51" s="164" t="s">
        <v>35</v>
      </c>
      <c r="V51" s="164" t="s">
        <v>36</v>
      </c>
      <c r="W51" s="164" t="s">
        <v>37</v>
      </c>
      <c r="X51" s="164" t="s">
        <v>135</v>
      </c>
      <c r="Y51" s="164" t="s">
        <v>64</v>
      </c>
      <c r="Z51" s="164" t="s">
        <v>65</v>
      </c>
      <c r="AA51" s="188" t="s">
        <v>20</v>
      </c>
      <c r="AB51" s="165"/>
      <c r="AC51" s="187" t="s">
        <v>66</v>
      </c>
      <c r="AD51" s="164" t="s">
        <v>35</v>
      </c>
      <c r="AE51" s="164" t="s">
        <v>36</v>
      </c>
      <c r="AF51" s="164" t="s">
        <v>37</v>
      </c>
      <c r="AG51" s="164" t="s">
        <v>64</v>
      </c>
      <c r="AH51" s="164" t="s">
        <v>65</v>
      </c>
      <c r="AI51" s="228" t="s">
        <v>20</v>
      </c>
      <c r="AJ51" s="165"/>
      <c r="AK51" s="183"/>
      <c r="AM51" s="187" t="s">
        <v>66</v>
      </c>
      <c r="AN51" s="190" t="s">
        <v>70</v>
      </c>
      <c r="AO51" s="191" t="s">
        <v>80</v>
      </c>
      <c r="AP51" s="191" t="s">
        <v>79</v>
      </c>
      <c r="AQ51" s="192" t="s">
        <v>71</v>
      </c>
      <c r="AR51" s="192" t="s">
        <v>72</v>
      </c>
      <c r="AS51" s="192" t="s">
        <v>73</v>
      </c>
      <c r="AT51" s="192" t="s">
        <v>74</v>
      </c>
      <c r="AU51" s="192" t="s">
        <v>75</v>
      </c>
      <c r="AV51" s="192" t="s">
        <v>76</v>
      </c>
      <c r="AW51" s="192" t="s">
        <v>77</v>
      </c>
      <c r="AX51" s="192" t="s">
        <v>78</v>
      </c>
      <c r="AY51" s="191" t="s">
        <v>81</v>
      </c>
      <c r="AZ51" s="193" t="s">
        <v>4</v>
      </c>
      <c r="BB51" s="187" t="s">
        <v>66</v>
      </c>
      <c r="BC51" s="190" t="s">
        <v>70</v>
      </c>
      <c r="BD51" s="191" t="s">
        <v>80</v>
      </c>
      <c r="BE51" s="191" t="s">
        <v>79</v>
      </c>
      <c r="BF51" s="192" t="s">
        <v>71</v>
      </c>
      <c r="BG51" s="192" t="s">
        <v>72</v>
      </c>
      <c r="BH51" s="192" t="s">
        <v>73</v>
      </c>
      <c r="BI51" s="192" t="s">
        <v>74</v>
      </c>
      <c r="BJ51" s="192" t="s">
        <v>75</v>
      </c>
      <c r="BK51" s="192" t="s">
        <v>76</v>
      </c>
      <c r="BL51" s="192" t="s">
        <v>77</v>
      </c>
      <c r="BM51" s="192" t="s">
        <v>78</v>
      </c>
      <c r="BN51" s="191" t="s">
        <v>81</v>
      </c>
      <c r="BO51" s="193" t="s">
        <v>4</v>
      </c>
      <c r="BV51" s="187" t="s">
        <v>66</v>
      </c>
      <c r="BW51" s="164" t="s">
        <v>35</v>
      </c>
      <c r="BX51" s="164" t="s">
        <v>36</v>
      </c>
      <c r="BY51" s="164" t="s">
        <v>37</v>
      </c>
      <c r="BZ51" s="164" t="s">
        <v>135</v>
      </c>
      <c r="CA51" s="164" t="s">
        <v>64</v>
      </c>
      <c r="CB51" s="164" t="s">
        <v>65</v>
      </c>
      <c r="CC51" s="188" t="s">
        <v>20</v>
      </c>
      <c r="CF51" s="264" t="s">
        <v>0</v>
      </c>
      <c r="CG51" s="264" t="s">
        <v>1</v>
      </c>
      <c r="CH51" s="264" t="s">
        <v>3</v>
      </c>
      <c r="CI51" s="264" t="s">
        <v>7</v>
      </c>
      <c r="CJ51" s="263" t="s">
        <v>58</v>
      </c>
      <c r="CL51" s="264" t="s">
        <v>0</v>
      </c>
      <c r="CM51" s="264" t="s">
        <v>1</v>
      </c>
      <c r="CN51" s="264" t="s">
        <v>3</v>
      </c>
      <c r="CO51" s="264" t="s">
        <v>7</v>
      </c>
      <c r="CP51" s="263" t="s">
        <v>58</v>
      </c>
      <c r="CR51" s="267" t="s">
        <v>0</v>
      </c>
      <c r="CS51" s="267" t="s">
        <v>1</v>
      </c>
      <c r="CT51" s="267" t="s">
        <v>3</v>
      </c>
      <c r="CU51" s="267" t="s">
        <v>7</v>
      </c>
      <c r="CV51" s="268" t="s">
        <v>58</v>
      </c>
    </row>
    <row r="52" spans="2:100">
      <c r="B52" s="194" t="s">
        <v>133</v>
      </c>
      <c r="C52" s="195">
        <f>'Imports 2016-17'!$B$32</f>
        <v>0</v>
      </c>
      <c r="D52" s="196">
        <f>'Imports 2016-17'!$B$48</f>
        <v>0</v>
      </c>
      <c r="E52" s="197">
        <f>'Imports 2016-17'!$B$64</f>
        <v>0</v>
      </c>
      <c r="F52" s="197">
        <f>'Imports 2016-17'!$B$80</f>
        <v>0</v>
      </c>
      <c r="G52" s="195">
        <f>'Imports 2016-17'!$B$96</f>
        <v>0</v>
      </c>
      <c r="H52" s="195">
        <f>'Imports 2016-17'!$B$112</f>
        <v>0</v>
      </c>
      <c r="I52" s="206">
        <f t="shared" ref="I52:I63" si="129">SUM(C52:H52)</f>
        <v>0</v>
      </c>
      <c r="J52" s="44">
        <f>R52/10^5</f>
        <v>0</v>
      </c>
      <c r="K52" s="194" t="s">
        <v>133</v>
      </c>
      <c r="L52" s="138">
        <f>'Imports 2016-17'!$Q$32</f>
        <v>0</v>
      </c>
      <c r="M52" s="138">
        <f>'Imports 2016-17'!$Q96</f>
        <v>0</v>
      </c>
      <c r="N52" s="138">
        <f>'Imports 2016-17'!$Q$64</f>
        <v>0</v>
      </c>
      <c r="O52" s="138">
        <f>'Imports 2016-17'!$Q$80</f>
        <v>0</v>
      </c>
      <c r="P52" s="138">
        <f>'Imports 2016-17'!$Q$96</f>
        <v>0</v>
      </c>
      <c r="Q52" s="138">
        <f>'Imports 2016-17'!$Q$112</f>
        <v>0</v>
      </c>
      <c r="R52" s="198">
        <f t="shared" ref="R52:R63" si="130">SUM(L52:Q52)</f>
        <v>0</v>
      </c>
      <c r="T52" s="194" t="s">
        <v>133</v>
      </c>
      <c r="U52" s="138">
        <f>'Imports 2016-17'!$AF$32</f>
        <v>0</v>
      </c>
      <c r="V52" s="138">
        <f>'Imports 2016-17'!$AF$48</f>
        <v>0</v>
      </c>
      <c r="W52" s="138">
        <f>'Imports 2016-17'!$AF$64</f>
        <v>0</v>
      </c>
      <c r="X52" s="138">
        <f>'Imports 2016-17'!$AF$80</f>
        <v>0</v>
      </c>
      <c r="Y52" s="138">
        <f>'Imports 2016-17'!$AF$96</f>
        <v>0</v>
      </c>
      <c r="Z52" s="138">
        <f>'Imports 2016-17'!$AF$112</f>
        <v>0</v>
      </c>
      <c r="AA52" s="199">
        <f t="shared" ref="AA52:AA64" si="131">SUM(U52:Z52)</f>
        <v>0</v>
      </c>
      <c r="AB52" s="165"/>
      <c r="AC52" s="194" t="s">
        <v>133</v>
      </c>
      <c r="AD52" s="165"/>
      <c r="AE52" s="165"/>
      <c r="AF52" s="165"/>
      <c r="AG52" s="165"/>
      <c r="AH52" s="165"/>
      <c r="AI52" s="200"/>
      <c r="AJ52" s="165"/>
      <c r="AK52" s="183"/>
      <c r="AM52" s="229"/>
      <c r="AN52" s="165"/>
      <c r="AO52" s="165"/>
      <c r="AP52" s="165"/>
      <c r="AQ52" s="165"/>
      <c r="AR52" s="165"/>
      <c r="AS52" s="165"/>
      <c r="AT52" s="165"/>
      <c r="AU52" s="165"/>
      <c r="AV52" s="165"/>
      <c r="AW52" s="165"/>
      <c r="AX52" s="165"/>
      <c r="AY52" s="165"/>
      <c r="AZ52" s="200"/>
      <c r="BB52" s="229"/>
      <c r="BC52" s="165"/>
      <c r="BD52" s="165"/>
      <c r="BE52" s="165"/>
      <c r="BF52" s="165"/>
      <c r="BG52" s="165"/>
      <c r="BH52" s="165"/>
      <c r="BI52" s="165"/>
      <c r="BJ52" s="165"/>
      <c r="BK52" s="165"/>
      <c r="BL52" s="165"/>
      <c r="BM52" s="165"/>
      <c r="BN52" s="165"/>
      <c r="BO52" s="200"/>
      <c r="BU52" s="44">
        <f t="shared" ref="BU52:BU63" si="132">R52/10^5</f>
        <v>0</v>
      </c>
      <c r="BV52" s="194" t="s">
        <v>133</v>
      </c>
      <c r="BW52" s="137">
        <f>IF(L52&lt;=0,0,L52/C52/1000)</f>
        <v>0</v>
      </c>
      <c r="BX52" s="137">
        <f t="shared" ref="BX52:BX64" si="133">IF(M52&lt;=0,0,M52/D52/1000)</f>
        <v>0</v>
      </c>
      <c r="BY52" s="137">
        <f t="shared" ref="BY52:BY64" si="134">IF(N52&lt;=0,0,N52/E52/1000)</f>
        <v>0</v>
      </c>
      <c r="BZ52" s="137">
        <f t="shared" ref="BZ52:BZ64" si="135">IF(O52&lt;=0,0,O52/F52/1000)</f>
        <v>0</v>
      </c>
      <c r="CA52" s="137">
        <f t="shared" ref="CA52:CA64" si="136">IF(P52&lt;=0,0,P52/G52/1000)</f>
        <v>0</v>
      </c>
      <c r="CB52" s="137">
        <f t="shared" ref="CB52:CB64" si="137">IF(Q52&lt;=0,0,Q52/H52/1000)</f>
        <v>0</v>
      </c>
      <c r="CC52" s="203">
        <f t="shared" ref="CC52:CC64" si="138">IF(R52&lt;=0,0,R52/I52/1000)</f>
        <v>0</v>
      </c>
      <c r="CE52" s="135" t="s">
        <v>133</v>
      </c>
      <c r="CF52" s="44">
        <f>D52</f>
        <v>0</v>
      </c>
      <c r="CG52" s="44">
        <f>C52</f>
        <v>0</v>
      </c>
      <c r="CH52" s="44">
        <f>E52</f>
        <v>0</v>
      </c>
      <c r="CI52" s="44">
        <f>SUM(F52:H52)</f>
        <v>0</v>
      </c>
      <c r="CJ52" s="259">
        <f>SUM(CF52:CI52)</f>
        <v>0</v>
      </c>
      <c r="CL52" s="44">
        <f>M52</f>
        <v>0</v>
      </c>
      <c r="CM52" s="44">
        <f>L52</f>
        <v>0</v>
      </c>
      <c r="CN52" s="44">
        <f>N52</f>
        <v>0</v>
      </c>
      <c r="CO52" s="44">
        <f>SUM(O52:Q52)</f>
        <v>0</v>
      </c>
      <c r="CP52" s="261">
        <f>SUM(CL52:CO52)</f>
        <v>0</v>
      </c>
      <c r="CR52" s="132">
        <f>IF(CF52&lt;=0,0,CL52/CF52/1000)</f>
        <v>0</v>
      </c>
      <c r="CS52" s="132">
        <f t="shared" ref="CS52:CS64" si="139">IF(CG52&lt;=0,0,CM52/CG52/1000)</f>
        <v>0</v>
      </c>
      <c r="CT52" s="132">
        <f t="shared" ref="CT52:CT64" si="140">IF(CH52&lt;=0,0,CN52/CH52/1000)</f>
        <v>0</v>
      </c>
      <c r="CU52" s="132">
        <f t="shared" ref="CU52:CU64" si="141">IF(CI52&lt;=0,0,CO52/CI52/1000)</f>
        <v>0</v>
      </c>
      <c r="CV52" s="269">
        <f t="shared" ref="CV52:CV64" si="142">IF(CJ52&lt;=0,0,CP52/CJ52/1000)</f>
        <v>0</v>
      </c>
    </row>
    <row r="53" spans="2:100">
      <c r="B53" s="194" t="s">
        <v>19</v>
      </c>
      <c r="C53" s="138">
        <f>'Imports 2016-17'!$C$32</f>
        <v>0</v>
      </c>
      <c r="D53" s="138">
        <f>'Imports 2016-17'!$C$48</f>
        <v>0</v>
      </c>
      <c r="E53" s="138">
        <f>'Imports 2016-17'!$C$64</f>
        <v>0</v>
      </c>
      <c r="F53" s="138">
        <f>'Imports 2016-17'!$C$80</f>
        <v>0</v>
      </c>
      <c r="G53" s="138">
        <f>'Imports 2016-17'!$C$96</f>
        <v>0</v>
      </c>
      <c r="H53" s="138">
        <f>'Imports 2016-17'!$C$112</f>
        <v>0</v>
      </c>
      <c r="I53" s="206">
        <f t="shared" si="129"/>
        <v>0</v>
      </c>
      <c r="J53" s="44">
        <f t="shared" ref="J53:J64" si="143">R53/10^5</f>
        <v>0</v>
      </c>
      <c r="K53" s="194" t="s">
        <v>19</v>
      </c>
      <c r="L53" s="138">
        <f>'Imports 2016-17'!$R$32</f>
        <v>0</v>
      </c>
      <c r="M53" s="138">
        <f>'Imports 2016-17'!$R$48</f>
        <v>0</v>
      </c>
      <c r="N53" s="138">
        <f>'Imports 2016-17'!$R$64</f>
        <v>0</v>
      </c>
      <c r="O53" s="138">
        <f>'Imports 2016-17'!$R$80</f>
        <v>0</v>
      </c>
      <c r="P53" s="138">
        <f>'Imports 2016-17'!$R$96</f>
        <v>0</v>
      </c>
      <c r="Q53" s="138">
        <f>'Imports 2016-17'!$R$112</f>
        <v>0</v>
      </c>
      <c r="R53" s="198">
        <f t="shared" si="130"/>
        <v>0</v>
      </c>
      <c r="T53" s="194" t="s">
        <v>19</v>
      </c>
      <c r="U53" s="138">
        <f>'Imports 2016-17'!$AG$32</f>
        <v>0</v>
      </c>
      <c r="V53" s="138">
        <f>'Imports 2016-17'!$AG$48</f>
        <v>0</v>
      </c>
      <c r="W53" s="138">
        <f>'Imports 2016-17'!$AG$64</f>
        <v>0</v>
      </c>
      <c r="X53" s="138">
        <f>'Imports 2016-17'!$AG$80</f>
        <v>0</v>
      </c>
      <c r="Y53" s="138">
        <f>'Imports 2016-17'!$AG$96</f>
        <v>0</v>
      </c>
      <c r="Z53" s="138">
        <f>'Imports 2016-17'!$AG$112</f>
        <v>0</v>
      </c>
      <c r="AA53" s="198">
        <f t="shared" si="131"/>
        <v>0</v>
      </c>
      <c r="AB53" s="198"/>
      <c r="AC53" s="194" t="s">
        <v>19</v>
      </c>
      <c r="AD53" s="138">
        <f t="shared" ref="AD53:AF54" si="144">IF(U53&lt;=0,0,U53/C53)</f>
        <v>0</v>
      </c>
      <c r="AE53" s="138">
        <f t="shared" si="144"/>
        <v>0</v>
      </c>
      <c r="AF53" s="138">
        <f t="shared" si="144"/>
        <v>0</v>
      </c>
      <c r="AG53" s="138">
        <f t="shared" ref="AG53:AG64" si="145">IF(Y53&lt;=0,0,Y53/G53)</f>
        <v>0</v>
      </c>
      <c r="AH53" s="138">
        <f t="shared" ref="AH53:AH64" si="146">IF(Z53&lt;=0,0,Z53/H53)</f>
        <v>0</v>
      </c>
      <c r="AI53" s="198">
        <f t="shared" ref="AI53:AI64" si="147">IF(AA53&lt;=0,0,AA53/I53)</f>
        <v>0</v>
      </c>
      <c r="AJ53" s="198"/>
      <c r="AK53" s="230"/>
      <c r="AL53" s="194"/>
      <c r="AM53" s="194" t="s">
        <v>19</v>
      </c>
      <c r="AN53" s="138"/>
      <c r="AO53" s="138"/>
      <c r="AP53" s="138"/>
      <c r="AQ53" s="138"/>
      <c r="AR53" s="138"/>
      <c r="AS53" s="138"/>
      <c r="AT53" s="138"/>
      <c r="AU53" s="138"/>
      <c r="AV53" s="138"/>
      <c r="AW53" s="138"/>
      <c r="AX53" s="138"/>
      <c r="AY53" s="138"/>
      <c r="AZ53" s="206">
        <f t="shared" ref="AZ53:AZ63" si="148">SUM(AN53:AY53)</f>
        <v>0</v>
      </c>
      <c r="BA53" s="45"/>
      <c r="BB53" s="194" t="s">
        <v>19</v>
      </c>
      <c r="BC53" s="138"/>
      <c r="BD53" s="138"/>
      <c r="BE53" s="138"/>
      <c r="BF53" s="138"/>
      <c r="BG53" s="138"/>
      <c r="BH53" s="138"/>
      <c r="BI53" s="138"/>
      <c r="BJ53" s="138"/>
      <c r="BK53" s="138"/>
      <c r="BL53" s="138"/>
      <c r="BM53" s="138"/>
      <c r="BN53" s="138"/>
      <c r="BO53" s="206">
        <f>SUM(BC53:BN53)</f>
        <v>0</v>
      </c>
      <c r="BU53" s="44">
        <f t="shared" si="132"/>
        <v>0</v>
      </c>
      <c r="BV53" s="194" t="s">
        <v>19</v>
      </c>
      <c r="BW53" s="137">
        <f t="shared" ref="BW53:BW64" si="149">IF(L53&lt;=0,0,L53/C53/1000)</f>
        <v>0</v>
      </c>
      <c r="BX53" s="137">
        <f t="shared" si="133"/>
        <v>0</v>
      </c>
      <c r="BY53" s="137">
        <f t="shared" si="134"/>
        <v>0</v>
      </c>
      <c r="BZ53" s="137">
        <f t="shared" si="135"/>
        <v>0</v>
      </c>
      <c r="CA53" s="137">
        <f t="shared" si="136"/>
        <v>0</v>
      </c>
      <c r="CB53" s="137">
        <f t="shared" si="137"/>
        <v>0</v>
      </c>
      <c r="CC53" s="203">
        <f t="shared" si="138"/>
        <v>0</v>
      </c>
      <c r="CE53" s="135" t="s">
        <v>19</v>
      </c>
      <c r="CF53" s="44">
        <f t="shared" ref="CF53:CF63" si="150">D53</f>
        <v>0</v>
      </c>
      <c r="CG53" s="44">
        <f t="shared" ref="CG53:CG63" si="151">C53</f>
        <v>0</v>
      </c>
      <c r="CH53" s="44">
        <f t="shared" ref="CH53:CH63" si="152">E53</f>
        <v>0</v>
      </c>
      <c r="CI53" s="44">
        <f t="shared" ref="CI53:CI63" si="153">SUM(F53:H53)</f>
        <v>0</v>
      </c>
      <c r="CJ53" s="259">
        <f t="shared" ref="CJ53:CJ63" si="154">SUM(CF53:CI53)</f>
        <v>0</v>
      </c>
      <c r="CL53" s="44">
        <f t="shared" ref="CL53:CL64" si="155">M53</f>
        <v>0</v>
      </c>
      <c r="CM53" s="44">
        <f t="shared" ref="CM53:CM64" si="156">L53</f>
        <v>0</v>
      </c>
      <c r="CN53" s="44">
        <f t="shared" ref="CN53:CN64" si="157">N53</f>
        <v>0</v>
      </c>
      <c r="CO53" s="44">
        <f t="shared" ref="CO53:CO64" si="158">SUM(O53:Q53)</f>
        <v>0</v>
      </c>
      <c r="CP53" s="261">
        <f t="shared" ref="CP53:CP64" si="159">SUM(CL53:CO53)</f>
        <v>0</v>
      </c>
      <c r="CR53" s="132">
        <f t="shared" ref="CR53:CR64" si="160">IF(CF53&lt;=0,0,CL53/CF53/1000)</f>
        <v>0</v>
      </c>
      <c r="CS53" s="132">
        <f t="shared" si="139"/>
        <v>0</v>
      </c>
      <c r="CT53" s="132">
        <f t="shared" si="140"/>
        <v>0</v>
      </c>
      <c r="CU53" s="132">
        <f t="shared" si="141"/>
        <v>0</v>
      </c>
      <c r="CV53" s="269">
        <f t="shared" si="142"/>
        <v>0</v>
      </c>
    </row>
    <row r="54" spans="2:100">
      <c r="B54" s="194" t="s">
        <v>17</v>
      </c>
      <c r="C54" s="138">
        <f>'Imports 2016-17'!$D$32</f>
        <v>0</v>
      </c>
      <c r="D54" s="138">
        <f>'Imports 2016-17'!$D$48</f>
        <v>0</v>
      </c>
      <c r="E54" s="138">
        <f>'Imports 2016-17'!$D$64</f>
        <v>0</v>
      </c>
      <c r="F54" s="138">
        <f>'Imports 2016-17'!$D$80</f>
        <v>0</v>
      </c>
      <c r="G54" s="138">
        <f>'Imports 2016-17'!$D$96</f>
        <v>0</v>
      </c>
      <c r="H54" s="138">
        <f>'Imports 2016-17'!$D$112</f>
        <v>148.01</v>
      </c>
      <c r="I54" s="206">
        <f t="shared" si="129"/>
        <v>148.01</v>
      </c>
      <c r="J54" s="44">
        <f t="shared" si="143"/>
        <v>183.9825404</v>
      </c>
      <c r="K54" s="194" t="s">
        <v>17</v>
      </c>
      <c r="L54" s="138">
        <f>'Imports 2016-17'!$S$32</f>
        <v>0</v>
      </c>
      <c r="M54" s="138">
        <f>'Imports 2016-17'!$S$48</f>
        <v>0</v>
      </c>
      <c r="N54" s="138">
        <f>'Imports 2016-17'!$S$64</f>
        <v>0</v>
      </c>
      <c r="O54" s="138">
        <f>'Imports 2016-17'!$S$80</f>
        <v>0</v>
      </c>
      <c r="P54" s="138">
        <f>'Imports 2016-17'!$S$96</f>
        <v>0</v>
      </c>
      <c r="Q54" s="138">
        <f>'Imports 2016-17'!$S$112</f>
        <v>18398254.039999999</v>
      </c>
      <c r="R54" s="198">
        <f t="shared" si="130"/>
        <v>18398254.039999999</v>
      </c>
      <c r="T54" s="194" t="s">
        <v>17</v>
      </c>
      <c r="U54" s="138">
        <f>'Imports 2016-17'!$AH$32</f>
        <v>0</v>
      </c>
      <c r="V54" s="138">
        <f>'Imports 2016-17'!$AH$48</f>
        <v>0</v>
      </c>
      <c r="W54" s="138">
        <f>'Imports 2016-17'!$AH$64</f>
        <v>0</v>
      </c>
      <c r="X54" s="138">
        <f>'Imports 2016-17'!$AH$80</f>
        <v>0</v>
      </c>
      <c r="Y54" s="138">
        <f>'Imports 2016-17'!$AH$96</f>
        <v>0</v>
      </c>
      <c r="Z54" s="138">
        <f>'Imports 2016-17'!$AH$112</f>
        <v>271420.6914509355</v>
      </c>
      <c r="AA54" s="198">
        <f t="shared" si="131"/>
        <v>271420.6914509355</v>
      </c>
      <c r="AB54" s="194"/>
      <c r="AC54" s="194" t="s">
        <v>17</v>
      </c>
      <c r="AD54" s="138">
        <f t="shared" si="144"/>
        <v>0</v>
      </c>
      <c r="AE54" s="138">
        <f t="shared" si="144"/>
        <v>0</v>
      </c>
      <c r="AF54" s="138">
        <f t="shared" si="144"/>
        <v>0</v>
      </c>
      <c r="AG54" s="138">
        <f t="shared" si="145"/>
        <v>0</v>
      </c>
      <c r="AH54" s="138">
        <f t="shared" si="146"/>
        <v>1833.799685500544</v>
      </c>
      <c r="AI54" s="198">
        <f t="shared" si="147"/>
        <v>1833.799685500544</v>
      </c>
      <c r="AJ54" s="198"/>
      <c r="AK54" s="230"/>
      <c r="AL54" s="194"/>
      <c r="AM54" s="194" t="s">
        <v>17</v>
      </c>
      <c r="AN54" s="138"/>
      <c r="AO54" s="138"/>
      <c r="AP54" s="138"/>
      <c r="AQ54" s="138"/>
      <c r="AR54" s="138">
        <v>19</v>
      </c>
      <c r="AS54" s="138"/>
      <c r="AT54" s="138"/>
      <c r="AU54" s="138"/>
      <c r="AV54" s="138"/>
      <c r="AW54" s="138"/>
      <c r="AX54" s="138"/>
      <c r="AY54" s="138"/>
      <c r="AZ54" s="206">
        <f t="shared" si="148"/>
        <v>19</v>
      </c>
      <c r="BA54" s="45"/>
      <c r="BB54" s="194" t="s">
        <v>17</v>
      </c>
      <c r="BC54" s="138"/>
      <c r="BD54" s="138"/>
      <c r="BE54" s="138"/>
      <c r="BF54" s="138"/>
      <c r="BG54" s="138">
        <v>2376700.69</v>
      </c>
      <c r="BH54" s="138"/>
      <c r="BI54" s="138"/>
      <c r="BJ54" s="138"/>
      <c r="BK54" s="138"/>
      <c r="BL54" s="138"/>
      <c r="BM54" s="138"/>
      <c r="BN54" s="138"/>
      <c r="BO54" s="206">
        <f>SUM(BC54:BN54)</f>
        <v>2376700.69</v>
      </c>
      <c r="BU54" s="44">
        <f t="shared" si="132"/>
        <v>183.9825404</v>
      </c>
      <c r="BV54" s="194" t="s">
        <v>17</v>
      </c>
      <c r="BW54" s="137">
        <f t="shared" si="149"/>
        <v>0</v>
      </c>
      <c r="BX54" s="137">
        <f t="shared" si="133"/>
        <v>0</v>
      </c>
      <c r="BY54" s="137">
        <f t="shared" si="134"/>
        <v>0</v>
      </c>
      <c r="BZ54" s="137">
        <f t="shared" si="135"/>
        <v>0</v>
      </c>
      <c r="CA54" s="137">
        <f t="shared" si="136"/>
        <v>0</v>
      </c>
      <c r="CB54" s="137">
        <f t="shared" si="137"/>
        <v>124.30412836970474</v>
      </c>
      <c r="CC54" s="203">
        <f t="shared" si="138"/>
        <v>124.30412836970474</v>
      </c>
      <c r="CE54" s="135" t="s">
        <v>17</v>
      </c>
      <c r="CF54" s="44">
        <f t="shared" si="150"/>
        <v>0</v>
      </c>
      <c r="CG54" s="44">
        <f t="shared" si="151"/>
        <v>0</v>
      </c>
      <c r="CH54" s="44">
        <f t="shared" si="152"/>
        <v>0</v>
      </c>
      <c r="CI54" s="44">
        <f t="shared" si="153"/>
        <v>148.01</v>
      </c>
      <c r="CJ54" s="259">
        <f t="shared" si="154"/>
        <v>148.01</v>
      </c>
      <c r="CL54" s="44">
        <f t="shared" si="155"/>
        <v>0</v>
      </c>
      <c r="CM54" s="44">
        <f t="shared" si="156"/>
        <v>0</v>
      </c>
      <c r="CN54" s="44">
        <f t="shared" si="157"/>
        <v>0</v>
      </c>
      <c r="CO54" s="44">
        <f t="shared" si="158"/>
        <v>18398254.039999999</v>
      </c>
      <c r="CP54" s="261">
        <f t="shared" si="159"/>
        <v>18398254.039999999</v>
      </c>
      <c r="CR54" s="132">
        <f t="shared" si="160"/>
        <v>0</v>
      </c>
      <c r="CS54" s="132">
        <f t="shared" si="139"/>
        <v>0</v>
      </c>
      <c r="CT54" s="132">
        <f t="shared" si="140"/>
        <v>0</v>
      </c>
      <c r="CU54" s="132">
        <f t="shared" si="141"/>
        <v>124.30412836970474</v>
      </c>
      <c r="CV54" s="269">
        <f t="shared" si="142"/>
        <v>124.30412836970474</v>
      </c>
    </row>
    <row r="55" spans="2:100">
      <c r="B55" s="194" t="s">
        <v>24</v>
      </c>
      <c r="C55" s="138">
        <f>'Imports 2016-17'!$E$32</f>
        <v>0</v>
      </c>
      <c r="D55" s="138">
        <f>'Imports 2016-17'!$E$48</f>
        <v>0</v>
      </c>
      <c r="E55" s="138">
        <f>'Imports 2016-17'!$E$64</f>
        <v>0</v>
      </c>
      <c r="F55" s="138">
        <f>'Imports 2016-17'!$E$80</f>
        <v>0</v>
      </c>
      <c r="G55" s="138">
        <f>'Imports 2016-17'!$E$96</f>
        <v>0</v>
      </c>
      <c r="H55" s="138">
        <f>'Imports 2016-17'!$E$112</f>
        <v>0</v>
      </c>
      <c r="I55" s="206">
        <f t="shared" si="129"/>
        <v>0</v>
      </c>
      <c r="J55" s="44">
        <f t="shared" si="143"/>
        <v>0</v>
      </c>
      <c r="K55" s="194" t="s">
        <v>24</v>
      </c>
      <c r="L55" s="138">
        <f>'Imports 2016-17'!$T$32</f>
        <v>0</v>
      </c>
      <c r="M55" s="138">
        <f>'Imports 2016-17'!$T$48</f>
        <v>0</v>
      </c>
      <c r="N55" s="138">
        <f>'Imports 2016-17'!$T$64</f>
        <v>0</v>
      </c>
      <c r="O55" s="138">
        <f>'Imports 2016-17'!$T$80</f>
        <v>0</v>
      </c>
      <c r="P55" s="138">
        <f>'Imports 2016-17'!$T$96</f>
        <v>0</v>
      </c>
      <c r="Q55" s="138">
        <f>'Imports 2016-17'!$T$112</f>
        <v>0</v>
      </c>
      <c r="R55" s="198">
        <f t="shared" si="130"/>
        <v>0</v>
      </c>
      <c r="T55" s="194" t="s">
        <v>24</v>
      </c>
      <c r="U55" s="138">
        <f>'Imports 2016-17'!$AI$32</f>
        <v>0</v>
      </c>
      <c r="V55" s="138">
        <f>'Imports 2016-17'!$AI$48</f>
        <v>0</v>
      </c>
      <c r="W55" s="138">
        <f>'Imports 2016-17'!$AI$64</f>
        <v>0</v>
      </c>
      <c r="X55" s="138">
        <f>'Imports 2016-17'!$AI$80</f>
        <v>0</v>
      </c>
      <c r="Y55" s="138">
        <f>'Imports 2016-17'!$AI$96</f>
        <v>0</v>
      </c>
      <c r="Z55" s="138">
        <f>'Imports 2016-17'!$AI$112</f>
        <v>0</v>
      </c>
      <c r="AA55" s="198">
        <f t="shared" si="131"/>
        <v>0</v>
      </c>
      <c r="AB55" s="198"/>
      <c r="AC55" s="194" t="s">
        <v>24</v>
      </c>
      <c r="AD55" s="138">
        <f t="shared" ref="AD55:AD64" si="161">IF(U55&lt;=0,0,U55/C55)</f>
        <v>0</v>
      </c>
      <c r="AE55" s="138">
        <f t="shared" ref="AE55:AE64" si="162">IF(V55&lt;=0,0,V55/D55)</f>
        <v>0</v>
      </c>
      <c r="AF55" s="138">
        <f t="shared" ref="AF55:AF64" si="163">IF(W55&lt;=0,0,W55/E55)</f>
        <v>0</v>
      </c>
      <c r="AG55" s="138">
        <f t="shared" si="145"/>
        <v>0</v>
      </c>
      <c r="AH55" s="138">
        <f t="shared" si="146"/>
        <v>0</v>
      </c>
      <c r="AI55" s="198">
        <f t="shared" si="147"/>
        <v>0</v>
      </c>
      <c r="AJ55" s="198"/>
      <c r="AK55" s="230"/>
      <c r="AL55" s="194"/>
      <c r="AM55" s="194" t="s">
        <v>24</v>
      </c>
      <c r="AN55" s="138"/>
      <c r="AO55" s="138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206">
        <f t="shared" si="148"/>
        <v>0</v>
      </c>
      <c r="BA55" s="45"/>
      <c r="BB55" s="194" t="s">
        <v>24</v>
      </c>
      <c r="BC55" s="138"/>
      <c r="BD55" s="138"/>
      <c r="BE55" s="138"/>
      <c r="BF55" s="138"/>
      <c r="BG55" s="138"/>
      <c r="BH55" s="138"/>
      <c r="BI55" s="138"/>
      <c r="BJ55" s="138"/>
      <c r="BK55" s="138"/>
      <c r="BL55" s="138"/>
      <c r="BM55" s="138"/>
      <c r="BN55" s="138"/>
      <c r="BO55" s="206">
        <f t="shared" ref="BO55:BO63" si="164">SUM(BC55:BN55)</f>
        <v>0</v>
      </c>
      <c r="BU55" s="44">
        <f t="shared" si="132"/>
        <v>0</v>
      </c>
      <c r="BV55" s="194" t="s">
        <v>24</v>
      </c>
      <c r="BW55" s="137">
        <f t="shared" si="149"/>
        <v>0</v>
      </c>
      <c r="BX55" s="137">
        <f t="shared" si="133"/>
        <v>0</v>
      </c>
      <c r="BY55" s="137">
        <f t="shared" si="134"/>
        <v>0</v>
      </c>
      <c r="BZ55" s="137">
        <f t="shared" si="135"/>
        <v>0</v>
      </c>
      <c r="CA55" s="137">
        <f t="shared" si="136"/>
        <v>0</v>
      </c>
      <c r="CB55" s="137">
        <f t="shared" si="137"/>
        <v>0</v>
      </c>
      <c r="CC55" s="203">
        <f t="shared" si="138"/>
        <v>0</v>
      </c>
      <c r="CE55" s="135" t="s">
        <v>24</v>
      </c>
      <c r="CF55" s="44">
        <f t="shared" si="150"/>
        <v>0</v>
      </c>
      <c r="CG55" s="44">
        <f t="shared" si="151"/>
        <v>0</v>
      </c>
      <c r="CH55" s="44">
        <f t="shared" si="152"/>
        <v>0</v>
      </c>
      <c r="CI55" s="44">
        <f t="shared" si="153"/>
        <v>0</v>
      </c>
      <c r="CJ55" s="259">
        <f t="shared" si="154"/>
        <v>0</v>
      </c>
      <c r="CL55" s="44">
        <f t="shared" si="155"/>
        <v>0</v>
      </c>
      <c r="CM55" s="44">
        <f t="shared" si="156"/>
        <v>0</v>
      </c>
      <c r="CN55" s="44">
        <f t="shared" si="157"/>
        <v>0</v>
      </c>
      <c r="CO55" s="44">
        <f t="shared" si="158"/>
        <v>0</v>
      </c>
      <c r="CP55" s="261">
        <f t="shared" si="159"/>
        <v>0</v>
      </c>
      <c r="CR55" s="132">
        <f t="shared" si="160"/>
        <v>0</v>
      </c>
      <c r="CS55" s="132">
        <f t="shared" si="139"/>
        <v>0</v>
      </c>
      <c r="CT55" s="132">
        <f t="shared" si="140"/>
        <v>0</v>
      </c>
      <c r="CU55" s="132">
        <f t="shared" si="141"/>
        <v>0</v>
      </c>
      <c r="CV55" s="269">
        <f t="shared" si="142"/>
        <v>0</v>
      </c>
    </row>
    <row r="56" spans="2:100">
      <c r="B56" s="194" t="s">
        <v>10</v>
      </c>
      <c r="C56" s="138">
        <f>'Imports 2016-17'!$F$32</f>
        <v>3.57</v>
      </c>
      <c r="D56" s="138">
        <f>'Imports 2016-17'!$F$48</f>
        <v>451.4</v>
      </c>
      <c r="E56" s="138">
        <f>'Imports 2016-17'!$F$64</f>
        <v>0</v>
      </c>
      <c r="F56" s="138">
        <f>'Imports 2016-17'!$F$80</f>
        <v>18.64</v>
      </c>
      <c r="G56" s="138">
        <f>'Imports 2016-17'!$F$96</f>
        <v>0</v>
      </c>
      <c r="H56" s="138">
        <f>'Imports 2016-17'!$F$112</f>
        <v>305.66000000000003</v>
      </c>
      <c r="I56" s="206">
        <f t="shared" si="129"/>
        <v>779.27</v>
      </c>
      <c r="J56" s="44">
        <f t="shared" si="143"/>
        <v>752.7609559</v>
      </c>
      <c r="K56" s="194" t="s">
        <v>10</v>
      </c>
      <c r="L56" s="138">
        <f>'Imports 2016-17'!$U$32</f>
        <v>473426.61</v>
      </c>
      <c r="M56" s="138">
        <f>'Imports 2016-17'!$U$48</f>
        <v>40816198.369999997</v>
      </c>
      <c r="N56" s="138">
        <f>'Imports 2016-17'!$U$64</f>
        <v>0</v>
      </c>
      <c r="O56" s="138">
        <f>'Imports 2016-17'!$U$80</f>
        <v>2375326.89</v>
      </c>
      <c r="P56" s="138">
        <f>'Imports 2016-17'!$U$96</f>
        <v>0</v>
      </c>
      <c r="Q56" s="138">
        <f>'Imports 2016-17'!$U$112</f>
        <v>31611143.719999999</v>
      </c>
      <c r="R56" s="198">
        <f t="shared" si="130"/>
        <v>75276095.590000004</v>
      </c>
      <c r="T56" s="194" t="s">
        <v>10</v>
      </c>
      <c r="U56" s="138">
        <f>'Imports 2016-17'!$AJ$32</f>
        <v>6987.8466420664208</v>
      </c>
      <c r="V56" s="138">
        <f>'Imports 2016-17'!$AJ$48</f>
        <v>602535.48683090275</v>
      </c>
      <c r="W56" s="138">
        <f>'Imports 2016-17'!$AJ$64</f>
        <v>0</v>
      </c>
      <c r="X56" s="138">
        <f>'Imports 2016-17'!$AJ$80</f>
        <v>34828.840029325511</v>
      </c>
      <c r="Y56" s="138">
        <f>'Imports 2016-17'!$AJ$96</f>
        <v>0</v>
      </c>
      <c r="Z56" s="138">
        <f>'Imports 2016-17'!$AJ$112</f>
        <v>466319.67053661204</v>
      </c>
      <c r="AA56" s="198">
        <f t="shared" si="131"/>
        <v>1110671.8440389065</v>
      </c>
      <c r="AB56" s="198"/>
      <c r="AC56" s="194" t="s">
        <v>10</v>
      </c>
      <c r="AD56" s="138">
        <f t="shared" si="161"/>
        <v>1957.3800117833111</v>
      </c>
      <c r="AE56" s="138">
        <f t="shared" si="162"/>
        <v>1334.8149907640734</v>
      </c>
      <c r="AF56" s="138">
        <f t="shared" si="163"/>
        <v>0</v>
      </c>
      <c r="AG56" s="138">
        <f t="shared" si="145"/>
        <v>0</v>
      </c>
      <c r="AH56" s="138">
        <f t="shared" si="146"/>
        <v>1525.6156204168424</v>
      </c>
      <c r="AI56" s="198">
        <f t="shared" si="147"/>
        <v>1425.2721701578484</v>
      </c>
      <c r="AJ56" s="198"/>
      <c r="AK56" s="230"/>
      <c r="AL56" s="194"/>
      <c r="AM56" s="194" t="s">
        <v>10</v>
      </c>
      <c r="AN56" s="138"/>
      <c r="AO56" s="138"/>
      <c r="AP56" s="138"/>
      <c r="AQ56" s="138"/>
      <c r="AR56" s="138">
        <v>261.34999999999997</v>
      </c>
      <c r="AS56" s="138"/>
      <c r="AT56" s="138"/>
      <c r="AU56" s="138"/>
      <c r="AV56" s="138"/>
      <c r="AW56" s="138"/>
      <c r="AX56" s="138"/>
      <c r="AY56" s="138"/>
      <c r="AZ56" s="206">
        <f t="shared" si="148"/>
        <v>261.34999999999997</v>
      </c>
      <c r="BA56" s="45"/>
      <c r="BB56" s="194" t="s">
        <v>10</v>
      </c>
      <c r="BC56" s="138"/>
      <c r="BD56" s="138"/>
      <c r="BE56" s="138"/>
      <c r="BF56" s="138"/>
      <c r="BG56" s="138">
        <v>24166310.490000002</v>
      </c>
      <c r="BH56" s="138"/>
      <c r="BI56" s="138"/>
      <c r="BJ56" s="138"/>
      <c r="BK56" s="138"/>
      <c r="BL56" s="138"/>
      <c r="BM56" s="138"/>
      <c r="BN56" s="138"/>
      <c r="BO56" s="206">
        <f t="shared" si="164"/>
        <v>24166310.490000002</v>
      </c>
      <c r="BU56" s="44">
        <f t="shared" si="132"/>
        <v>752.7609559</v>
      </c>
      <c r="BV56" s="194" t="s">
        <v>10</v>
      </c>
      <c r="BW56" s="137">
        <f t="shared" si="149"/>
        <v>132.61249579831932</v>
      </c>
      <c r="BX56" s="137">
        <f t="shared" si="133"/>
        <v>90.421352171023472</v>
      </c>
      <c r="BY56" s="137">
        <f t="shared" si="134"/>
        <v>0</v>
      </c>
      <c r="BZ56" s="137">
        <f t="shared" si="135"/>
        <v>127.43170010729614</v>
      </c>
      <c r="CA56" s="137">
        <f t="shared" si="136"/>
        <v>0</v>
      </c>
      <c r="CB56" s="137">
        <f t="shared" si="137"/>
        <v>103.41930157691552</v>
      </c>
      <c r="CC56" s="203">
        <f t="shared" si="138"/>
        <v>96.598220886214023</v>
      </c>
      <c r="CE56" s="135" t="s">
        <v>10</v>
      </c>
      <c r="CF56" s="44">
        <f t="shared" si="150"/>
        <v>451.4</v>
      </c>
      <c r="CG56" s="44">
        <f t="shared" si="151"/>
        <v>3.57</v>
      </c>
      <c r="CH56" s="44">
        <f t="shared" si="152"/>
        <v>0</v>
      </c>
      <c r="CI56" s="44">
        <f t="shared" si="153"/>
        <v>324.3</v>
      </c>
      <c r="CJ56" s="259">
        <f t="shared" si="154"/>
        <v>779.27</v>
      </c>
      <c r="CL56" s="44">
        <f t="shared" si="155"/>
        <v>40816198.369999997</v>
      </c>
      <c r="CM56" s="44">
        <f t="shared" si="156"/>
        <v>473426.61</v>
      </c>
      <c r="CN56" s="44">
        <f t="shared" si="157"/>
        <v>0</v>
      </c>
      <c r="CO56" s="44">
        <f t="shared" si="158"/>
        <v>33986470.609999999</v>
      </c>
      <c r="CP56" s="261">
        <f t="shared" si="159"/>
        <v>75276095.590000004</v>
      </c>
      <c r="CR56" s="132">
        <f t="shared" si="160"/>
        <v>90.421352171023472</v>
      </c>
      <c r="CS56" s="132">
        <f t="shared" si="139"/>
        <v>132.61249579831932</v>
      </c>
      <c r="CT56" s="132">
        <f t="shared" si="140"/>
        <v>0</v>
      </c>
      <c r="CU56" s="132">
        <f t="shared" si="141"/>
        <v>104.79947767499229</v>
      </c>
      <c r="CV56" s="269">
        <f t="shared" si="142"/>
        <v>96.598220886214023</v>
      </c>
    </row>
    <row r="57" spans="2:100">
      <c r="B57" s="194" t="s">
        <v>11</v>
      </c>
      <c r="C57" s="138">
        <f>'Imports 2016-17'!$G$32</f>
        <v>6050.24</v>
      </c>
      <c r="D57" s="138">
        <f>'Imports 2016-17'!$G$48</f>
        <v>6410.6799999999994</v>
      </c>
      <c r="E57" s="138">
        <f>'Imports 2016-17'!$G$64</f>
        <v>1441.55</v>
      </c>
      <c r="F57" s="138">
        <f>'Imports 2016-17'!$G$80</f>
        <v>36.590000000000003</v>
      </c>
      <c r="G57" s="138">
        <f>'Imports 2016-17'!$G$96</f>
        <v>287.78100000000001</v>
      </c>
      <c r="H57" s="138">
        <f>'Imports 2016-17'!$G$112</f>
        <v>69.602999999999994</v>
      </c>
      <c r="I57" s="206">
        <f t="shared" si="129"/>
        <v>14296.443999999998</v>
      </c>
      <c r="J57" s="44">
        <f t="shared" si="143"/>
        <v>15833.3845007</v>
      </c>
      <c r="K57" s="194" t="s">
        <v>11</v>
      </c>
      <c r="L57" s="138">
        <f>'Imports 2016-17'!$V$32</f>
        <v>609461193.84000003</v>
      </c>
      <c r="M57" s="138">
        <f>'Imports 2016-17'!$V$48</f>
        <v>755043223.57000005</v>
      </c>
      <c r="N57" s="138">
        <f>'Imports 2016-17'!$V$64</f>
        <v>186438201.31999999</v>
      </c>
      <c r="O57" s="138">
        <f>'Imports 2016-17'!$V$80</f>
        <v>4866650.54</v>
      </c>
      <c r="P57" s="138">
        <f>'Imports 2016-17'!$V$96</f>
        <v>21907135.989999998</v>
      </c>
      <c r="Q57" s="138">
        <f>'Imports 2016-17'!$V$112</f>
        <v>5622044.8100000005</v>
      </c>
      <c r="R57" s="198">
        <f t="shared" si="130"/>
        <v>1583338450.0699999</v>
      </c>
      <c r="T57" s="194" t="s">
        <v>11</v>
      </c>
      <c r="U57" s="138">
        <f>'Imports 2016-17'!$AK$32</f>
        <v>8989458.1107306983</v>
      </c>
      <c r="V57" s="138">
        <f>'Imports 2016-17'!$AK$48</f>
        <v>11126867.836024743</v>
      </c>
      <c r="W57" s="138">
        <f>'Imports 2016-17'!$AK$64</f>
        <v>2744132.3412348423</v>
      </c>
      <c r="X57" s="138">
        <f>'Imports 2016-17'!$AK$80</f>
        <v>71541.619332733273</v>
      </c>
      <c r="Y57" s="138">
        <f>'Imports 2016-17'!$AK$96</f>
        <v>321219.00278592372</v>
      </c>
      <c r="Z57" s="138">
        <f>'Imports 2016-17'!$AK$112</f>
        <v>82943.226188332555</v>
      </c>
      <c r="AA57" s="198">
        <f t="shared" si="131"/>
        <v>23336162.136297271</v>
      </c>
      <c r="AB57" s="198"/>
      <c r="AC57" s="194" t="s">
        <v>11</v>
      </c>
      <c r="AD57" s="138">
        <f t="shared" si="161"/>
        <v>1485.8019038469051</v>
      </c>
      <c r="AE57" s="138">
        <f t="shared" si="162"/>
        <v>1735.6766889042572</v>
      </c>
      <c r="AF57" s="138">
        <f t="shared" si="163"/>
        <v>1903.5984469736343</v>
      </c>
      <c r="AG57" s="138">
        <f t="shared" si="145"/>
        <v>1116.1925310771862</v>
      </c>
      <c r="AH57" s="138">
        <f t="shared" si="146"/>
        <v>1191.6616552207888</v>
      </c>
      <c r="AI57" s="198">
        <f t="shared" si="147"/>
        <v>1632.3053576327984</v>
      </c>
      <c r="AJ57" s="198"/>
      <c r="AK57" s="230"/>
      <c r="AL57" s="194"/>
      <c r="AM57" s="194" t="s">
        <v>11</v>
      </c>
      <c r="AN57" s="138">
        <v>97.5</v>
      </c>
      <c r="AO57" s="138"/>
      <c r="AP57" s="138"/>
      <c r="AQ57" s="138"/>
      <c r="AR57" s="138">
        <v>7074.2799999999979</v>
      </c>
      <c r="AS57" s="138"/>
      <c r="AT57" s="138"/>
      <c r="AU57" s="138"/>
      <c r="AV57" s="138"/>
      <c r="AW57" s="138"/>
      <c r="AX57" s="138">
        <v>414.85</v>
      </c>
      <c r="AY57" s="138"/>
      <c r="AZ57" s="206">
        <f t="shared" si="148"/>
        <v>7586.6299999999983</v>
      </c>
      <c r="BA57" s="45"/>
      <c r="BB57" s="194" t="s">
        <v>11</v>
      </c>
      <c r="BC57" s="138">
        <v>8834861.879999999</v>
      </c>
      <c r="BD57" s="138"/>
      <c r="BE57" s="138"/>
      <c r="BF57" s="138"/>
      <c r="BG57" s="138">
        <v>721227186.30999994</v>
      </c>
      <c r="BH57" s="138"/>
      <c r="BI57" s="138"/>
      <c r="BJ57" s="138"/>
      <c r="BK57" s="138"/>
      <c r="BL57" s="138"/>
      <c r="BM57" s="138">
        <v>44203100.75</v>
      </c>
      <c r="BN57" s="138"/>
      <c r="BO57" s="206">
        <f t="shared" si="164"/>
        <v>774265148.93999994</v>
      </c>
      <c r="BU57" s="44">
        <f t="shared" si="132"/>
        <v>15833.3845007</v>
      </c>
      <c r="BV57" s="194" t="s">
        <v>11</v>
      </c>
      <c r="BW57" s="137">
        <f t="shared" si="149"/>
        <v>100.73339137620988</v>
      </c>
      <c r="BX57" s="137">
        <f t="shared" si="133"/>
        <v>117.77896004324037</v>
      </c>
      <c r="BY57" s="137">
        <f t="shared" si="134"/>
        <v>129.33176186743435</v>
      </c>
      <c r="BZ57" s="137">
        <f t="shared" si="135"/>
        <v>133.00493413500956</v>
      </c>
      <c r="CA57" s="137">
        <f t="shared" si="136"/>
        <v>76.124330619464104</v>
      </c>
      <c r="CB57" s="137">
        <f t="shared" si="137"/>
        <v>80.773024294929826</v>
      </c>
      <c r="CC57" s="203">
        <f t="shared" si="138"/>
        <v>110.75050901259083</v>
      </c>
      <c r="CE57" s="135" t="s">
        <v>11</v>
      </c>
      <c r="CF57" s="44">
        <f t="shared" si="150"/>
        <v>6410.6799999999994</v>
      </c>
      <c r="CG57" s="44">
        <f t="shared" si="151"/>
        <v>6050.24</v>
      </c>
      <c r="CH57" s="44">
        <f t="shared" si="152"/>
        <v>1441.55</v>
      </c>
      <c r="CI57" s="44">
        <f t="shared" si="153"/>
        <v>393.97399999999999</v>
      </c>
      <c r="CJ57" s="259">
        <f t="shared" si="154"/>
        <v>14296.443999999998</v>
      </c>
      <c r="CL57" s="44">
        <f t="shared" si="155"/>
        <v>755043223.57000005</v>
      </c>
      <c r="CM57" s="44">
        <f t="shared" si="156"/>
        <v>609461193.84000003</v>
      </c>
      <c r="CN57" s="44">
        <f t="shared" si="157"/>
        <v>186438201.31999999</v>
      </c>
      <c r="CO57" s="44">
        <f t="shared" si="158"/>
        <v>32395831.339999996</v>
      </c>
      <c r="CP57" s="261">
        <f t="shared" si="159"/>
        <v>1583338450.0699999</v>
      </c>
      <c r="CR57" s="132">
        <f t="shared" si="160"/>
        <v>117.77896004324037</v>
      </c>
      <c r="CS57" s="132">
        <f t="shared" si="139"/>
        <v>100.73339137620988</v>
      </c>
      <c r="CT57" s="132">
        <f t="shared" si="140"/>
        <v>129.33176186743435</v>
      </c>
      <c r="CU57" s="132">
        <f t="shared" si="141"/>
        <v>82.228348418931191</v>
      </c>
      <c r="CV57" s="269">
        <f t="shared" si="142"/>
        <v>110.75050901259083</v>
      </c>
    </row>
    <row r="58" spans="2:100">
      <c r="B58" s="194" t="s">
        <v>12</v>
      </c>
      <c r="C58" s="138">
        <f>'Imports 2016-17'!$H$32</f>
        <v>6792.11</v>
      </c>
      <c r="D58" s="138">
        <f>'Imports 2016-17'!$H$48</f>
        <v>0</v>
      </c>
      <c r="E58" s="138">
        <f>'Imports 2016-17'!$H$64</f>
        <v>3585.73</v>
      </c>
      <c r="F58" s="138">
        <f>'Imports 2016-17'!$H$80</f>
        <v>0</v>
      </c>
      <c r="G58" s="138">
        <f>'Imports 2016-17'!$H$96</f>
        <v>0</v>
      </c>
      <c r="H58" s="138">
        <f>'Imports 2016-17'!$H$112</f>
        <v>0</v>
      </c>
      <c r="I58" s="206">
        <f t="shared" si="129"/>
        <v>10377.84</v>
      </c>
      <c r="J58" s="44">
        <f t="shared" si="143"/>
        <v>13398.520929299999</v>
      </c>
      <c r="K58" s="194" t="s">
        <v>12</v>
      </c>
      <c r="L58" s="138">
        <f>'Imports 2016-17'!$W$32</f>
        <v>868003559.40999997</v>
      </c>
      <c r="M58" s="138">
        <f>'Imports 2016-17'!$W$48</f>
        <v>0</v>
      </c>
      <c r="N58" s="138">
        <f>'Imports 2016-17'!$W$64</f>
        <v>471848533.51999998</v>
      </c>
      <c r="O58" s="138">
        <f>'Imports 2016-17'!$W$80</f>
        <v>0</v>
      </c>
      <c r="P58" s="138">
        <f>'Imports 2016-17'!$W$96</f>
        <v>0</v>
      </c>
      <c r="Q58" s="138">
        <f>'Imports 2016-17'!$W$112</f>
        <v>0</v>
      </c>
      <c r="R58" s="198">
        <f t="shared" si="130"/>
        <v>1339852092.9299998</v>
      </c>
      <c r="T58" s="194" t="s">
        <v>12</v>
      </c>
      <c r="U58" s="138">
        <f>'Imports 2016-17'!$AL$32</f>
        <v>12807263.200485677</v>
      </c>
      <c r="V58" s="138">
        <f>'Imports 2016-17'!$AL$48</f>
        <v>0</v>
      </c>
      <c r="W58" s="138">
        <f>'Imports 2016-17'!$AL$64</f>
        <v>6960004.9711763794</v>
      </c>
      <c r="X58" s="138">
        <f>'Imports 2016-17'!$AL$80</f>
        <v>0</v>
      </c>
      <c r="Y58" s="138">
        <f>'Imports 2016-17'!$AL$96</f>
        <v>0</v>
      </c>
      <c r="Z58" s="138">
        <f>'Imports 2016-17'!$AL$112</f>
        <v>0</v>
      </c>
      <c r="AA58" s="198">
        <f t="shared" si="131"/>
        <v>19767268.171662055</v>
      </c>
      <c r="AB58" s="198"/>
      <c r="AC58" s="194" t="s">
        <v>12</v>
      </c>
      <c r="AD58" s="138">
        <f t="shared" si="161"/>
        <v>1885.6089198328173</v>
      </c>
      <c r="AE58" s="138">
        <f t="shared" si="162"/>
        <v>0</v>
      </c>
      <c r="AF58" s="138">
        <f t="shared" si="163"/>
        <v>1941.0287364571172</v>
      </c>
      <c r="AG58" s="138">
        <f t="shared" si="145"/>
        <v>0</v>
      </c>
      <c r="AH58" s="138">
        <f t="shared" si="146"/>
        <v>0</v>
      </c>
      <c r="AI58" s="198">
        <f t="shared" si="147"/>
        <v>1904.7574612503233</v>
      </c>
      <c r="AJ58" s="198"/>
      <c r="AK58" s="230"/>
      <c r="AL58" s="194"/>
      <c r="AM58" s="194" t="s">
        <v>12</v>
      </c>
      <c r="AN58" s="138"/>
      <c r="AO58" s="138"/>
      <c r="AP58" s="138"/>
      <c r="AQ58" s="138"/>
      <c r="AR58" s="138">
        <v>3575.68</v>
      </c>
      <c r="AS58" s="138"/>
      <c r="AT58" s="138"/>
      <c r="AU58" s="138"/>
      <c r="AV58" s="138"/>
      <c r="AW58" s="138"/>
      <c r="AX58" s="138"/>
      <c r="AY58" s="138"/>
      <c r="AZ58" s="206">
        <f t="shared" si="148"/>
        <v>3575.68</v>
      </c>
      <c r="BA58" s="45"/>
      <c r="BB58" s="194" t="s">
        <v>12</v>
      </c>
      <c r="BC58" s="138"/>
      <c r="BD58" s="138"/>
      <c r="BE58" s="138"/>
      <c r="BF58" s="138"/>
      <c r="BG58" s="138">
        <v>390106468.95999998</v>
      </c>
      <c r="BH58" s="138"/>
      <c r="BI58" s="138"/>
      <c r="BJ58" s="138"/>
      <c r="BK58" s="138"/>
      <c r="BL58" s="138"/>
      <c r="BM58" s="138"/>
      <c r="BN58" s="138"/>
      <c r="BO58" s="206">
        <f t="shared" si="164"/>
        <v>390106468.95999998</v>
      </c>
      <c r="BU58" s="44">
        <f t="shared" si="132"/>
        <v>13398.520929299999</v>
      </c>
      <c r="BV58" s="194" t="s">
        <v>12</v>
      </c>
      <c r="BW58" s="137">
        <f t="shared" si="149"/>
        <v>127.79586305433804</v>
      </c>
      <c r="BX58" s="137">
        <f t="shared" si="133"/>
        <v>0</v>
      </c>
      <c r="BY58" s="137">
        <f t="shared" si="134"/>
        <v>131.59064779556743</v>
      </c>
      <c r="BZ58" s="137">
        <f t="shared" si="135"/>
        <v>0</v>
      </c>
      <c r="CA58" s="137">
        <f t="shared" si="136"/>
        <v>0</v>
      </c>
      <c r="CB58" s="137">
        <f t="shared" si="137"/>
        <v>0</v>
      </c>
      <c r="CC58" s="203">
        <f t="shared" si="138"/>
        <v>129.10702929800419</v>
      </c>
      <c r="CE58" s="135" t="s">
        <v>12</v>
      </c>
      <c r="CF58" s="44">
        <f t="shared" si="150"/>
        <v>0</v>
      </c>
      <c r="CG58" s="44">
        <f t="shared" si="151"/>
        <v>6792.11</v>
      </c>
      <c r="CH58" s="44">
        <f t="shared" si="152"/>
        <v>3585.73</v>
      </c>
      <c r="CI58" s="44">
        <f t="shared" si="153"/>
        <v>0</v>
      </c>
      <c r="CJ58" s="259">
        <f t="shared" si="154"/>
        <v>10377.84</v>
      </c>
      <c r="CL58" s="44">
        <f t="shared" si="155"/>
        <v>0</v>
      </c>
      <c r="CM58" s="44">
        <f t="shared" si="156"/>
        <v>868003559.40999997</v>
      </c>
      <c r="CN58" s="44">
        <f t="shared" si="157"/>
        <v>471848533.51999998</v>
      </c>
      <c r="CO58" s="44">
        <f t="shared" si="158"/>
        <v>0</v>
      </c>
      <c r="CP58" s="261">
        <f t="shared" si="159"/>
        <v>1339852092.9299998</v>
      </c>
      <c r="CR58" s="132">
        <f t="shared" si="160"/>
        <v>0</v>
      </c>
      <c r="CS58" s="132">
        <f t="shared" si="139"/>
        <v>127.79586305433804</v>
      </c>
      <c r="CT58" s="132">
        <f t="shared" si="140"/>
        <v>131.59064779556743</v>
      </c>
      <c r="CU58" s="132">
        <f t="shared" si="141"/>
        <v>0</v>
      </c>
      <c r="CV58" s="269">
        <f t="shared" si="142"/>
        <v>129.10702929800419</v>
      </c>
    </row>
    <row r="59" spans="2:100">
      <c r="B59" s="194" t="s">
        <v>13</v>
      </c>
      <c r="C59" s="138">
        <f>'Imports 2016-17'!$I$32</f>
        <v>938.08</v>
      </c>
      <c r="D59" s="138">
        <f>'Imports 2016-17'!$I$48</f>
        <v>0</v>
      </c>
      <c r="E59" s="138">
        <f>'Imports 2016-17'!$I$64</f>
        <v>98.65</v>
      </c>
      <c r="F59" s="138">
        <f>'Imports 2016-17'!$I$80</f>
        <v>0</v>
      </c>
      <c r="G59" s="138">
        <f>'Imports 2016-17'!$I$96</f>
        <v>0</v>
      </c>
      <c r="H59" s="138">
        <f>'Imports 2016-17'!$I$112</f>
        <v>0</v>
      </c>
      <c r="I59" s="206">
        <f t="shared" si="129"/>
        <v>1036.73</v>
      </c>
      <c r="J59" s="44">
        <f t="shared" si="143"/>
        <v>1278.1394647</v>
      </c>
      <c r="K59" s="194" t="s">
        <v>13</v>
      </c>
      <c r="L59" s="138">
        <f>'Imports 2016-17'!$X$32</f>
        <v>116747457.38</v>
      </c>
      <c r="M59" s="138">
        <f>'Imports 2016-17'!$X$48</f>
        <v>0</v>
      </c>
      <c r="N59" s="138">
        <f>'Imports 2016-17'!$X$64</f>
        <v>11066489.09</v>
      </c>
      <c r="O59" s="138">
        <f>'Imports 2016-17'!$X$80</f>
        <v>0</v>
      </c>
      <c r="P59" s="138">
        <f>'Imports 2016-17'!$X$96</f>
        <v>0</v>
      </c>
      <c r="Q59" s="138">
        <f>'Imports 2016-17'!$X$112</f>
        <v>0</v>
      </c>
      <c r="R59" s="198">
        <f t="shared" si="130"/>
        <v>127813946.47</v>
      </c>
      <c r="T59" s="194" t="s">
        <v>13</v>
      </c>
      <c r="U59" s="138">
        <f>'Imports 2016-17'!$AM$32</f>
        <v>1723454.6786909939</v>
      </c>
      <c r="V59" s="138">
        <f>'Imports 2016-17'!$AM$48</f>
        <v>0</v>
      </c>
      <c r="W59" s="138">
        <f>'Imports 2016-17'!$AM$64</f>
        <v>164433.48028328893</v>
      </c>
      <c r="X59" s="138">
        <f>'Imports 2016-17'!$AM$80</f>
        <v>0</v>
      </c>
      <c r="Y59" s="138">
        <f>'Imports 2016-17'!$AM$96</f>
        <v>0</v>
      </c>
      <c r="Z59" s="138">
        <f>'Imports 2016-17'!$AM$112</f>
        <v>0</v>
      </c>
      <c r="AA59" s="198">
        <f t="shared" si="131"/>
        <v>1887888.1589742829</v>
      </c>
      <c r="AB59" s="198"/>
      <c r="AC59" s="194" t="s">
        <v>13</v>
      </c>
      <c r="AD59" s="138">
        <f t="shared" si="161"/>
        <v>1837.2150335696251</v>
      </c>
      <c r="AE59" s="138">
        <f t="shared" si="162"/>
        <v>0</v>
      </c>
      <c r="AF59" s="138">
        <f t="shared" si="163"/>
        <v>1666.8371037332886</v>
      </c>
      <c r="AG59" s="138">
        <f t="shared" si="145"/>
        <v>0</v>
      </c>
      <c r="AH59" s="138">
        <f t="shared" si="146"/>
        <v>0</v>
      </c>
      <c r="AI59" s="198">
        <f t="shared" si="147"/>
        <v>1821.0027287473913</v>
      </c>
      <c r="AJ59" s="198"/>
      <c r="AK59" s="230"/>
      <c r="AL59" s="194"/>
      <c r="AM59" s="194" t="s">
        <v>13</v>
      </c>
      <c r="AN59" s="138"/>
      <c r="AO59" s="138"/>
      <c r="AP59" s="138"/>
      <c r="AQ59" s="138"/>
      <c r="AR59" s="138">
        <v>293.83000000000004</v>
      </c>
      <c r="AS59" s="138"/>
      <c r="AT59" s="138"/>
      <c r="AU59" s="138"/>
      <c r="AV59" s="138"/>
      <c r="AW59" s="138"/>
      <c r="AX59" s="138"/>
      <c r="AY59" s="138"/>
      <c r="AZ59" s="206">
        <f t="shared" si="148"/>
        <v>293.83000000000004</v>
      </c>
      <c r="BA59" s="45"/>
      <c r="BB59" s="194" t="s">
        <v>13</v>
      </c>
      <c r="BC59" s="138"/>
      <c r="BD59" s="138"/>
      <c r="BE59" s="138"/>
      <c r="BF59" s="138"/>
      <c r="BG59" s="138">
        <v>29643533.689999998</v>
      </c>
      <c r="BH59" s="138"/>
      <c r="BI59" s="138"/>
      <c r="BJ59" s="138"/>
      <c r="BK59" s="138"/>
      <c r="BL59" s="138"/>
      <c r="BM59" s="138"/>
      <c r="BN59" s="138"/>
      <c r="BO59" s="206">
        <f t="shared" si="164"/>
        <v>29643533.689999998</v>
      </c>
      <c r="BU59" s="44">
        <f t="shared" si="132"/>
        <v>1278.1394647</v>
      </c>
      <c r="BV59" s="194" t="s">
        <v>13</v>
      </c>
      <c r="BW59" s="137">
        <f t="shared" si="149"/>
        <v>124.45362589544601</v>
      </c>
      <c r="BX59" s="137">
        <f t="shared" si="133"/>
        <v>0</v>
      </c>
      <c r="BY59" s="137">
        <f t="shared" si="134"/>
        <v>112.17931160669032</v>
      </c>
      <c r="BZ59" s="137">
        <f t="shared" si="135"/>
        <v>0</v>
      </c>
      <c r="CA59" s="137">
        <f t="shared" si="136"/>
        <v>0</v>
      </c>
      <c r="CB59" s="137">
        <f t="shared" si="137"/>
        <v>0</v>
      </c>
      <c r="CC59" s="203">
        <f t="shared" si="138"/>
        <v>123.28566403017179</v>
      </c>
      <c r="CE59" s="135" t="s">
        <v>13</v>
      </c>
      <c r="CF59" s="44">
        <f t="shared" si="150"/>
        <v>0</v>
      </c>
      <c r="CG59" s="44">
        <f t="shared" si="151"/>
        <v>938.08</v>
      </c>
      <c r="CH59" s="44">
        <f t="shared" si="152"/>
        <v>98.65</v>
      </c>
      <c r="CI59" s="44">
        <f t="shared" si="153"/>
        <v>0</v>
      </c>
      <c r="CJ59" s="259">
        <f t="shared" si="154"/>
        <v>1036.73</v>
      </c>
      <c r="CL59" s="44">
        <f t="shared" si="155"/>
        <v>0</v>
      </c>
      <c r="CM59" s="44">
        <f t="shared" si="156"/>
        <v>116747457.38</v>
      </c>
      <c r="CN59" s="44">
        <f t="shared" si="157"/>
        <v>11066489.09</v>
      </c>
      <c r="CO59" s="44">
        <f t="shared" si="158"/>
        <v>0</v>
      </c>
      <c r="CP59" s="261">
        <f t="shared" si="159"/>
        <v>127813946.47</v>
      </c>
      <c r="CR59" s="132">
        <f t="shared" si="160"/>
        <v>0</v>
      </c>
      <c r="CS59" s="132">
        <f t="shared" si="139"/>
        <v>124.45362589544601</v>
      </c>
      <c r="CT59" s="132">
        <f t="shared" si="140"/>
        <v>112.17931160669032</v>
      </c>
      <c r="CU59" s="132">
        <f t="shared" si="141"/>
        <v>0</v>
      </c>
      <c r="CV59" s="269">
        <f t="shared" si="142"/>
        <v>123.28566403017179</v>
      </c>
    </row>
    <row r="60" spans="2:100">
      <c r="B60" s="194" t="s">
        <v>14</v>
      </c>
      <c r="C60" s="138">
        <f>'Imports 2016-17'!$J$32</f>
        <v>0</v>
      </c>
      <c r="D60" s="138">
        <f>'Imports 2016-17'!$J$48</f>
        <v>6.12</v>
      </c>
      <c r="E60" s="138">
        <f>'Imports 2016-17'!$J$64</f>
        <v>0</v>
      </c>
      <c r="F60" s="138">
        <f>'Imports 2016-17'!$J$80</f>
        <v>0</v>
      </c>
      <c r="G60" s="138">
        <f>'Imports 2016-17'!$J$96</f>
        <v>0</v>
      </c>
      <c r="H60" s="138">
        <f>'Imports 2016-17'!$J$112</f>
        <v>0</v>
      </c>
      <c r="I60" s="206">
        <f t="shared" si="129"/>
        <v>6.12</v>
      </c>
      <c r="J60" s="44">
        <f t="shared" si="143"/>
        <v>8.0939104999999998</v>
      </c>
      <c r="K60" s="194" t="s">
        <v>14</v>
      </c>
      <c r="L60" s="138">
        <f>'Imports 2016-17'!$Y$32</f>
        <v>0</v>
      </c>
      <c r="M60" s="138">
        <f>'Imports 2016-17'!$Y$48</f>
        <v>809391.05</v>
      </c>
      <c r="N60" s="138">
        <f>'Imports 2016-17'!$Y$64</f>
        <v>0</v>
      </c>
      <c r="O60" s="138">
        <f>'Imports 2016-17'!$Y$80</f>
        <v>0</v>
      </c>
      <c r="P60" s="138">
        <f>'Imports 2016-17'!$Y$96</f>
        <v>0</v>
      </c>
      <c r="Q60" s="138">
        <f>'Imports 2016-17'!$Y$112</f>
        <v>0</v>
      </c>
      <c r="R60" s="198">
        <f t="shared" si="130"/>
        <v>809391.05</v>
      </c>
      <c r="T60" s="194" t="s">
        <v>14</v>
      </c>
      <c r="U60" s="138">
        <f>'Imports 2016-17'!$AN$32</f>
        <v>0</v>
      </c>
      <c r="V60" s="138">
        <f>'Imports 2016-17'!$AN$48</f>
        <v>11867.903958944282</v>
      </c>
      <c r="W60" s="138">
        <f>'Imports 2016-17'!$AN$64</f>
        <v>0</v>
      </c>
      <c r="X60" s="138">
        <f>'Imports 2016-17'!$AN$80</f>
        <v>0</v>
      </c>
      <c r="Y60" s="138">
        <f>'Imports 2016-17'!$AN$96</f>
        <v>0</v>
      </c>
      <c r="Z60" s="138">
        <f>'Imports 2016-17'!$AN$112</f>
        <v>0</v>
      </c>
      <c r="AA60" s="198">
        <f t="shared" si="131"/>
        <v>11867.903958944282</v>
      </c>
      <c r="AB60" s="198"/>
      <c r="AC60" s="194" t="s">
        <v>14</v>
      </c>
      <c r="AD60" s="138">
        <f t="shared" si="161"/>
        <v>0</v>
      </c>
      <c r="AE60" s="138">
        <f t="shared" si="162"/>
        <v>1939.1999932915494</v>
      </c>
      <c r="AF60" s="138">
        <f t="shared" si="163"/>
        <v>0</v>
      </c>
      <c r="AG60" s="138">
        <f t="shared" si="145"/>
        <v>0</v>
      </c>
      <c r="AH60" s="138">
        <f t="shared" si="146"/>
        <v>0</v>
      </c>
      <c r="AI60" s="198">
        <f t="shared" si="147"/>
        <v>1939.1999932915494</v>
      </c>
      <c r="AJ60" s="198"/>
      <c r="AK60" s="230"/>
      <c r="AL60" s="194"/>
      <c r="AM60" s="194" t="s">
        <v>14</v>
      </c>
      <c r="AN60" s="138"/>
      <c r="AO60" s="138"/>
      <c r="AP60" s="138"/>
      <c r="AQ60" s="138"/>
      <c r="AR60" s="138">
        <v>2.42</v>
      </c>
      <c r="AS60" s="138"/>
      <c r="AT60" s="138"/>
      <c r="AU60" s="138"/>
      <c r="AV60" s="138"/>
      <c r="AW60" s="138"/>
      <c r="AX60" s="138"/>
      <c r="AY60" s="138"/>
      <c r="AZ60" s="206">
        <f t="shared" si="148"/>
        <v>2.42</v>
      </c>
      <c r="BA60" s="45"/>
      <c r="BB60" s="194" t="s">
        <v>14</v>
      </c>
      <c r="BC60" s="138"/>
      <c r="BD60" s="138"/>
      <c r="BE60" s="138"/>
      <c r="BF60" s="138"/>
      <c r="BG60" s="138">
        <v>1050306.78</v>
      </c>
      <c r="BH60" s="138"/>
      <c r="BI60" s="138"/>
      <c r="BJ60" s="138"/>
      <c r="BK60" s="138"/>
      <c r="BL60" s="138"/>
      <c r="BM60" s="138"/>
      <c r="BN60" s="138"/>
      <c r="BO60" s="206">
        <f t="shared" si="164"/>
        <v>1050306.78</v>
      </c>
      <c r="BU60" s="44">
        <f t="shared" si="132"/>
        <v>8.0939104999999998</v>
      </c>
      <c r="BV60" s="194" t="s">
        <v>14</v>
      </c>
      <c r="BW60" s="137">
        <f t="shared" si="149"/>
        <v>0</v>
      </c>
      <c r="BX60" s="137">
        <f t="shared" si="133"/>
        <v>132.25343954248365</v>
      </c>
      <c r="BY60" s="137">
        <f t="shared" si="134"/>
        <v>0</v>
      </c>
      <c r="BZ60" s="137">
        <f t="shared" si="135"/>
        <v>0</v>
      </c>
      <c r="CA60" s="137">
        <f t="shared" si="136"/>
        <v>0</v>
      </c>
      <c r="CB60" s="137">
        <f t="shared" si="137"/>
        <v>0</v>
      </c>
      <c r="CC60" s="203">
        <f t="shared" si="138"/>
        <v>132.25343954248365</v>
      </c>
      <c r="CE60" s="135" t="s">
        <v>14</v>
      </c>
      <c r="CF60" s="44">
        <f t="shared" si="150"/>
        <v>6.12</v>
      </c>
      <c r="CG60" s="44">
        <f t="shared" si="151"/>
        <v>0</v>
      </c>
      <c r="CH60" s="44">
        <f t="shared" si="152"/>
        <v>0</v>
      </c>
      <c r="CI60" s="44">
        <f t="shared" si="153"/>
        <v>0</v>
      </c>
      <c r="CJ60" s="259">
        <f t="shared" si="154"/>
        <v>6.12</v>
      </c>
      <c r="CL60" s="44">
        <f t="shared" si="155"/>
        <v>809391.05</v>
      </c>
      <c r="CM60" s="44">
        <f t="shared" si="156"/>
        <v>0</v>
      </c>
      <c r="CN60" s="44">
        <f t="shared" si="157"/>
        <v>0</v>
      </c>
      <c r="CO60" s="44">
        <f t="shared" si="158"/>
        <v>0</v>
      </c>
      <c r="CP60" s="261">
        <f t="shared" si="159"/>
        <v>809391.05</v>
      </c>
      <c r="CR60" s="132">
        <f t="shared" si="160"/>
        <v>132.25343954248365</v>
      </c>
      <c r="CS60" s="132">
        <f t="shared" si="139"/>
        <v>0</v>
      </c>
      <c r="CT60" s="132">
        <f t="shared" si="140"/>
        <v>0</v>
      </c>
      <c r="CU60" s="132">
        <f t="shared" si="141"/>
        <v>0</v>
      </c>
      <c r="CV60" s="269">
        <f t="shared" si="142"/>
        <v>132.25343954248365</v>
      </c>
    </row>
    <row r="61" spans="2:100">
      <c r="B61" s="194" t="s">
        <v>18</v>
      </c>
      <c r="C61" s="138">
        <f>'Imports 2016-17'!$K$32</f>
        <v>40.799999999999997</v>
      </c>
      <c r="D61" s="138">
        <f>'Imports 2016-17'!$K$48</f>
        <v>120</v>
      </c>
      <c r="E61" s="138">
        <f>'Imports 2016-17'!$K$64</f>
        <v>0</v>
      </c>
      <c r="F61" s="138">
        <f>'Imports 2016-17'!$K$80</f>
        <v>0</v>
      </c>
      <c r="G61" s="138">
        <f>'Imports 2016-17'!$K$96</f>
        <v>0</v>
      </c>
      <c r="H61" s="138">
        <f>'Imports 2016-17'!$K$112</f>
        <v>0</v>
      </c>
      <c r="I61" s="206">
        <f t="shared" si="129"/>
        <v>160.80000000000001</v>
      </c>
      <c r="J61" s="44">
        <f t="shared" si="143"/>
        <v>141.30401230000001</v>
      </c>
      <c r="K61" s="194" t="s">
        <v>18</v>
      </c>
      <c r="L61" s="138">
        <f>'Imports 2016-17'!$Z$32</f>
        <v>3754810.0900000003</v>
      </c>
      <c r="M61" s="138">
        <f>'Imports 2016-17'!$Z$48</f>
        <v>10375591.140000001</v>
      </c>
      <c r="N61" s="138">
        <f>'Imports 2016-17'!$Z$64</f>
        <v>0</v>
      </c>
      <c r="O61" s="138">
        <f>'Imports 2016-17'!$Z$80</f>
        <v>0</v>
      </c>
      <c r="P61" s="138">
        <f>'Imports 2016-17'!$Z$96</f>
        <v>0</v>
      </c>
      <c r="Q61" s="138">
        <f>'Imports 2016-17'!$Z$112</f>
        <v>0</v>
      </c>
      <c r="R61" s="198">
        <f t="shared" si="130"/>
        <v>14130401.23</v>
      </c>
      <c r="T61" s="194" t="s">
        <v>18</v>
      </c>
      <c r="U61" s="138">
        <f>'Imports 2016-17'!$AO$32</f>
        <v>55527.948833782444</v>
      </c>
      <c r="V61" s="138">
        <f>'Imports 2016-17'!$AO$48</f>
        <v>152937.93480150425</v>
      </c>
      <c r="W61" s="138">
        <f>'Imports 2016-17'!$AO$64</f>
        <v>0</v>
      </c>
      <c r="X61" s="138">
        <f>'Imports 2016-17'!$AO$80</f>
        <v>0</v>
      </c>
      <c r="Y61" s="138">
        <f>'Imports 2016-17'!$AO$96</f>
        <v>0</v>
      </c>
      <c r="Z61" s="138">
        <f>'Imports 2016-17'!$AO$112</f>
        <v>0</v>
      </c>
      <c r="AA61" s="198">
        <f t="shared" si="131"/>
        <v>208465.88363528671</v>
      </c>
      <c r="AB61" s="198"/>
      <c r="AC61" s="194" t="s">
        <v>18</v>
      </c>
      <c r="AD61" s="138">
        <f t="shared" si="161"/>
        <v>1360.9791380829031</v>
      </c>
      <c r="AE61" s="138">
        <f t="shared" si="162"/>
        <v>1274.4827900125354</v>
      </c>
      <c r="AF61" s="138">
        <f t="shared" si="163"/>
        <v>0</v>
      </c>
      <c r="AG61" s="138">
        <f t="shared" si="145"/>
        <v>0</v>
      </c>
      <c r="AH61" s="138">
        <f t="shared" si="146"/>
        <v>0</v>
      </c>
      <c r="AI61" s="198">
        <f t="shared" si="147"/>
        <v>1296.429624597554</v>
      </c>
      <c r="AJ61" s="198"/>
      <c r="AK61" s="230"/>
      <c r="AL61" s="194"/>
      <c r="AM61" s="194" t="s">
        <v>18</v>
      </c>
      <c r="AN61" s="138"/>
      <c r="AO61" s="138"/>
      <c r="AP61" s="138"/>
      <c r="AQ61" s="138"/>
      <c r="AR61" s="138">
        <v>26.475000000000001</v>
      </c>
      <c r="AS61" s="138"/>
      <c r="AT61" s="138"/>
      <c r="AU61" s="138"/>
      <c r="AV61" s="138"/>
      <c r="AW61" s="138"/>
      <c r="AX61" s="138"/>
      <c r="AY61" s="138"/>
      <c r="AZ61" s="206">
        <f t="shared" si="148"/>
        <v>26.475000000000001</v>
      </c>
      <c r="BA61" s="45"/>
      <c r="BB61" s="194" t="s">
        <v>18</v>
      </c>
      <c r="BC61" s="138"/>
      <c r="BD61" s="138"/>
      <c r="BE61" s="138"/>
      <c r="BF61" s="138"/>
      <c r="BG61" s="138">
        <v>4451739.4300000006</v>
      </c>
      <c r="BH61" s="138"/>
      <c r="BI61" s="138"/>
      <c r="BJ61" s="138"/>
      <c r="BK61" s="138"/>
      <c r="BL61" s="138"/>
      <c r="BM61" s="138"/>
      <c r="BN61" s="138"/>
      <c r="BO61" s="206">
        <f t="shared" si="164"/>
        <v>4451739.4300000006</v>
      </c>
      <c r="BU61" s="44">
        <f t="shared" si="132"/>
        <v>141.30401230000001</v>
      </c>
      <c r="BV61" s="194" t="s">
        <v>18</v>
      </c>
      <c r="BW61" s="137">
        <f t="shared" si="149"/>
        <v>92.029659068627467</v>
      </c>
      <c r="BX61" s="137">
        <f t="shared" si="133"/>
        <v>86.463259500000007</v>
      </c>
      <c r="BY61" s="137">
        <f t="shared" si="134"/>
        <v>0</v>
      </c>
      <c r="BZ61" s="137">
        <f t="shared" si="135"/>
        <v>0</v>
      </c>
      <c r="CA61" s="137">
        <f t="shared" si="136"/>
        <v>0</v>
      </c>
      <c r="CB61" s="137">
        <f t="shared" si="137"/>
        <v>0</v>
      </c>
      <c r="CC61" s="203">
        <f t="shared" si="138"/>
        <v>87.875629539800997</v>
      </c>
      <c r="CE61" s="135" t="s">
        <v>18</v>
      </c>
      <c r="CF61" s="44">
        <f t="shared" si="150"/>
        <v>120</v>
      </c>
      <c r="CG61" s="44">
        <f t="shared" si="151"/>
        <v>40.799999999999997</v>
      </c>
      <c r="CH61" s="44">
        <f t="shared" si="152"/>
        <v>0</v>
      </c>
      <c r="CI61" s="44">
        <f t="shared" si="153"/>
        <v>0</v>
      </c>
      <c r="CJ61" s="259">
        <f t="shared" si="154"/>
        <v>160.80000000000001</v>
      </c>
      <c r="CL61" s="44">
        <f t="shared" si="155"/>
        <v>10375591.140000001</v>
      </c>
      <c r="CM61" s="44">
        <f t="shared" si="156"/>
        <v>3754810.0900000003</v>
      </c>
      <c r="CN61" s="44">
        <f t="shared" si="157"/>
        <v>0</v>
      </c>
      <c r="CO61" s="44">
        <f t="shared" si="158"/>
        <v>0</v>
      </c>
      <c r="CP61" s="261">
        <f t="shared" si="159"/>
        <v>14130401.23</v>
      </c>
      <c r="CR61" s="132">
        <f t="shared" si="160"/>
        <v>86.463259500000007</v>
      </c>
      <c r="CS61" s="132">
        <f t="shared" si="139"/>
        <v>92.029659068627467</v>
      </c>
      <c r="CT61" s="132">
        <f t="shared" si="140"/>
        <v>0</v>
      </c>
      <c r="CU61" s="132">
        <f t="shared" si="141"/>
        <v>0</v>
      </c>
      <c r="CV61" s="269">
        <f t="shared" si="142"/>
        <v>87.875629539800997</v>
      </c>
    </row>
    <row r="62" spans="2:100">
      <c r="B62" s="194" t="s">
        <v>15</v>
      </c>
      <c r="C62" s="138">
        <f>'Imports 2016-17'!$L$32</f>
        <v>98.67</v>
      </c>
      <c r="D62" s="138">
        <f>'Imports 2016-17'!$L$48</f>
        <v>82.2</v>
      </c>
      <c r="E62" s="138">
        <f>'Imports 2016-17'!$L$64</f>
        <v>11.2</v>
      </c>
      <c r="F62" s="138">
        <f>'Imports 2016-17'!$L$80</f>
        <v>0</v>
      </c>
      <c r="G62" s="138">
        <f>'Imports 2016-17'!$L$96</f>
        <v>20</v>
      </c>
      <c r="H62" s="138">
        <f>'Imports 2016-17'!$L$112</f>
        <v>36.82</v>
      </c>
      <c r="I62" s="206">
        <f t="shared" si="129"/>
        <v>248.89</v>
      </c>
      <c r="J62" s="44">
        <f t="shared" si="143"/>
        <v>223.59885020000004</v>
      </c>
      <c r="K62" s="194" t="s">
        <v>15</v>
      </c>
      <c r="L62" s="138">
        <f>'Imports 2016-17'!$AA$32</f>
        <v>8387064.7400000002</v>
      </c>
      <c r="M62" s="138">
        <f>'Imports 2016-17'!$AA$48</f>
        <v>6667062.9299999997</v>
      </c>
      <c r="N62" s="138">
        <f>'Imports 2016-17'!$AA$64</f>
        <v>1039205.16</v>
      </c>
      <c r="O62" s="138">
        <f>'Imports 2016-17'!$AA$80</f>
        <v>0</v>
      </c>
      <c r="P62" s="138">
        <f>'Imports 2016-17'!$AA$96</f>
        <v>1685638.54</v>
      </c>
      <c r="Q62" s="138">
        <f>'Imports 2016-17'!$AA$112</f>
        <v>4580913.6500000004</v>
      </c>
      <c r="R62" s="198">
        <f t="shared" si="130"/>
        <v>22359885.020000003</v>
      </c>
      <c r="T62" s="194" t="s">
        <v>15</v>
      </c>
      <c r="U62" s="138">
        <f>'Imports 2016-17'!$AP$32</f>
        <v>123443.54075861085</v>
      </c>
      <c r="V62" s="138">
        <f>'Imports 2016-17'!$AP$48</f>
        <v>98357.197695517068</v>
      </c>
      <c r="W62" s="138">
        <f>'Imports 2016-17'!$AP$64</f>
        <v>15237.612316715542</v>
      </c>
      <c r="X62" s="138">
        <f>'Imports 2016-17'!$AP$80</f>
        <v>0</v>
      </c>
      <c r="Y62" s="138">
        <f>'Imports 2016-17'!$AP$96</f>
        <v>24743.721465262948</v>
      </c>
      <c r="Z62" s="138">
        <f>'Imports 2016-17'!$AP$112</f>
        <v>67647.321583356592</v>
      </c>
      <c r="AA62" s="198">
        <f t="shared" si="131"/>
        <v>329429.39381946297</v>
      </c>
      <c r="AB62" s="198"/>
      <c r="AC62" s="194" t="s">
        <v>15</v>
      </c>
      <c r="AD62" s="138">
        <f t="shared" si="161"/>
        <v>1251.0747011108831</v>
      </c>
      <c r="AE62" s="138">
        <f t="shared" si="162"/>
        <v>1196.5595826705239</v>
      </c>
      <c r="AF62" s="138">
        <f t="shared" si="163"/>
        <v>1360.501099706745</v>
      </c>
      <c r="AG62" s="138">
        <f t="shared" si="145"/>
        <v>1237.1860732631474</v>
      </c>
      <c r="AH62" s="138">
        <f t="shared" si="146"/>
        <v>1837.2439321932807</v>
      </c>
      <c r="AI62" s="198">
        <f t="shared" si="147"/>
        <v>1323.5943341213508</v>
      </c>
      <c r="AJ62" s="198"/>
      <c r="AK62" s="230"/>
      <c r="AL62" s="194"/>
      <c r="AM62" s="194" t="s">
        <v>15</v>
      </c>
      <c r="AN62" s="138"/>
      <c r="AO62" s="138"/>
      <c r="AP62" s="138"/>
      <c r="AQ62" s="138"/>
      <c r="AR62" s="138">
        <v>65.355000000000004</v>
      </c>
      <c r="AS62" s="138"/>
      <c r="AT62" s="138"/>
      <c r="AU62" s="138"/>
      <c r="AV62" s="138"/>
      <c r="AW62" s="138"/>
      <c r="AX62" s="138">
        <v>6</v>
      </c>
      <c r="AY62" s="138"/>
      <c r="AZ62" s="206">
        <f t="shared" si="148"/>
        <v>71.355000000000004</v>
      </c>
      <c r="BA62" s="45"/>
      <c r="BB62" s="194" t="s">
        <v>15</v>
      </c>
      <c r="BC62" s="138"/>
      <c r="BD62" s="138"/>
      <c r="BE62" s="138"/>
      <c r="BF62" s="138"/>
      <c r="BG62" s="138">
        <v>6886976.4900000002</v>
      </c>
      <c r="BH62" s="138"/>
      <c r="BI62" s="138"/>
      <c r="BJ62" s="138"/>
      <c r="BK62" s="138"/>
      <c r="BL62" s="138"/>
      <c r="BM62" s="138">
        <v>556717.05000000005</v>
      </c>
      <c r="BN62" s="138"/>
      <c r="BO62" s="206">
        <f t="shared" si="164"/>
        <v>7443693.54</v>
      </c>
      <c r="BU62" s="44">
        <f t="shared" si="132"/>
        <v>223.59885020000004</v>
      </c>
      <c r="BV62" s="194" t="s">
        <v>15</v>
      </c>
      <c r="BW62" s="137">
        <f t="shared" si="149"/>
        <v>85.001162866119387</v>
      </c>
      <c r="BX62" s="137">
        <f t="shared" si="133"/>
        <v>81.1078215328467</v>
      </c>
      <c r="BY62" s="137">
        <f t="shared" si="134"/>
        <v>92.786175</v>
      </c>
      <c r="BZ62" s="137">
        <f t="shared" si="135"/>
        <v>0</v>
      </c>
      <c r="CA62" s="137">
        <f t="shared" si="136"/>
        <v>84.281926999999996</v>
      </c>
      <c r="CB62" s="137">
        <f t="shared" si="137"/>
        <v>124.41373302552961</v>
      </c>
      <c r="CC62" s="203">
        <f t="shared" si="138"/>
        <v>89.838422676684502</v>
      </c>
      <c r="CE62" s="135" t="s">
        <v>15</v>
      </c>
      <c r="CF62" s="44">
        <f t="shared" si="150"/>
        <v>82.2</v>
      </c>
      <c r="CG62" s="44">
        <f t="shared" si="151"/>
        <v>98.67</v>
      </c>
      <c r="CH62" s="44">
        <f t="shared" si="152"/>
        <v>11.2</v>
      </c>
      <c r="CI62" s="44">
        <f t="shared" si="153"/>
        <v>56.82</v>
      </c>
      <c r="CJ62" s="259">
        <f t="shared" si="154"/>
        <v>248.89</v>
      </c>
      <c r="CL62" s="44">
        <f t="shared" si="155"/>
        <v>6667062.9299999997</v>
      </c>
      <c r="CM62" s="44">
        <f t="shared" si="156"/>
        <v>8387064.7400000002</v>
      </c>
      <c r="CN62" s="44">
        <f t="shared" si="157"/>
        <v>1039205.16</v>
      </c>
      <c r="CO62" s="44">
        <f t="shared" si="158"/>
        <v>6266552.1900000004</v>
      </c>
      <c r="CP62" s="261">
        <f t="shared" si="159"/>
        <v>22359885.02</v>
      </c>
      <c r="CR62" s="132">
        <f t="shared" si="160"/>
        <v>81.1078215328467</v>
      </c>
      <c r="CS62" s="132">
        <f t="shared" si="139"/>
        <v>85.001162866119387</v>
      </c>
      <c r="CT62" s="132">
        <f t="shared" si="140"/>
        <v>92.786175</v>
      </c>
      <c r="CU62" s="132">
        <f t="shared" si="141"/>
        <v>110.28778933474129</v>
      </c>
      <c r="CV62" s="269">
        <f t="shared" si="142"/>
        <v>89.838422676684473</v>
      </c>
    </row>
    <row r="63" spans="2:100" ht="12.75" thickBot="1">
      <c r="B63" s="194" t="s">
        <v>16</v>
      </c>
      <c r="C63" s="138">
        <f>'Imports 2016-17'!$M$32</f>
        <v>159.23999999999998</v>
      </c>
      <c r="D63" s="138">
        <f>'Imports 2016-17'!$M$48</f>
        <v>7.8</v>
      </c>
      <c r="E63" s="138">
        <f>'Imports 2016-17'!$M$64</f>
        <v>0</v>
      </c>
      <c r="F63" s="138">
        <f>'Imports 2016-17'!$M$80</f>
        <v>200.4</v>
      </c>
      <c r="G63" s="138">
        <f>'Imports 2016-17'!$M$96</f>
        <v>0</v>
      </c>
      <c r="H63" s="138">
        <f>'Imports 2016-17'!$M$112</f>
        <v>0</v>
      </c>
      <c r="I63" s="206">
        <f t="shared" si="129"/>
        <v>367.44</v>
      </c>
      <c r="J63" s="44">
        <f t="shared" si="143"/>
        <v>295.57865820000001</v>
      </c>
      <c r="K63" s="194" t="s">
        <v>16</v>
      </c>
      <c r="L63" s="138">
        <f>'Imports 2016-17'!$AB$32</f>
        <v>14323583.879999999</v>
      </c>
      <c r="M63" s="138">
        <f>'Imports 2016-17'!$AB$48</f>
        <v>645389.4</v>
      </c>
      <c r="N63" s="138">
        <f>'Imports 2016-17'!$AB$64</f>
        <v>0</v>
      </c>
      <c r="O63" s="138">
        <f>'Imports 2016-17'!$AB$80</f>
        <v>14588892.540000001</v>
      </c>
      <c r="P63" s="138">
        <f>'Imports 2016-17'!$AB$96</f>
        <v>0</v>
      </c>
      <c r="Q63" s="138">
        <f>'Imports 2016-17'!$AB$112</f>
        <v>0</v>
      </c>
      <c r="R63" s="198">
        <f t="shared" si="130"/>
        <v>29557865.82</v>
      </c>
      <c r="T63" s="194" t="s">
        <v>16</v>
      </c>
      <c r="U63" s="138">
        <f>'Imports 2016-17'!$AQ$32</f>
        <v>210949.64241751065</v>
      </c>
      <c r="V63" s="138">
        <f>'Imports 2016-17'!$AQ$48</f>
        <v>9484.0470242468782</v>
      </c>
      <c r="W63" s="138">
        <f>'Imports 2016-17'!$AQ$64</f>
        <v>0</v>
      </c>
      <c r="X63" s="138">
        <f>'Imports 2016-17'!$AQ$80</f>
        <v>216417.83447622298</v>
      </c>
      <c r="Y63" s="138">
        <f>'Imports 2016-17'!$AQ$96</f>
        <v>0</v>
      </c>
      <c r="Z63" s="138">
        <f>'Imports 2016-17'!AQ160</f>
        <v>0</v>
      </c>
      <c r="AA63" s="198">
        <f t="shared" si="131"/>
        <v>436851.52391798049</v>
      </c>
      <c r="AB63" s="198"/>
      <c r="AC63" s="194" t="s">
        <v>16</v>
      </c>
      <c r="AD63" s="138">
        <f t="shared" si="161"/>
        <v>1324.7277217879343</v>
      </c>
      <c r="AE63" s="138">
        <f t="shared" si="162"/>
        <v>1215.9034646470357</v>
      </c>
      <c r="AF63" s="138">
        <f t="shared" si="163"/>
        <v>0</v>
      </c>
      <c r="AG63" s="138">
        <f t="shared" si="145"/>
        <v>0</v>
      </c>
      <c r="AH63" s="138">
        <f t="shared" si="146"/>
        <v>0</v>
      </c>
      <c r="AI63" s="198">
        <f t="shared" si="147"/>
        <v>1188.9057367678547</v>
      </c>
      <c r="AJ63" s="198"/>
      <c r="AK63" s="230"/>
      <c r="AL63" s="194"/>
      <c r="AM63" s="194" t="s">
        <v>16</v>
      </c>
      <c r="AN63" s="138"/>
      <c r="AO63" s="138"/>
      <c r="AP63" s="138">
        <v>30</v>
      </c>
      <c r="AQ63" s="138"/>
      <c r="AR63" s="138">
        <v>124.23</v>
      </c>
      <c r="AS63" s="138"/>
      <c r="AT63" s="138"/>
      <c r="AU63" s="138"/>
      <c r="AV63" s="138"/>
      <c r="AW63" s="138"/>
      <c r="AX63" s="138">
        <v>45</v>
      </c>
      <c r="AY63" s="138"/>
      <c r="AZ63" s="206">
        <f t="shared" si="148"/>
        <v>199.23000000000002</v>
      </c>
      <c r="BA63" s="45"/>
      <c r="BB63" s="194" t="s">
        <v>16</v>
      </c>
      <c r="BC63" s="138"/>
      <c r="BD63" s="138"/>
      <c r="BE63" s="138">
        <v>2680489.5</v>
      </c>
      <c r="BF63" s="138"/>
      <c r="BG63" s="138">
        <v>10864077.25</v>
      </c>
      <c r="BH63" s="138"/>
      <c r="BI63" s="138"/>
      <c r="BJ63" s="138"/>
      <c r="BK63" s="138"/>
      <c r="BL63" s="138"/>
      <c r="BM63" s="138">
        <v>4300819.88</v>
      </c>
      <c r="BN63" s="138"/>
      <c r="BO63" s="206">
        <f t="shared" si="164"/>
        <v>17845386.629999999</v>
      </c>
      <c r="BU63" s="44">
        <f t="shared" si="132"/>
        <v>295.57865820000001</v>
      </c>
      <c r="BV63" s="194" t="s">
        <v>16</v>
      </c>
      <c r="BW63" s="137">
        <f t="shared" si="149"/>
        <v>89.949660135644308</v>
      </c>
      <c r="BX63" s="137">
        <f t="shared" si="133"/>
        <v>82.742230769230787</v>
      </c>
      <c r="BY63" s="137">
        <f t="shared" si="134"/>
        <v>0</v>
      </c>
      <c r="BZ63" s="137">
        <f t="shared" si="135"/>
        <v>72.798864970059881</v>
      </c>
      <c r="CA63" s="137">
        <f t="shared" si="136"/>
        <v>0</v>
      </c>
      <c r="CB63" s="137">
        <f t="shared" si="137"/>
        <v>0</v>
      </c>
      <c r="CC63" s="203">
        <f t="shared" si="138"/>
        <v>80.442700359242323</v>
      </c>
      <c r="CE63" s="135" t="s">
        <v>16</v>
      </c>
      <c r="CF63" s="44">
        <f t="shared" si="150"/>
        <v>7.8</v>
      </c>
      <c r="CG63" s="44">
        <f t="shared" si="151"/>
        <v>159.23999999999998</v>
      </c>
      <c r="CH63" s="44">
        <f t="shared" si="152"/>
        <v>0</v>
      </c>
      <c r="CI63" s="44">
        <f t="shared" si="153"/>
        <v>200.4</v>
      </c>
      <c r="CJ63" s="259">
        <f t="shared" si="154"/>
        <v>367.44</v>
      </c>
      <c r="CL63" s="44">
        <f t="shared" si="155"/>
        <v>645389.4</v>
      </c>
      <c r="CM63" s="44">
        <f t="shared" si="156"/>
        <v>14323583.879999999</v>
      </c>
      <c r="CN63" s="44">
        <f t="shared" si="157"/>
        <v>0</v>
      </c>
      <c r="CO63" s="44">
        <f t="shared" si="158"/>
        <v>14588892.540000001</v>
      </c>
      <c r="CP63" s="261">
        <f t="shared" si="159"/>
        <v>29557865.82</v>
      </c>
      <c r="CR63" s="132">
        <f t="shared" si="160"/>
        <v>82.742230769230787</v>
      </c>
      <c r="CS63" s="132">
        <f t="shared" si="139"/>
        <v>89.949660135644308</v>
      </c>
      <c r="CT63" s="132">
        <f t="shared" si="140"/>
        <v>0</v>
      </c>
      <c r="CU63" s="132">
        <f t="shared" si="141"/>
        <v>72.798864970059881</v>
      </c>
      <c r="CV63" s="269">
        <f t="shared" si="142"/>
        <v>80.442700359242323</v>
      </c>
    </row>
    <row r="64" spans="2:100" s="47" customFormat="1" ht="12.75" thickBot="1">
      <c r="B64" s="208" t="s">
        <v>20</v>
      </c>
      <c r="C64" s="209">
        <f t="shared" ref="C64:I64" si="165">SUM(C52:C63)</f>
        <v>14082.709999999997</v>
      </c>
      <c r="D64" s="209">
        <f t="shared" si="165"/>
        <v>7078.1999999999989</v>
      </c>
      <c r="E64" s="209">
        <f t="shared" si="165"/>
        <v>5137.1299999999992</v>
      </c>
      <c r="F64" s="209">
        <f t="shared" si="165"/>
        <v>255.63</v>
      </c>
      <c r="G64" s="209">
        <f t="shared" si="165"/>
        <v>307.78100000000001</v>
      </c>
      <c r="H64" s="209">
        <f t="shared" si="165"/>
        <v>560.09300000000007</v>
      </c>
      <c r="I64" s="211">
        <f t="shared" si="165"/>
        <v>27421.543999999994</v>
      </c>
      <c r="J64" s="44">
        <f t="shared" si="143"/>
        <v>32115.363822199997</v>
      </c>
      <c r="K64" s="208" t="s">
        <v>20</v>
      </c>
      <c r="L64" s="210">
        <f t="shared" ref="L64:R64" si="166">SUM(L52:L63)</f>
        <v>1621151095.9500003</v>
      </c>
      <c r="M64" s="210">
        <f t="shared" si="166"/>
        <v>814356856.45999992</v>
      </c>
      <c r="N64" s="210">
        <f t="shared" si="166"/>
        <v>670392429.08999991</v>
      </c>
      <c r="O64" s="210">
        <f t="shared" si="166"/>
        <v>21830869.969999999</v>
      </c>
      <c r="P64" s="210">
        <f t="shared" si="166"/>
        <v>23592774.529999997</v>
      </c>
      <c r="Q64" s="210">
        <f t="shared" si="166"/>
        <v>60212356.219999999</v>
      </c>
      <c r="R64" s="211">
        <f t="shared" si="166"/>
        <v>3211536382.2199998</v>
      </c>
      <c r="T64" s="208" t="s">
        <v>20</v>
      </c>
      <c r="U64" s="210">
        <f t="shared" ref="U64:Z64" si="167">SUM(U54:U63)</f>
        <v>23917084.968559332</v>
      </c>
      <c r="V64" s="210">
        <f t="shared" si="167"/>
        <v>12002050.406335859</v>
      </c>
      <c r="W64" s="210">
        <f t="shared" si="167"/>
        <v>9883808.4050112274</v>
      </c>
      <c r="X64" s="210">
        <f t="shared" si="167"/>
        <v>322788.29383828177</v>
      </c>
      <c r="Y64" s="210">
        <f t="shared" si="167"/>
        <v>345962.72425118665</v>
      </c>
      <c r="Z64" s="210">
        <f t="shared" si="167"/>
        <v>888330.90975923662</v>
      </c>
      <c r="AA64" s="211">
        <f t="shared" si="131"/>
        <v>47360025.707755134</v>
      </c>
      <c r="AB64" s="46"/>
      <c r="AC64" s="208" t="s">
        <v>20</v>
      </c>
      <c r="AD64" s="210">
        <f t="shared" si="161"/>
        <v>1698.3297226570267</v>
      </c>
      <c r="AE64" s="210">
        <f t="shared" si="162"/>
        <v>1695.6359535384506</v>
      </c>
      <c r="AF64" s="210">
        <f t="shared" si="163"/>
        <v>1923.9942156439936</v>
      </c>
      <c r="AG64" s="210">
        <f t="shared" si="145"/>
        <v>1124.0548450072833</v>
      </c>
      <c r="AH64" s="210">
        <f t="shared" si="146"/>
        <v>1586.0417997711745</v>
      </c>
      <c r="AI64" s="211">
        <f t="shared" si="147"/>
        <v>1727.1101039297839</v>
      </c>
      <c r="AJ64" s="46"/>
      <c r="AK64" s="212"/>
      <c r="AM64" s="208" t="s">
        <v>20</v>
      </c>
      <c r="AN64" s="213">
        <f t="shared" ref="AN64:AZ64" si="168">SUM(AN54:AN63)</f>
        <v>97.5</v>
      </c>
      <c r="AO64" s="210">
        <f t="shared" si="168"/>
        <v>0</v>
      </c>
      <c r="AP64" s="210">
        <f t="shared" si="168"/>
        <v>30</v>
      </c>
      <c r="AQ64" s="210">
        <f t="shared" si="168"/>
        <v>0</v>
      </c>
      <c r="AR64" s="210">
        <f t="shared" si="168"/>
        <v>11442.619999999997</v>
      </c>
      <c r="AS64" s="210">
        <f t="shared" si="168"/>
        <v>0</v>
      </c>
      <c r="AT64" s="210">
        <f t="shared" si="168"/>
        <v>0</v>
      </c>
      <c r="AU64" s="210">
        <f t="shared" si="168"/>
        <v>0</v>
      </c>
      <c r="AV64" s="210">
        <f t="shared" si="168"/>
        <v>0</v>
      </c>
      <c r="AW64" s="210">
        <f t="shared" si="168"/>
        <v>0</v>
      </c>
      <c r="AX64" s="210">
        <f t="shared" si="168"/>
        <v>465.85</v>
      </c>
      <c r="AY64" s="210">
        <f t="shared" si="168"/>
        <v>0</v>
      </c>
      <c r="AZ64" s="211">
        <f t="shared" si="168"/>
        <v>12035.969999999998</v>
      </c>
      <c r="BB64" s="214" t="s">
        <v>20</v>
      </c>
      <c r="BC64" s="213">
        <f t="shared" ref="BC64:BO64" si="169">SUM(BC54:BC63)</f>
        <v>8834861.879999999</v>
      </c>
      <c r="BD64" s="210">
        <f t="shared" si="169"/>
        <v>0</v>
      </c>
      <c r="BE64" s="210">
        <f t="shared" si="169"/>
        <v>2680489.5</v>
      </c>
      <c r="BF64" s="210">
        <f t="shared" si="169"/>
        <v>0</v>
      </c>
      <c r="BG64" s="210">
        <f t="shared" si="169"/>
        <v>1190773300.0899999</v>
      </c>
      <c r="BH64" s="210">
        <f t="shared" si="169"/>
        <v>0</v>
      </c>
      <c r="BI64" s="210">
        <f t="shared" si="169"/>
        <v>0</v>
      </c>
      <c r="BJ64" s="210">
        <f t="shared" si="169"/>
        <v>0</v>
      </c>
      <c r="BK64" s="210">
        <f t="shared" si="169"/>
        <v>0</v>
      </c>
      <c r="BL64" s="210">
        <f t="shared" si="169"/>
        <v>0</v>
      </c>
      <c r="BM64" s="210">
        <f t="shared" si="169"/>
        <v>49060637.68</v>
      </c>
      <c r="BN64" s="210">
        <f t="shared" si="169"/>
        <v>0</v>
      </c>
      <c r="BO64" s="211">
        <f t="shared" si="169"/>
        <v>1251349289.1500001</v>
      </c>
      <c r="BU64" s="142">
        <f>R64/10^5</f>
        <v>32115.363822199997</v>
      </c>
      <c r="BV64" s="208" t="s">
        <v>20</v>
      </c>
      <c r="BW64" s="216">
        <f t="shared" si="149"/>
        <v>115.11641551590571</v>
      </c>
      <c r="BX64" s="216">
        <f t="shared" si="133"/>
        <v>115.0514052244921</v>
      </c>
      <c r="BY64" s="216">
        <f t="shared" si="134"/>
        <v>130.4994090260515</v>
      </c>
      <c r="BZ64" s="216">
        <f t="shared" si="135"/>
        <v>85.400265892109687</v>
      </c>
      <c r="CA64" s="216">
        <f t="shared" si="136"/>
        <v>76.654421585477976</v>
      </c>
      <c r="CB64" s="216">
        <f t="shared" si="137"/>
        <v>107.50421130062327</v>
      </c>
      <c r="CC64" s="217">
        <f t="shared" si="138"/>
        <v>117.11727035574657</v>
      </c>
      <c r="CE64" s="257" t="s">
        <v>20</v>
      </c>
      <c r="CF64" s="258">
        <f>SUM(CF52:CF63)</f>
        <v>7078.1999999999989</v>
      </c>
      <c r="CG64" s="258">
        <f t="shared" ref="CG64" si="170">SUM(CG52:CG63)</f>
        <v>14082.709999999997</v>
      </c>
      <c r="CH64" s="258">
        <f t="shared" ref="CH64" si="171">SUM(CH52:CH63)</f>
        <v>5137.1299999999992</v>
      </c>
      <c r="CI64" s="258">
        <f t="shared" ref="CI64" si="172">SUM(CI52:CI63)</f>
        <v>1123.5040000000001</v>
      </c>
      <c r="CJ64" s="260">
        <f t="shared" ref="CJ64" si="173">SUM(CJ52:CJ63)</f>
        <v>27421.543999999994</v>
      </c>
      <c r="CL64" s="258">
        <f t="shared" si="155"/>
        <v>814356856.45999992</v>
      </c>
      <c r="CM64" s="258">
        <f t="shared" si="156"/>
        <v>1621151095.9500003</v>
      </c>
      <c r="CN64" s="258">
        <f t="shared" si="157"/>
        <v>670392429.08999991</v>
      </c>
      <c r="CO64" s="258">
        <f t="shared" si="158"/>
        <v>105636000.72</v>
      </c>
      <c r="CP64" s="260">
        <f t="shared" si="159"/>
        <v>3211536382.2199998</v>
      </c>
      <c r="CR64" s="270">
        <f t="shared" si="160"/>
        <v>115.0514052244921</v>
      </c>
      <c r="CS64" s="270">
        <f t="shared" si="139"/>
        <v>115.11641551590571</v>
      </c>
      <c r="CT64" s="270">
        <f t="shared" si="140"/>
        <v>130.4994090260515</v>
      </c>
      <c r="CU64" s="270">
        <f t="shared" si="141"/>
        <v>94.023697930759468</v>
      </c>
      <c r="CV64" s="271">
        <f t="shared" si="142"/>
        <v>117.11727035574657</v>
      </c>
    </row>
    <row r="65" spans="2:81">
      <c r="S65" s="45"/>
    </row>
    <row r="66" spans="2:81">
      <c r="C66" s="414" t="s">
        <v>322</v>
      </c>
      <c r="D66" s="414"/>
      <c r="E66" s="414"/>
      <c r="F66" s="414"/>
      <c r="G66" s="415" t="s">
        <v>324</v>
      </c>
      <c r="H66" s="415"/>
      <c r="L66" s="414" t="s">
        <v>322</v>
      </c>
      <c r="M66" s="414"/>
      <c r="N66" s="414"/>
      <c r="O66" s="414"/>
      <c r="P66" s="415" t="s">
        <v>324</v>
      </c>
      <c r="Q66" s="415"/>
      <c r="BW66" s="414" t="s">
        <v>322</v>
      </c>
      <c r="BX66" s="414"/>
      <c r="BY66" s="414"/>
      <c r="BZ66" s="414"/>
      <c r="CA66" s="415" t="s">
        <v>324</v>
      </c>
      <c r="CB66" s="415"/>
    </row>
    <row r="67" spans="2:81">
      <c r="C67" s="335" t="s">
        <v>35</v>
      </c>
      <c r="D67" s="335" t="s">
        <v>36</v>
      </c>
      <c r="E67" s="335" t="s">
        <v>37</v>
      </c>
      <c r="F67" s="335" t="s">
        <v>135</v>
      </c>
      <c r="G67" s="336" t="s">
        <v>64</v>
      </c>
      <c r="H67" s="336" t="s">
        <v>65</v>
      </c>
      <c r="L67" s="335" t="s">
        <v>35</v>
      </c>
      <c r="M67" s="335" t="s">
        <v>36</v>
      </c>
      <c r="N67" s="335" t="s">
        <v>37</v>
      </c>
      <c r="O67" s="335" t="s">
        <v>135</v>
      </c>
      <c r="P67" s="336" t="s">
        <v>64</v>
      </c>
      <c r="Q67" s="336" t="s">
        <v>65</v>
      </c>
      <c r="BW67" s="335" t="s">
        <v>35</v>
      </c>
      <c r="BX67" s="335" t="s">
        <v>36</v>
      </c>
      <c r="BY67" s="335" t="s">
        <v>37</v>
      </c>
      <c r="BZ67" s="335" t="s">
        <v>135</v>
      </c>
      <c r="CA67" s="336" t="s">
        <v>64</v>
      </c>
      <c r="CB67" s="336" t="s">
        <v>65</v>
      </c>
    </row>
    <row r="68" spans="2:81">
      <c r="B68" s="35" t="s">
        <v>42</v>
      </c>
      <c r="C68" s="45">
        <f>C16</f>
        <v>28996.820069999998</v>
      </c>
      <c r="D68" s="45">
        <f t="shared" ref="D68:H68" si="174">D16</f>
        <v>14602.649999999998</v>
      </c>
      <c r="E68" s="45">
        <f t="shared" si="174"/>
        <v>13796.000005</v>
      </c>
      <c r="F68" s="45">
        <f t="shared" si="174"/>
        <v>0</v>
      </c>
      <c r="G68" s="45">
        <f t="shared" si="174"/>
        <v>0</v>
      </c>
      <c r="H68" s="45">
        <f t="shared" si="174"/>
        <v>71.753999999999991</v>
      </c>
      <c r="I68" s="143">
        <f>SUM(C68:H68)</f>
        <v>57467.224074999998</v>
      </c>
      <c r="K68" s="35" t="s">
        <v>42</v>
      </c>
      <c r="L68" s="45">
        <f>L16</f>
        <v>2640789872.0300002</v>
      </c>
      <c r="M68" s="45">
        <f t="shared" ref="M68:Q68" si="175">M16</f>
        <v>1301345181.7500002</v>
      </c>
      <c r="N68" s="45">
        <f t="shared" si="175"/>
        <v>1366219217.6299999</v>
      </c>
      <c r="O68" s="45">
        <f t="shared" si="175"/>
        <v>0</v>
      </c>
      <c r="P68" s="45">
        <f t="shared" si="175"/>
        <v>0</v>
      </c>
      <c r="Q68" s="45">
        <f t="shared" si="175"/>
        <v>9895752.3099999987</v>
      </c>
      <c r="R68" s="45">
        <f>SUM(L68:Q68)</f>
        <v>5318250023.7200012</v>
      </c>
      <c r="BV68" s="35" t="s">
        <v>42</v>
      </c>
      <c r="BW68" s="138">
        <f t="shared" ref="BW68" si="176">IF(L68&lt;=0,0,L68/C68/1000)</f>
        <v>91.071705988966414</v>
      </c>
      <c r="BX68" s="45">
        <f t="shared" ref="BX68:BX71" si="177">IF(M68&lt;=0,0,M68/D68/1000)</f>
        <v>89.117056270608444</v>
      </c>
      <c r="BY68" s="45">
        <f t="shared" ref="BY68:BY71" si="178">IF(N68&lt;=0,0,N68/E68/1000)</f>
        <v>99.030096921922976</v>
      </c>
      <c r="BZ68" s="45">
        <f t="shared" ref="BZ68:BZ71" si="179">IF(O68&lt;=0,0,O68/F68/1000)</f>
        <v>0</v>
      </c>
      <c r="CA68" s="45">
        <f t="shared" ref="CA68:CA71" si="180">IF(P68&lt;=0,0,P68/G68/1000)</f>
        <v>0</v>
      </c>
      <c r="CB68" s="45">
        <f t="shared" ref="CB68:CB71" si="181">IF(Q68&lt;=0,0,Q68/H68/1000)</f>
        <v>137.91220433704046</v>
      </c>
      <c r="CC68" s="45">
        <f t="shared" ref="CC68:CC71" si="182">IF(R68&lt;=0,0,R68/I68/1000)</f>
        <v>92.544056361225955</v>
      </c>
    </row>
    <row r="69" spans="2:81">
      <c r="B69" s="35" t="s">
        <v>43</v>
      </c>
      <c r="C69" s="45">
        <f>C32</f>
        <v>32333.975000000002</v>
      </c>
      <c r="D69" s="45">
        <f t="shared" ref="D69:H69" si="183">D32</f>
        <v>26150.020000000004</v>
      </c>
      <c r="E69" s="45">
        <f t="shared" si="183"/>
        <v>10420.369999999999</v>
      </c>
      <c r="F69" s="45">
        <f t="shared" si="183"/>
        <v>0</v>
      </c>
      <c r="G69" s="45">
        <f t="shared" si="183"/>
        <v>0</v>
      </c>
      <c r="H69" s="45">
        <f t="shared" si="183"/>
        <v>96.344999999999999</v>
      </c>
      <c r="I69" s="143">
        <f>SUM(C69:H69)</f>
        <v>69000.710000000006</v>
      </c>
      <c r="K69" s="35" t="s">
        <v>43</v>
      </c>
      <c r="L69" s="45">
        <f>L32</f>
        <v>3270710025.1099997</v>
      </c>
      <c r="M69" s="45">
        <f t="shared" ref="M69:Q69" si="184">M32</f>
        <v>2582555863.4600005</v>
      </c>
      <c r="N69" s="45">
        <f t="shared" si="184"/>
        <v>1044146361.4699999</v>
      </c>
      <c r="O69" s="45">
        <f t="shared" si="184"/>
        <v>0</v>
      </c>
      <c r="P69" s="45">
        <f t="shared" si="184"/>
        <v>0</v>
      </c>
      <c r="Q69" s="45">
        <f t="shared" si="184"/>
        <v>13858375.84</v>
      </c>
      <c r="R69" s="45">
        <f>SUM(L69:Q69)</f>
        <v>6911270625.8800001</v>
      </c>
      <c r="BV69" s="35" t="s">
        <v>43</v>
      </c>
      <c r="BW69" s="45">
        <f t="shared" ref="BW69:BW71" si="185">IF(L69&lt;=0,0,L69/C69/1000)</f>
        <v>101.15397272095372</v>
      </c>
      <c r="BX69" s="45">
        <f t="shared" si="177"/>
        <v>98.759230909192425</v>
      </c>
      <c r="BY69" s="45">
        <f t="shared" si="178"/>
        <v>100.20242673436741</v>
      </c>
      <c r="BZ69" s="45">
        <f t="shared" si="179"/>
        <v>0</v>
      </c>
      <c r="CA69" s="45">
        <f t="shared" si="180"/>
        <v>0</v>
      </c>
      <c r="CB69" s="45">
        <f t="shared" si="181"/>
        <v>143.84115252478074</v>
      </c>
      <c r="CC69" s="45">
        <f t="shared" si="182"/>
        <v>100.16231174838634</v>
      </c>
    </row>
    <row r="70" spans="2:81">
      <c r="B70" s="35" t="s">
        <v>44</v>
      </c>
      <c r="C70" s="45">
        <f>C48</f>
        <v>25026.520000000004</v>
      </c>
      <c r="D70" s="45">
        <f t="shared" ref="D70:H70" si="186">D48</f>
        <v>11363.91</v>
      </c>
      <c r="E70" s="45">
        <f t="shared" si="186"/>
        <v>7235.2800000000007</v>
      </c>
      <c r="F70" s="45">
        <f t="shared" si="186"/>
        <v>237.92000000000002</v>
      </c>
      <c r="G70" s="45">
        <f t="shared" si="186"/>
        <v>2476.3719999999998</v>
      </c>
      <c r="H70" s="45">
        <f t="shared" si="186"/>
        <v>49.098500000000001</v>
      </c>
      <c r="I70" s="143">
        <f>SUM(C70:H70)</f>
        <v>46389.100500000008</v>
      </c>
      <c r="K70" s="35" t="s">
        <v>44</v>
      </c>
      <c r="L70" s="45">
        <f>L48</f>
        <v>2164786005.5800009</v>
      </c>
      <c r="M70" s="45">
        <f t="shared" ref="M70:Q70" si="187">M48</f>
        <v>946050888.30000007</v>
      </c>
      <c r="N70" s="45">
        <f t="shared" si="187"/>
        <v>602963875.64999998</v>
      </c>
      <c r="O70" s="45">
        <f t="shared" si="187"/>
        <v>17735316.170000002</v>
      </c>
      <c r="P70" s="45">
        <f t="shared" si="187"/>
        <v>213956419.5</v>
      </c>
      <c r="Q70" s="45">
        <f t="shared" si="187"/>
        <v>6712691.2899999991</v>
      </c>
      <c r="R70" s="45">
        <f>SUM(L70:Q70)</f>
        <v>3952205196.4900012</v>
      </c>
      <c r="BV70" s="35" t="s">
        <v>44</v>
      </c>
      <c r="BW70" s="45">
        <f t="shared" si="185"/>
        <v>86.499681361212041</v>
      </c>
      <c r="BX70" s="45">
        <f t="shared" si="177"/>
        <v>83.250473498998147</v>
      </c>
      <c r="BY70" s="45">
        <f t="shared" si="178"/>
        <v>83.336633226357506</v>
      </c>
      <c r="BZ70" s="45">
        <f t="shared" si="179"/>
        <v>74.543191703093484</v>
      </c>
      <c r="CA70" s="45">
        <f t="shared" si="180"/>
        <v>86.399143383950403</v>
      </c>
      <c r="CB70" s="45">
        <f t="shared" si="181"/>
        <v>136.71886697149606</v>
      </c>
      <c r="CC70" s="45">
        <f t="shared" si="182"/>
        <v>85.196849128169674</v>
      </c>
    </row>
    <row r="71" spans="2:81">
      <c r="B71" s="35" t="s">
        <v>46</v>
      </c>
      <c r="C71" s="45">
        <f>C64</f>
        <v>14082.709999999997</v>
      </c>
      <c r="D71" s="45">
        <f t="shared" ref="D71:H71" si="188">D64</f>
        <v>7078.1999999999989</v>
      </c>
      <c r="E71" s="45">
        <f t="shared" si="188"/>
        <v>5137.1299999999992</v>
      </c>
      <c r="F71" s="45">
        <f t="shared" si="188"/>
        <v>255.63</v>
      </c>
      <c r="G71" s="45">
        <f t="shared" si="188"/>
        <v>307.78100000000001</v>
      </c>
      <c r="H71" s="45">
        <f t="shared" si="188"/>
        <v>560.09300000000007</v>
      </c>
      <c r="I71" s="143">
        <f>SUM(C71:H71)</f>
        <v>27421.543999999994</v>
      </c>
      <c r="K71" s="35" t="s">
        <v>46</v>
      </c>
      <c r="L71" s="45">
        <f>L64</f>
        <v>1621151095.9500003</v>
      </c>
      <c r="M71" s="45">
        <f t="shared" ref="M71:Q71" si="189">M64</f>
        <v>814356856.45999992</v>
      </c>
      <c r="N71" s="45">
        <f t="shared" si="189"/>
        <v>670392429.08999991</v>
      </c>
      <c r="O71" s="45">
        <f t="shared" si="189"/>
        <v>21830869.969999999</v>
      </c>
      <c r="P71" s="45">
        <f t="shared" si="189"/>
        <v>23592774.529999997</v>
      </c>
      <c r="Q71" s="45">
        <f t="shared" si="189"/>
        <v>60212356.219999999</v>
      </c>
      <c r="R71" s="45">
        <f>SUM(L71:Q71)</f>
        <v>3211536382.2199998</v>
      </c>
      <c r="BV71" s="35" t="s">
        <v>46</v>
      </c>
      <c r="BW71" s="45">
        <f t="shared" si="185"/>
        <v>115.11641551590571</v>
      </c>
      <c r="BX71" s="45">
        <f t="shared" si="177"/>
        <v>115.0514052244921</v>
      </c>
      <c r="BY71" s="45">
        <f t="shared" si="178"/>
        <v>130.4994090260515</v>
      </c>
      <c r="BZ71" s="45">
        <f t="shared" si="179"/>
        <v>85.400265892109687</v>
      </c>
      <c r="CA71" s="45">
        <f t="shared" si="180"/>
        <v>76.654421585477976</v>
      </c>
      <c r="CB71" s="45">
        <f t="shared" si="181"/>
        <v>107.50421130062327</v>
      </c>
      <c r="CC71" s="45">
        <f t="shared" si="182"/>
        <v>117.11727035574657</v>
      </c>
    </row>
    <row r="72" spans="2:81">
      <c r="I72" s="143"/>
    </row>
    <row r="73" spans="2:81">
      <c r="C73" s="335" t="s">
        <v>322</v>
      </c>
      <c r="D73" s="335" t="s">
        <v>322</v>
      </c>
      <c r="E73" s="335" t="s">
        <v>322</v>
      </c>
      <c r="F73" s="336" t="s">
        <v>325</v>
      </c>
      <c r="G73" s="336" t="s">
        <v>325</v>
      </c>
      <c r="H73" s="336" t="s">
        <v>325</v>
      </c>
    </row>
    <row r="74" spans="2:81">
      <c r="C74" s="337" t="s">
        <v>202</v>
      </c>
      <c r="D74" s="337" t="s">
        <v>203</v>
      </c>
      <c r="E74" s="337" t="s">
        <v>204</v>
      </c>
      <c r="F74" s="338" t="s">
        <v>202</v>
      </c>
      <c r="G74" s="338" t="s">
        <v>203</v>
      </c>
      <c r="H74" s="338" t="s">
        <v>204</v>
      </c>
    </row>
    <row r="75" spans="2:81">
      <c r="B75" s="35" t="s">
        <v>42</v>
      </c>
      <c r="C75" s="45">
        <f>SUM(C68:F68)</f>
        <v>57395.470074999997</v>
      </c>
      <c r="D75" s="45">
        <f>SUM(L68:O68)</f>
        <v>5308354271.4100008</v>
      </c>
      <c r="E75" s="45">
        <f>IF(D75&lt;=0,0,D75/C75)</f>
        <v>92487.33853862423</v>
      </c>
      <c r="F75" s="45">
        <f>SUM(G68:H68)</f>
        <v>71.753999999999991</v>
      </c>
      <c r="G75" s="45">
        <f>SUM(P68:Q68)</f>
        <v>9895752.3099999987</v>
      </c>
      <c r="H75" s="45">
        <f>IF(G75&lt;=0,0,G75/F75)</f>
        <v>137912.20433704046</v>
      </c>
      <c r="BV75" s="35" t="s">
        <v>42</v>
      </c>
    </row>
    <row r="76" spans="2:81">
      <c r="B76" s="35" t="s">
        <v>43</v>
      </c>
      <c r="C76" s="45">
        <f>SUM(C69:F69)</f>
        <v>68904.365000000005</v>
      </c>
      <c r="D76" s="45">
        <f>SUM(L69:O69)</f>
        <v>6897412250.04</v>
      </c>
      <c r="E76" s="45">
        <f>IF(D76&lt;=0,0,D76/C76)</f>
        <v>100101.23814420174</v>
      </c>
      <c r="F76" s="45">
        <f>SUM(G69:H69)</f>
        <v>96.344999999999999</v>
      </c>
      <c r="G76" s="45">
        <f>SUM(P69:Q69)</f>
        <v>13858375.84</v>
      </c>
      <c r="H76" s="45">
        <f>IF(G76&lt;=0,0,G76/F76)</f>
        <v>143841.15252478074</v>
      </c>
      <c r="BV76" s="35" t="s">
        <v>43</v>
      </c>
    </row>
    <row r="77" spans="2:81">
      <c r="B77" s="35" t="s">
        <v>44</v>
      </c>
      <c r="C77" s="45">
        <f>SUM(C70:F70)</f>
        <v>43863.630000000005</v>
      </c>
      <c r="D77" s="45">
        <f>SUM(L70:O70)</f>
        <v>3731536085.7000012</v>
      </c>
      <c r="E77" s="45">
        <f>IF(D77&lt;=0,0,D77/C77)</f>
        <v>85071.301342364983</v>
      </c>
      <c r="F77" s="45">
        <f>SUM(G70:H70)</f>
        <v>2525.4704999999999</v>
      </c>
      <c r="G77" s="45">
        <f>SUM(P70:Q70)</f>
        <v>220669110.78999999</v>
      </c>
      <c r="H77" s="45">
        <f>IF(G77&lt;=0,0,G77/F77)</f>
        <v>87377.425628214623</v>
      </c>
      <c r="BV77" s="35" t="s">
        <v>44</v>
      </c>
    </row>
    <row r="78" spans="2:81">
      <c r="B78" s="35" t="s">
        <v>46</v>
      </c>
      <c r="C78" s="45">
        <f>SUM(C71:F71)</f>
        <v>26553.669999999995</v>
      </c>
      <c r="D78" s="45">
        <f>SUM(L71:O71)</f>
        <v>3127731251.4699998</v>
      </c>
      <c r="E78" s="45">
        <f>IF(D78&lt;=0,0,D78/C78)</f>
        <v>117789.03825610549</v>
      </c>
      <c r="F78" s="45">
        <f>SUM(G71:H71)</f>
        <v>867.87400000000002</v>
      </c>
      <c r="G78" s="45">
        <f>SUM(P71:Q71)</f>
        <v>83805130.75</v>
      </c>
      <c r="H78" s="45">
        <f>IF(G78&lt;=0,0,G78/F78)</f>
        <v>96563.707116470818</v>
      </c>
      <c r="BV78" s="35" t="s">
        <v>46</v>
      </c>
    </row>
  </sheetData>
  <mergeCells count="38">
    <mergeCell ref="C66:F66"/>
    <mergeCell ref="G66:H66"/>
    <mergeCell ref="BW2:CC2"/>
    <mergeCell ref="BW18:CC18"/>
    <mergeCell ref="BW34:CC34"/>
    <mergeCell ref="BW50:CC50"/>
    <mergeCell ref="AD2:AI2"/>
    <mergeCell ref="AD18:AI18"/>
    <mergeCell ref="AD34:AI34"/>
    <mergeCell ref="AD50:AI50"/>
    <mergeCell ref="U2:AA2"/>
    <mergeCell ref="U18:AA18"/>
    <mergeCell ref="U34:AA34"/>
    <mergeCell ref="U50:AA50"/>
    <mergeCell ref="C2:I2"/>
    <mergeCell ref="L2:R2"/>
    <mergeCell ref="C34:I34"/>
    <mergeCell ref="L34:R34"/>
    <mergeCell ref="C50:I50"/>
    <mergeCell ref="L50:R50"/>
    <mergeCell ref="C18:I18"/>
    <mergeCell ref="L18:R18"/>
    <mergeCell ref="CF1:CJ1"/>
    <mergeCell ref="CL1:CP1"/>
    <mergeCell ref="CR1:CV1"/>
    <mergeCell ref="CF18:CJ18"/>
    <mergeCell ref="CL18:CP18"/>
    <mergeCell ref="CR18:CV18"/>
    <mergeCell ref="CL34:CP34"/>
    <mergeCell ref="CR34:CV34"/>
    <mergeCell ref="CF50:CJ50"/>
    <mergeCell ref="CL50:CP50"/>
    <mergeCell ref="CR50:CV50"/>
    <mergeCell ref="L66:O66"/>
    <mergeCell ref="P66:Q66"/>
    <mergeCell ref="BW66:BZ66"/>
    <mergeCell ref="CA66:CB66"/>
    <mergeCell ref="CF34:CJ34"/>
  </mergeCells>
  <pageMargins left="0.7" right="0.7" top="0.75" bottom="0.75" header="0.3" footer="0.3"/>
  <pageSetup paperSize="9" orientation="portrait" r:id="rId1"/>
  <ignoredErrors>
    <ignoredError sqref="BG16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63"/>
  <sheetViews>
    <sheetView showGridLines="0" topLeftCell="AD85" zoomScaleNormal="100" workbookViewId="0">
      <selection activeCell="AR100" sqref="AR100:AR111"/>
    </sheetView>
  </sheetViews>
  <sheetFormatPr defaultRowHeight="12.75"/>
  <cols>
    <col min="1" max="1" width="10.28515625" style="1" bestFit="1" customWidth="1"/>
    <col min="2" max="2" width="12.5703125" style="40" bestFit="1" customWidth="1"/>
    <col min="3" max="3" width="14.140625" style="40" bestFit="1" customWidth="1"/>
    <col min="4" max="4" width="12" style="1" bestFit="1" customWidth="1"/>
    <col min="5" max="5" width="15.140625" style="1" bestFit="1" customWidth="1"/>
    <col min="6" max="6" width="12" style="1" bestFit="1" customWidth="1"/>
    <col min="7" max="9" width="14.140625" style="1" bestFit="1" customWidth="1"/>
    <col min="10" max="11" width="12" style="1" bestFit="1" customWidth="1"/>
    <col min="12" max="12" width="14.140625" style="1" bestFit="1" customWidth="1"/>
    <col min="13" max="13" width="12" style="1" bestFit="1" customWidth="1"/>
    <col min="14" max="14" width="7.5703125" style="1" bestFit="1" customWidth="1"/>
    <col min="15" max="15" width="9.140625" style="1"/>
    <col min="16" max="16" width="10.28515625" style="1" bestFit="1" customWidth="1"/>
    <col min="17" max="17" width="11" style="40" bestFit="1" customWidth="1"/>
    <col min="18" max="18" width="14.140625" style="40" bestFit="1" customWidth="1"/>
    <col min="19" max="19" width="12" style="1" bestFit="1" customWidth="1"/>
    <col min="20" max="20" width="15.140625" style="1" bestFit="1" customWidth="1"/>
    <col min="21" max="21" width="12" style="1" bestFit="1" customWidth="1"/>
    <col min="22" max="24" width="14.140625" style="1" bestFit="1" customWidth="1"/>
    <col min="25" max="26" width="12" style="1" bestFit="1" customWidth="1"/>
    <col min="27" max="27" width="14.140625" style="1" bestFit="1" customWidth="1"/>
    <col min="28" max="28" width="12" style="1" bestFit="1" customWidth="1"/>
    <col min="29" max="29" width="13.5703125" style="1" bestFit="1" customWidth="1"/>
    <col min="30" max="30" width="9.140625" style="1"/>
    <col min="31" max="31" width="10.28515625" style="40" bestFit="1" customWidth="1"/>
    <col min="32" max="32" width="11" style="40" bestFit="1" customWidth="1"/>
    <col min="33" max="33" width="14.140625" style="40" bestFit="1" customWidth="1"/>
    <col min="34" max="34" width="12" style="40" bestFit="1" customWidth="1"/>
    <col min="35" max="35" width="15.140625" style="40" bestFit="1" customWidth="1"/>
    <col min="36" max="36" width="12" style="40" bestFit="1" customWidth="1"/>
    <col min="37" max="39" width="14.140625" style="40" bestFit="1" customWidth="1"/>
    <col min="40" max="41" width="12" style="40" bestFit="1" customWidth="1"/>
    <col min="42" max="42" width="14.140625" style="40" bestFit="1" customWidth="1"/>
    <col min="43" max="43" width="12" style="40" bestFit="1" customWidth="1"/>
    <col min="44" max="44" width="11" style="40" bestFit="1" customWidth="1"/>
    <col min="45" max="45" width="9.140625" style="1"/>
    <col min="46" max="46" width="9.28515625" style="1" customWidth="1"/>
    <col min="47" max="49" width="14.140625" style="1" bestFit="1" customWidth="1"/>
    <col min="50" max="16384" width="9.140625" style="1"/>
  </cols>
  <sheetData>
    <row r="1" spans="1:49">
      <c r="D1" s="424" t="s">
        <v>21</v>
      </c>
      <c r="E1" s="424"/>
      <c r="F1" s="424"/>
      <c r="G1" s="424"/>
      <c r="H1" s="424"/>
      <c r="I1" s="424"/>
      <c r="J1" s="424"/>
      <c r="K1" s="424"/>
      <c r="L1" s="424"/>
      <c r="M1" s="424"/>
      <c r="S1" s="424" t="s">
        <v>23</v>
      </c>
      <c r="T1" s="424"/>
      <c r="U1" s="424"/>
      <c r="V1" s="424"/>
      <c r="W1" s="424"/>
      <c r="X1" s="424"/>
      <c r="Y1" s="424"/>
      <c r="Z1" s="424"/>
      <c r="AA1" s="424"/>
      <c r="AB1" s="424"/>
      <c r="AH1" s="424" t="s">
        <v>82</v>
      </c>
      <c r="AI1" s="424"/>
      <c r="AJ1" s="424"/>
      <c r="AK1" s="424"/>
      <c r="AL1" s="424"/>
      <c r="AM1" s="424"/>
      <c r="AN1" s="424"/>
      <c r="AO1" s="424"/>
      <c r="AP1" s="424"/>
      <c r="AQ1" s="424"/>
    </row>
    <row r="2" spans="1:49">
      <c r="AU2" s="421" t="s">
        <v>86</v>
      </c>
      <c r="AV2" s="421"/>
      <c r="AW2" s="421"/>
    </row>
    <row r="3" spans="1:49">
      <c r="A3" s="25" t="s">
        <v>22</v>
      </c>
      <c r="B3" s="16" t="s">
        <v>133</v>
      </c>
      <c r="C3" s="16" t="s">
        <v>19</v>
      </c>
      <c r="D3" s="159" t="s">
        <v>17</v>
      </c>
      <c r="E3" s="159" t="s">
        <v>134</v>
      </c>
      <c r="F3" s="33" t="s">
        <v>10</v>
      </c>
      <c r="G3" s="33" t="s">
        <v>11</v>
      </c>
      <c r="H3" s="33" t="s">
        <v>12</v>
      </c>
      <c r="I3" s="33" t="s">
        <v>13</v>
      </c>
      <c r="J3" s="33" t="s">
        <v>14</v>
      </c>
      <c r="K3" s="33" t="s">
        <v>18</v>
      </c>
      <c r="L3" s="33" t="s">
        <v>15</v>
      </c>
      <c r="M3" s="33" t="s">
        <v>16</v>
      </c>
      <c r="N3" s="27" t="s">
        <v>20</v>
      </c>
      <c r="P3" s="25" t="s">
        <v>22</v>
      </c>
      <c r="Q3" s="156" t="s">
        <v>133</v>
      </c>
      <c r="R3" s="156" t="s">
        <v>19</v>
      </c>
      <c r="S3" s="156" t="s">
        <v>17</v>
      </c>
      <c r="T3" s="156" t="s">
        <v>134</v>
      </c>
      <c r="U3" s="156" t="s">
        <v>10</v>
      </c>
      <c r="V3" s="156" t="s">
        <v>11</v>
      </c>
      <c r="W3" s="156" t="s">
        <v>12</v>
      </c>
      <c r="X3" s="156" t="s">
        <v>13</v>
      </c>
      <c r="Y3" s="156" t="s">
        <v>14</v>
      </c>
      <c r="Z3" s="156" t="s">
        <v>18</v>
      </c>
      <c r="AA3" s="156" t="s">
        <v>15</v>
      </c>
      <c r="AB3" s="156" t="s">
        <v>16</v>
      </c>
      <c r="AC3" s="27" t="s">
        <v>20</v>
      </c>
      <c r="AE3" s="25" t="s">
        <v>22</v>
      </c>
      <c r="AF3" s="156" t="s">
        <v>133</v>
      </c>
      <c r="AG3" s="156" t="s">
        <v>19</v>
      </c>
      <c r="AH3" s="156" t="s">
        <v>17</v>
      </c>
      <c r="AI3" s="156" t="s">
        <v>134</v>
      </c>
      <c r="AJ3" s="156" t="s">
        <v>10</v>
      </c>
      <c r="AK3" s="156" t="s">
        <v>11</v>
      </c>
      <c r="AL3" s="156" t="s">
        <v>12</v>
      </c>
      <c r="AM3" s="156" t="s">
        <v>13</v>
      </c>
      <c r="AN3" s="156" t="s">
        <v>14</v>
      </c>
      <c r="AO3" s="156" t="s">
        <v>18</v>
      </c>
      <c r="AP3" s="156" t="s">
        <v>15</v>
      </c>
      <c r="AQ3" s="156" t="s">
        <v>16</v>
      </c>
      <c r="AR3" s="27" t="s">
        <v>20</v>
      </c>
      <c r="AU3" s="90" t="s">
        <v>11</v>
      </c>
      <c r="AV3" s="90" t="s">
        <v>12</v>
      </c>
      <c r="AW3" s="90" t="s">
        <v>13</v>
      </c>
    </row>
    <row r="4" spans="1:49">
      <c r="A4" s="9">
        <v>41365</v>
      </c>
      <c r="B4" s="41">
        <f>B20+B36+B52+B68+B84+B100</f>
        <v>0</v>
      </c>
      <c r="C4" s="41">
        <f t="shared" ref="C4:N4" si="0">C20+C36+C52+C68+C84+C100</f>
        <v>0</v>
      </c>
      <c r="D4" s="41">
        <f t="shared" si="0"/>
        <v>0</v>
      </c>
      <c r="E4" s="41">
        <f t="shared" si="0"/>
        <v>0</v>
      </c>
      <c r="F4" s="41">
        <f t="shared" si="0"/>
        <v>0</v>
      </c>
      <c r="G4" s="41">
        <f t="shared" si="0"/>
        <v>3426.1799999999994</v>
      </c>
      <c r="H4" s="41">
        <f t="shared" si="0"/>
        <v>746.82999999999993</v>
      </c>
      <c r="I4" s="41">
        <f t="shared" si="0"/>
        <v>118.99000000000001</v>
      </c>
      <c r="J4" s="41">
        <f t="shared" si="0"/>
        <v>0</v>
      </c>
      <c r="K4" s="41">
        <f t="shared" si="0"/>
        <v>28.2</v>
      </c>
      <c r="L4" s="41">
        <f t="shared" si="0"/>
        <v>28</v>
      </c>
      <c r="M4" s="41">
        <f t="shared" si="0"/>
        <v>16.2</v>
      </c>
      <c r="N4" s="6">
        <f t="shared" si="0"/>
        <v>4364.3999999999996</v>
      </c>
      <c r="P4" s="9">
        <v>41365</v>
      </c>
      <c r="Q4" s="41">
        <f>Q20+Q36+Q52+Q68+Q84+Q100</f>
        <v>0</v>
      </c>
      <c r="R4" s="41">
        <f t="shared" ref="R4:AC4" si="1">R20+R36+R52+R68+R84+R100</f>
        <v>0</v>
      </c>
      <c r="S4" s="41">
        <f t="shared" si="1"/>
        <v>0</v>
      </c>
      <c r="T4" s="41">
        <f t="shared" si="1"/>
        <v>0</v>
      </c>
      <c r="U4" s="41">
        <f t="shared" si="1"/>
        <v>0</v>
      </c>
      <c r="V4" s="41">
        <f t="shared" si="1"/>
        <v>267673110.77999997</v>
      </c>
      <c r="W4" s="41">
        <f t="shared" si="1"/>
        <v>54351268.100000009</v>
      </c>
      <c r="X4" s="41">
        <f t="shared" si="1"/>
        <v>9045694.7400000002</v>
      </c>
      <c r="Y4" s="41">
        <f t="shared" si="1"/>
        <v>0</v>
      </c>
      <c r="Z4" s="41">
        <f t="shared" si="1"/>
        <v>2511571.61</v>
      </c>
      <c r="AA4" s="41">
        <f t="shared" si="1"/>
        <v>2180174.2800000003</v>
      </c>
      <c r="AB4" s="41">
        <f t="shared" si="1"/>
        <v>1208178.26</v>
      </c>
      <c r="AC4" s="6">
        <f t="shared" si="1"/>
        <v>336969997.76999998</v>
      </c>
      <c r="AE4" s="9">
        <v>41365</v>
      </c>
      <c r="AF4" s="41">
        <f>AF20+AF36+AF52+AF68+AF84+AF100</f>
        <v>0</v>
      </c>
      <c r="AG4" s="41">
        <f t="shared" ref="AG4:AR4" si="2">AG20+AG36+AG52+AG68+AG84+AG100</f>
        <v>0</v>
      </c>
      <c r="AH4" s="41">
        <f t="shared" si="2"/>
        <v>0</v>
      </c>
      <c r="AI4" s="41">
        <f t="shared" si="2"/>
        <v>0</v>
      </c>
      <c r="AJ4" s="41">
        <f t="shared" si="2"/>
        <v>0</v>
      </c>
      <c r="AK4" s="41">
        <f t="shared" si="2"/>
        <v>4879212.3485843847</v>
      </c>
      <c r="AL4" s="41">
        <f t="shared" si="2"/>
        <v>990963.18835915183</v>
      </c>
      <c r="AM4" s="41">
        <f t="shared" si="2"/>
        <v>164965.3605835464</v>
      </c>
      <c r="AN4" s="41">
        <f t="shared" si="2"/>
        <v>0</v>
      </c>
      <c r="AO4" s="41">
        <f t="shared" si="2"/>
        <v>45748.116757741343</v>
      </c>
      <c r="AP4" s="41">
        <f t="shared" si="2"/>
        <v>39711.735519125687</v>
      </c>
      <c r="AQ4" s="41">
        <f t="shared" si="2"/>
        <v>22006.889981785065</v>
      </c>
      <c r="AR4" s="6">
        <f t="shared" si="2"/>
        <v>6142607.6397857349</v>
      </c>
      <c r="AU4" s="92">
        <f t="shared" ref="AU4:AU15" si="3">+AK4/G4</f>
        <v>1424.0969092646578</v>
      </c>
      <c r="AV4" s="92">
        <f t="shared" ref="AV4:AV15" si="4">+AL4/H4</f>
        <v>1326.8925837997294</v>
      </c>
      <c r="AW4" s="92">
        <f t="shared" ref="AW4:AW15" si="5">+AM4/I4</f>
        <v>1386.3800368396201</v>
      </c>
    </row>
    <row r="5" spans="1:49">
      <c r="A5" s="9">
        <v>41395</v>
      </c>
      <c r="B5" s="41">
        <f t="shared" ref="B5:N16" si="6">B21+B37+B53+B69+B85+B101</f>
        <v>0</v>
      </c>
      <c r="C5" s="41">
        <f t="shared" si="6"/>
        <v>0</v>
      </c>
      <c r="D5" s="41">
        <f t="shared" si="6"/>
        <v>0</v>
      </c>
      <c r="E5" s="41">
        <f t="shared" si="6"/>
        <v>0</v>
      </c>
      <c r="F5" s="41">
        <f t="shared" si="6"/>
        <v>24.54</v>
      </c>
      <c r="G5" s="41">
        <f t="shared" si="6"/>
        <v>3400.0699999999997</v>
      </c>
      <c r="H5" s="41">
        <f t="shared" si="6"/>
        <v>539.86</v>
      </c>
      <c r="I5" s="41">
        <f t="shared" si="6"/>
        <v>249.42000000000002</v>
      </c>
      <c r="J5" s="41">
        <f t="shared" si="6"/>
        <v>0</v>
      </c>
      <c r="K5" s="41">
        <f t="shared" si="6"/>
        <v>34.4</v>
      </c>
      <c r="L5" s="41">
        <f t="shared" si="6"/>
        <v>12</v>
      </c>
      <c r="M5" s="41">
        <f t="shared" si="6"/>
        <v>17.2</v>
      </c>
      <c r="N5" s="6">
        <f t="shared" si="6"/>
        <v>4277.49</v>
      </c>
      <c r="P5" s="9">
        <v>41395</v>
      </c>
      <c r="Q5" s="41">
        <f t="shared" ref="Q5:AC16" si="7">Q21+Q37+Q53+Q69+Q85+Q101</f>
        <v>0</v>
      </c>
      <c r="R5" s="41">
        <f t="shared" si="7"/>
        <v>0</v>
      </c>
      <c r="S5" s="41">
        <f t="shared" si="7"/>
        <v>0</v>
      </c>
      <c r="T5" s="41">
        <f t="shared" si="7"/>
        <v>0</v>
      </c>
      <c r="U5" s="41">
        <f t="shared" si="7"/>
        <v>2407925.2399999998</v>
      </c>
      <c r="V5" s="41">
        <f t="shared" si="7"/>
        <v>259037984.00999996</v>
      </c>
      <c r="W5" s="41">
        <f t="shared" si="7"/>
        <v>39443237.799999997</v>
      </c>
      <c r="X5" s="41">
        <f t="shared" si="7"/>
        <v>20278265.649999999</v>
      </c>
      <c r="Y5" s="41">
        <f t="shared" si="7"/>
        <v>0</v>
      </c>
      <c r="Z5" s="41">
        <f t="shared" si="7"/>
        <v>2770660.29</v>
      </c>
      <c r="AA5" s="41">
        <f t="shared" si="7"/>
        <v>940548.36</v>
      </c>
      <c r="AB5" s="41">
        <f t="shared" si="7"/>
        <v>1290990.94</v>
      </c>
      <c r="AC5" s="6">
        <f t="shared" si="7"/>
        <v>326169612.28999996</v>
      </c>
      <c r="AE5" s="9">
        <v>41395</v>
      </c>
      <c r="AF5" s="41">
        <f t="shared" ref="AF5:AR16" si="8">AF21+AF37+AF53+AF69+AF85+AF101</f>
        <v>0</v>
      </c>
      <c r="AG5" s="41">
        <f t="shared" si="8"/>
        <v>0</v>
      </c>
      <c r="AH5" s="41">
        <f t="shared" si="8"/>
        <v>0</v>
      </c>
      <c r="AI5" s="41">
        <f t="shared" si="8"/>
        <v>0</v>
      </c>
      <c r="AJ5" s="41">
        <f t="shared" si="8"/>
        <v>43638.169329565593</v>
      </c>
      <c r="AK5" s="41">
        <f t="shared" si="8"/>
        <v>4715693.0481751775</v>
      </c>
      <c r="AL5" s="41">
        <f t="shared" si="8"/>
        <v>721475.66827529459</v>
      </c>
      <c r="AM5" s="41">
        <f t="shared" si="8"/>
        <v>369285.8658065265</v>
      </c>
      <c r="AN5" s="41">
        <f t="shared" si="8"/>
        <v>0</v>
      </c>
      <c r="AO5" s="41">
        <f t="shared" si="8"/>
        <v>50446.756927186158</v>
      </c>
      <c r="AP5" s="41">
        <f t="shared" si="8"/>
        <v>17008.107775768534</v>
      </c>
      <c r="AQ5" s="41">
        <f t="shared" si="8"/>
        <v>23603.895452402183</v>
      </c>
      <c r="AR5" s="6">
        <f t="shared" si="8"/>
        <v>5941151.5117419204</v>
      </c>
      <c r="AU5" s="92">
        <f t="shared" si="3"/>
        <v>1386.9399889341037</v>
      </c>
      <c r="AV5" s="92">
        <f t="shared" si="4"/>
        <v>1336.4125296841673</v>
      </c>
      <c r="AW5" s="92">
        <f t="shared" si="5"/>
        <v>1480.5784051259982</v>
      </c>
    </row>
    <row r="6" spans="1:49">
      <c r="A6" s="9">
        <v>41426</v>
      </c>
      <c r="B6" s="41">
        <f t="shared" si="6"/>
        <v>0</v>
      </c>
      <c r="C6" s="41">
        <f t="shared" si="6"/>
        <v>0</v>
      </c>
      <c r="D6" s="41">
        <f t="shared" si="6"/>
        <v>0</v>
      </c>
      <c r="E6" s="41">
        <f t="shared" si="6"/>
        <v>20.09</v>
      </c>
      <c r="F6" s="41">
        <f t="shared" si="6"/>
        <v>119.11000000000001</v>
      </c>
      <c r="G6" s="41">
        <f t="shared" si="6"/>
        <v>2534</v>
      </c>
      <c r="H6" s="41">
        <f t="shared" si="6"/>
        <v>890.37999999999988</v>
      </c>
      <c r="I6" s="41">
        <f t="shared" si="6"/>
        <v>137.62</v>
      </c>
      <c r="J6" s="41">
        <f t="shared" si="6"/>
        <v>0</v>
      </c>
      <c r="K6" s="41">
        <f t="shared" si="6"/>
        <v>16.2</v>
      </c>
      <c r="L6" s="41">
        <f t="shared" si="6"/>
        <v>0</v>
      </c>
      <c r="M6" s="41">
        <f t="shared" si="6"/>
        <v>0</v>
      </c>
      <c r="N6" s="6">
        <f t="shared" si="6"/>
        <v>3717.4000000000005</v>
      </c>
      <c r="O6" s="42">
        <f>N4+N5+N6</f>
        <v>12359.29</v>
      </c>
      <c r="P6" s="9">
        <v>41426</v>
      </c>
      <c r="Q6" s="41">
        <f t="shared" si="7"/>
        <v>0</v>
      </c>
      <c r="R6" s="41">
        <f t="shared" si="7"/>
        <v>0</v>
      </c>
      <c r="S6" s="41">
        <f t="shared" si="7"/>
        <v>0</v>
      </c>
      <c r="T6" s="41">
        <f t="shared" si="7"/>
        <v>2282320.4300000002</v>
      </c>
      <c r="U6" s="41">
        <f t="shared" si="7"/>
        <v>10289896.75</v>
      </c>
      <c r="V6" s="41">
        <f t="shared" si="7"/>
        <v>201683462.64999998</v>
      </c>
      <c r="W6" s="41">
        <f t="shared" si="7"/>
        <v>69829099.450000003</v>
      </c>
      <c r="X6" s="41">
        <f t="shared" si="7"/>
        <v>10344421.76</v>
      </c>
      <c r="Y6" s="41">
        <f t="shared" si="7"/>
        <v>0</v>
      </c>
      <c r="Z6" s="41">
        <f t="shared" si="7"/>
        <v>1348760.57</v>
      </c>
      <c r="AA6" s="41">
        <f t="shared" si="7"/>
        <v>0</v>
      </c>
      <c r="AB6" s="41">
        <f t="shared" si="7"/>
        <v>0</v>
      </c>
      <c r="AC6" s="6">
        <f t="shared" si="7"/>
        <v>295777961.61000001</v>
      </c>
      <c r="AE6" s="9">
        <v>41426</v>
      </c>
      <c r="AF6" s="41">
        <f t="shared" si="8"/>
        <v>0</v>
      </c>
      <c r="AG6" s="41">
        <f t="shared" si="8"/>
        <v>0</v>
      </c>
      <c r="AH6" s="41">
        <f t="shared" si="8"/>
        <v>0</v>
      </c>
      <c r="AI6" s="41">
        <f t="shared" si="8"/>
        <v>38552.709966216215</v>
      </c>
      <c r="AJ6" s="41">
        <f t="shared" si="8"/>
        <v>183428.20926122961</v>
      </c>
      <c r="AK6" s="41">
        <f t="shared" si="8"/>
        <v>3538104.1493778196</v>
      </c>
      <c r="AL6" s="41">
        <f t="shared" si="8"/>
        <v>1207288.139971545</v>
      </c>
      <c r="AM6" s="41">
        <f t="shared" si="8"/>
        <v>181959.92541776603</v>
      </c>
      <c r="AN6" s="41">
        <f t="shared" si="8"/>
        <v>0</v>
      </c>
      <c r="AO6" s="41">
        <f t="shared" si="8"/>
        <v>23724.900087950748</v>
      </c>
      <c r="AP6" s="41">
        <f t="shared" si="8"/>
        <v>0</v>
      </c>
      <c r="AQ6" s="41">
        <f t="shared" si="8"/>
        <v>0</v>
      </c>
      <c r="AR6" s="6">
        <f t="shared" si="8"/>
        <v>5173058.0340825263</v>
      </c>
      <c r="AU6" s="92">
        <f t="shared" si="3"/>
        <v>1396.2526240638595</v>
      </c>
      <c r="AV6" s="92">
        <f t="shared" si="4"/>
        <v>1355.9245939616176</v>
      </c>
      <c r="AW6" s="92">
        <f t="shared" si="5"/>
        <v>1322.1909999837671</v>
      </c>
    </row>
    <row r="7" spans="1:49">
      <c r="A7" s="9">
        <v>41456</v>
      </c>
      <c r="B7" s="41">
        <f t="shared" si="6"/>
        <v>0</v>
      </c>
      <c r="C7" s="41">
        <f t="shared" si="6"/>
        <v>0</v>
      </c>
      <c r="D7" s="41">
        <f t="shared" si="6"/>
        <v>0</v>
      </c>
      <c r="E7" s="41">
        <f t="shared" si="6"/>
        <v>0</v>
      </c>
      <c r="F7" s="41">
        <f t="shared" si="6"/>
        <v>59.72</v>
      </c>
      <c r="G7" s="41">
        <f t="shared" si="6"/>
        <v>3982.8900000000003</v>
      </c>
      <c r="H7" s="41">
        <f t="shared" si="6"/>
        <v>897.92</v>
      </c>
      <c r="I7" s="41">
        <f t="shared" si="6"/>
        <v>76.98</v>
      </c>
      <c r="J7" s="41">
        <f t="shared" si="6"/>
        <v>0</v>
      </c>
      <c r="K7" s="41">
        <f t="shared" si="6"/>
        <v>33.200000000000003</v>
      </c>
      <c r="L7" s="41">
        <f t="shared" si="6"/>
        <v>9.1999999999999993</v>
      </c>
      <c r="M7" s="41">
        <f t="shared" si="6"/>
        <v>34</v>
      </c>
      <c r="N7" s="6">
        <f t="shared" si="6"/>
        <v>5093.91</v>
      </c>
      <c r="P7" s="9">
        <v>41456</v>
      </c>
      <c r="Q7" s="41">
        <f t="shared" si="7"/>
        <v>0</v>
      </c>
      <c r="R7" s="41">
        <f t="shared" si="7"/>
        <v>0</v>
      </c>
      <c r="S7" s="41">
        <f t="shared" si="7"/>
        <v>0</v>
      </c>
      <c r="T7" s="41">
        <f t="shared" si="7"/>
        <v>0</v>
      </c>
      <c r="U7" s="41">
        <f t="shared" si="7"/>
        <v>5357293.7</v>
      </c>
      <c r="V7" s="41">
        <f t="shared" si="7"/>
        <v>337016266.70000005</v>
      </c>
      <c r="W7" s="41">
        <f t="shared" si="7"/>
        <v>73579664.650000006</v>
      </c>
      <c r="X7" s="41">
        <f t="shared" si="7"/>
        <v>6411767.8499999996</v>
      </c>
      <c r="Y7" s="41">
        <f t="shared" si="7"/>
        <v>0</v>
      </c>
      <c r="Z7" s="41">
        <f t="shared" si="7"/>
        <v>3213286.4000000004</v>
      </c>
      <c r="AA7" s="41">
        <f t="shared" si="7"/>
        <v>790339.34000000008</v>
      </c>
      <c r="AB7" s="41">
        <f t="shared" si="7"/>
        <v>2913443.02</v>
      </c>
      <c r="AC7" s="6">
        <f t="shared" si="7"/>
        <v>429282061.65999997</v>
      </c>
      <c r="AE7" s="9">
        <v>41456</v>
      </c>
      <c r="AF7" s="41">
        <f t="shared" si="8"/>
        <v>0</v>
      </c>
      <c r="AG7" s="41">
        <f t="shared" si="8"/>
        <v>0</v>
      </c>
      <c r="AH7" s="41">
        <f t="shared" si="8"/>
        <v>0</v>
      </c>
      <c r="AI7" s="41">
        <f t="shared" si="8"/>
        <v>0</v>
      </c>
      <c r="AJ7" s="41">
        <f t="shared" si="8"/>
        <v>88967.870010183367</v>
      </c>
      <c r="AK7" s="41">
        <f t="shared" si="8"/>
        <v>5631945.3774325801</v>
      </c>
      <c r="AL7" s="41">
        <f t="shared" si="8"/>
        <v>1238955.5811942129</v>
      </c>
      <c r="AM7" s="41">
        <f t="shared" si="8"/>
        <v>107118.2318572705</v>
      </c>
      <c r="AN7" s="41">
        <f t="shared" si="8"/>
        <v>0</v>
      </c>
      <c r="AO7" s="41">
        <f t="shared" si="8"/>
        <v>53711.355627524194</v>
      </c>
      <c r="AP7" s="41">
        <f t="shared" si="8"/>
        <v>13164.053661510326</v>
      </c>
      <c r="AQ7" s="41">
        <f t="shared" si="8"/>
        <v>48803.769361357234</v>
      </c>
      <c r="AR7" s="6">
        <f t="shared" si="8"/>
        <v>7182666.2391446391</v>
      </c>
      <c r="AU7" s="92">
        <f t="shared" si="3"/>
        <v>1414.0348785511474</v>
      </c>
      <c r="AV7" s="92">
        <f t="shared" si="4"/>
        <v>1379.8061978730989</v>
      </c>
      <c r="AW7" s="92">
        <f t="shared" si="5"/>
        <v>1391.5072987434462</v>
      </c>
    </row>
    <row r="8" spans="1:49">
      <c r="A8" s="9">
        <v>41487</v>
      </c>
      <c r="B8" s="41">
        <f t="shared" si="6"/>
        <v>0</v>
      </c>
      <c r="C8" s="41">
        <f t="shared" si="6"/>
        <v>0</v>
      </c>
      <c r="D8" s="41">
        <f t="shared" si="6"/>
        <v>0</v>
      </c>
      <c r="E8" s="41">
        <f t="shared" si="6"/>
        <v>0</v>
      </c>
      <c r="F8" s="41">
        <f t="shared" si="6"/>
        <v>39.590000000000003</v>
      </c>
      <c r="G8" s="41">
        <f t="shared" si="6"/>
        <v>3252.4500000000007</v>
      </c>
      <c r="H8" s="41">
        <f t="shared" si="6"/>
        <v>1094.5899999999999</v>
      </c>
      <c r="I8" s="41">
        <f t="shared" si="6"/>
        <v>0</v>
      </c>
      <c r="J8" s="41">
        <f t="shared" si="6"/>
        <v>0</v>
      </c>
      <c r="K8" s="41">
        <f t="shared" si="6"/>
        <v>16.2</v>
      </c>
      <c r="L8" s="41">
        <f t="shared" si="6"/>
        <v>0</v>
      </c>
      <c r="M8" s="41">
        <f t="shared" si="6"/>
        <v>48.599999999999994</v>
      </c>
      <c r="N8" s="6">
        <f t="shared" si="6"/>
        <v>4451.4300000000012</v>
      </c>
      <c r="P8" s="9">
        <v>41487</v>
      </c>
      <c r="Q8" s="41">
        <f t="shared" si="7"/>
        <v>0</v>
      </c>
      <c r="R8" s="41">
        <f t="shared" si="7"/>
        <v>0</v>
      </c>
      <c r="S8" s="41">
        <f t="shared" si="7"/>
        <v>0</v>
      </c>
      <c r="T8" s="41">
        <f t="shared" si="7"/>
        <v>0</v>
      </c>
      <c r="U8" s="41">
        <f t="shared" si="7"/>
        <v>3574153.83</v>
      </c>
      <c r="V8" s="41">
        <f t="shared" si="7"/>
        <v>296432558.26999998</v>
      </c>
      <c r="W8" s="41">
        <f t="shared" si="7"/>
        <v>99324228.420000002</v>
      </c>
      <c r="X8" s="41">
        <f t="shared" si="7"/>
        <v>0</v>
      </c>
      <c r="Y8" s="41">
        <f t="shared" si="7"/>
        <v>0</v>
      </c>
      <c r="Z8" s="41">
        <f t="shared" si="7"/>
        <v>1415190.29</v>
      </c>
      <c r="AA8" s="41">
        <f t="shared" si="7"/>
        <v>0</v>
      </c>
      <c r="AB8" s="41">
        <f t="shared" si="7"/>
        <v>4043430.62</v>
      </c>
      <c r="AC8" s="6">
        <f t="shared" si="7"/>
        <v>404789561.42999995</v>
      </c>
      <c r="AE8" s="9">
        <v>41487</v>
      </c>
      <c r="AF8" s="41">
        <f t="shared" si="8"/>
        <v>0</v>
      </c>
      <c r="AG8" s="41">
        <f t="shared" si="8"/>
        <v>0</v>
      </c>
      <c r="AH8" s="41">
        <f t="shared" si="8"/>
        <v>0</v>
      </c>
      <c r="AI8" s="41">
        <f t="shared" si="8"/>
        <v>0</v>
      </c>
      <c r="AJ8" s="41">
        <f t="shared" si="8"/>
        <v>57902.327166533898</v>
      </c>
      <c r="AK8" s="41">
        <f t="shared" si="8"/>
        <v>4791260.8754753657</v>
      </c>
      <c r="AL8" s="41">
        <f t="shared" si="8"/>
        <v>1609561.3216035678</v>
      </c>
      <c r="AM8" s="41">
        <f t="shared" si="8"/>
        <v>0</v>
      </c>
      <c r="AN8" s="41">
        <f t="shared" si="8"/>
        <v>0</v>
      </c>
      <c r="AO8" s="41">
        <f t="shared" si="8"/>
        <v>22992.531112916331</v>
      </c>
      <c r="AP8" s="41">
        <f t="shared" si="8"/>
        <v>0</v>
      </c>
      <c r="AQ8" s="41">
        <f t="shared" si="8"/>
        <v>65567.146607890667</v>
      </c>
      <c r="AR8" s="6">
        <f t="shared" si="8"/>
        <v>6547284.2019662736</v>
      </c>
      <c r="AU8" s="92">
        <f t="shared" si="3"/>
        <v>1473.1236069656304</v>
      </c>
      <c r="AV8" s="92">
        <f t="shared" si="4"/>
        <v>1470.4696019546752</v>
      </c>
      <c r="AW8" s="92" t="e">
        <f t="shared" si="5"/>
        <v>#DIV/0!</v>
      </c>
    </row>
    <row r="9" spans="1:49">
      <c r="A9" s="9">
        <v>41518</v>
      </c>
      <c r="B9" s="41">
        <f t="shared" si="6"/>
        <v>0</v>
      </c>
      <c r="C9" s="41">
        <f t="shared" si="6"/>
        <v>0</v>
      </c>
      <c r="D9" s="41">
        <f t="shared" si="6"/>
        <v>19.760000000000002</v>
      </c>
      <c r="E9" s="41">
        <f t="shared" si="6"/>
        <v>0</v>
      </c>
      <c r="F9" s="41">
        <f t="shared" si="6"/>
        <v>8.33</v>
      </c>
      <c r="G9" s="41">
        <f t="shared" si="6"/>
        <v>2585.4199999999996</v>
      </c>
      <c r="H9" s="41">
        <f t="shared" si="6"/>
        <v>1375.090005</v>
      </c>
      <c r="I9" s="41">
        <f t="shared" si="6"/>
        <v>230.16</v>
      </c>
      <c r="J9" s="41">
        <f t="shared" si="6"/>
        <v>0</v>
      </c>
      <c r="K9" s="41">
        <f t="shared" si="6"/>
        <v>0</v>
      </c>
      <c r="L9" s="41">
        <f t="shared" si="6"/>
        <v>19.740000000000002</v>
      </c>
      <c r="M9" s="41">
        <f t="shared" si="6"/>
        <v>64.400000000000006</v>
      </c>
      <c r="N9" s="6">
        <f t="shared" si="6"/>
        <v>4302.9000049999995</v>
      </c>
      <c r="O9" s="42">
        <f>N7+N8+N9</f>
        <v>13848.240005</v>
      </c>
      <c r="P9" s="9">
        <v>41518</v>
      </c>
      <c r="Q9" s="41">
        <f t="shared" si="7"/>
        <v>0</v>
      </c>
      <c r="R9" s="41">
        <f t="shared" si="7"/>
        <v>0</v>
      </c>
      <c r="S9" s="41">
        <f t="shared" si="7"/>
        <v>2999857.49</v>
      </c>
      <c r="T9" s="41">
        <f t="shared" si="7"/>
        <v>0</v>
      </c>
      <c r="U9" s="41">
        <f t="shared" si="7"/>
        <v>1025394.07</v>
      </c>
      <c r="V9" s="41">
        <f t="shared" si="7"/>
        <v>243889431.08000001</v>
      </c>
      <c r="W9" s="41">
        <f t="shared" si="7"/>
        <v>133461819.73999999</v>
      </c>
      <c r="X9" s="41">
        <f t="shared" si="7"/>
        <v>24617673.280000001</v>
      </c>
      <c r="Y9" s="41">
        <f t="shared" si="7"/>
        <v>0</v>
      </c>
      <c r="Z9" s="41">
        <f t="shared" si="7"/>
        <v>0</v>
      </c>
      <c r="AA9" s="41">
        <f t="shared" si="7"/>
        <v>1468850.12</v>
      </c>
      <c r="AB9" s="41">
        <f t="shared" si="7"/>
        <v>5928390.6400000006</v>
      </c>
      <c r="AC9" s="6">
        <f t="shared" si="7"/>
        <v>413391416.42000002</v>
      </c>
      <c r="AE9" s="9">
        <v>41518</v>
      </c>
      <c r="AF9" s="41">
        <f t="shared" si="8"/>
        <v>0</v>
      </c>
      <c r="AG9" s="41">
        <f t="shared" si="8"/>
        <v>0</v>
      </c>
      <c r="AH9" s="41">
        <f t="shared" si="8"/>
        <v>47503.681551860653</v>
      </c>
      <c r="AI9" s="41">
        <f t="shared" si="8"/>
        <v>0</v>
      </c>
      <c r="AJ9" s="41">
        <f t="shared" si="8"/>
        <v>15532.301634139936</v>
      </c>
      <c r="AK9" s="41">
        <f t="shared" si="8"/>
        <v>3791754.9462760855</v>
      </c>
      <c r="AL9" s="41">
        <f t="shared" si="8"/>
        <v>2045415.7904381263</v>
      </c>
      <c r="AM9" s="41">
        <f t="shared" si="8"/>
        <v>381811.43134088698</v>
      </c>
      <c r="AN9" s="41">
        <f t="shared" si="8"/>
        <v>0</v>
      </c>
      <c r="AO9" s="41">
        <f t="shared" si="8"/>
        <v>0</v>
      </c>
      <c r="AP9" s="41">
        <f t="shared" si="8"/>
        <v>21923.136119402985</v>
      </c>
      <c r="AQ9" s="41">
        <f t="shared" si="8"/>
        <v>91248.453980144841</v>
      </c>
      <c r="AR9" s="6">
        <f t="shared" si="8"/>
        <v>6395189.7413406465</v>
      </c>
      <c r="AU9" s="92">
        <f t="shared" si="3"/>
        <v>1466.5914807946431</v>
      </c>
      <c r="AV9" s="92">
        <f t="shared" si="4"/>
        <v>1487.4777527294486</v>
      </c>
      <c r="AW9" s="92">
        <f t="shared" si="5"/>
        <v>1658.8956870910974</v>
      </c>
    </row>
    <row r="10" spans="1:49">
      <c r="A10" s="9">
        <v>41548</v>
      </c>
      <c r="B10" s="41">
        <f t="shared" si="6"/>
        <v>0</v>
      </c>
      <c r="C10" s="41">
        <f t="shared" si="6"/>
        <v>0</v>
      </c>
      <c r="D10" s="41">
        <f t="shared" si="6"/>
        <v>0</v>
      </c>
      <c r="E10" s="41">
        <f t="shared" si="6"/>
        <v>0</v>
      </c>
      <c r="F10" s="41">
        <f t="shared" si="6"/>
        <v>38.53</v>
      </c>
      <c r="G10" s="41">
        <f t="shared" si="6"/>
        <v>3324.2399999999993</v>
      </c>
      <c r="H10" s="41">
        <f t="shared" si="6"/>
        <v>934.08</v>
      </c>
      <c r="I10" s="41">
        <f t="shared" si="6"/>
        <v>190.01007000000001</v>
      </c>
      <c r="J10" s="41">
        <f t="shared" si="6"/>
        <v>0</v>
      </c>
      <c r="K10" s="41">
        <f t="shared" si="6"/>
        <v>0</v>
      </c>
      <c r="L10" s="41">
        <f t="shared" si="6"/>
        <v>0</v>
      </c>
      <c r="M10" s="41">
        <f t="shared" si="6"/>
        <v>0</v>
      </c>
      <c r="N10" s="6">
        <f t="shared" si="6"/>
        <v>4486.8600699999988</v>
      </c>
      <c r="P10" s="9">
        <v>41548</v>
      </c>
      <c r="Q10" s="41">
        <f t="shared" si="7"/>
        <v>0</v>
      </c>
      <c r="R10" s="41">
        <f t="shared" si="7"/>
        <v>0</v>
      </c>
      <c r="S10" s="41">
        <f t="shared" si="7"/>
        <v>0</v>
      </c>
      <c r="T10" s="41">
        <f t="shared" si="7"/>
        <v>0</v>
      </c>
      <c r="U10" s="41">
        <f t="shared" si="7"/>
        <v>3994945.21</v>
      </c>
      <c r="V10" s="41">
        <f t="shared" si="7"/>
        <v>314776114.61000001</v>
      </c>
      <c r="W10" s="41">
        <f t="shared" si="7"/>
        <v>84505923.640000001</v>
      </c>
      <c r="X10" s="41">
        <f t="shared" si="7"/>
        <v>17723355.780000001</v>
      </c>
      <c r="Y10" s="41">
        <f t="shared" si="7"/>
        <v>0</v>
      </c>
      <c r="Z10" s="41">
        <f t="shared" si="7"/>
        <v>0</v>
      </c>
      <c r="AA10" s="41">
        <f t="shared" si="7"/>
        <v>0</v>
      </c>
      <c r="AB10" s="41">
        <f t="shared" si="7"/>
        <v>0</v>
      </c>
      <c r="AC10" s="6">
        <f t="shared" si="7"/>
        <v>421000339.24000001</v>
      </c>
      <c r="AE10" s="9">
        <v>41548</v>
      </c>
      <c r="AF10" s="41">
        <f t="shared" si="8"/>
        <v>0</v>
      </c>
      <c r="AG10" s="41">
        <f t="shared" si="8"/>
        <v>0</v>
      </c>
      <c r="AH10" s="41">
        <f t="shared" si="8"/>
        <v>0</v>
      </c>
      <c r="AI10" s="41">
        <f t="shared" si="8"/>
        <v>0</v>
      </c>
      <c r="AJ10" s="41">
        <f t="shared" si="8"/>
        <v>64048.946902927812</v>
      </c>
      <c r="AK10" s="41">
        <f t="shared" si="8"/>
        <v>5038233.9208727805</v>
      </c>
      <c r="AL10" s="41">
        <f t="shared" si="8"/>
        <v>1351013.9670663471</v>
      </c>
      <c r="AM10" s="41">
        <f t="shared" si="8"/>
        <v>283939.826971606</v>
      </c>
      <c r="AN10" s="41">
        <f t="shared" si="8"/>
        <v>0</v>
      </c>
      <c r="AO10" s="41">
        <f t="shared" si="8"/>
        <v>0</v>
      </c>
      <c r="AP10" s="41">
        <f t="shared" si="8"/>
        <v>0</v>
      </c>
      <c r="AQ10" s="41">
        <f t="shared" si="8"/>
        <v>0</v>
      </c>
      <c r="AR10" s="6">
        <f t="shared" si="8"/>
        <v>6737236.6618136615</v>
      </c>
      <c r="AU10" s="92">
        <f t="shared" si="3"/>
        <v>1515.6047460089469</v>
      </c>
      <c r="AV10" s="92">
        <f t="shared" si="4"/>
        <v>1446.3578784112144</v>
      </c>
      <c r="AW10" s="92">
        <f t="shared" si="5"/>
        <v>1494.340941885901</v>
      </c>
    </row>
    <row r="11" spans="1:49">
      <c r="A11" s="9">
        <v>41579</v>
      </c>
      <c r="B11" s="41">
        <f t="shared" si="6"/>
        <v>0</v>
      </c>
      <c r="C11" s="41">
        <f t="shared" si="6"/>
        <v>0</v>
      </c>
      <c r="D11" s="41">
        <f t="shared" si="6"/>
        <v>0</v>
      </c>
      <c r="E11" s="41">
        <f t="shared" si="6"/>
        <v>0</v>
      </c>
      <c r="F11" s="41">
        <f t="shared" si="6"/>
        <v>59.730000000000004</v>
      </c>
      <c r="G11" s="41">
        <f t="shared" si="6"/>
        <v>3121.4800000000005</v>
      </c>
      <c r="H11" s="41">
        <f t="shared" si="6"/>
        <v>537.07999999999993</v>
      </c>
      <c r="I11" s="41">
        <f t="shared" si="6"/>
        <v>616.41999999999996</v>
      </c>
      <c r="J11" s="41">
        <f t="shared" si="6"/>
        <v>0</v>
      </c>
      <c r="K11" s="41">
        <f t="shared" si="6"/>
        <v>4</v>
      </c>
      <c r="L11" s="41">
        <f t="shared" si="6"/>
        <v>8</v>
      </c>
      <c r="M11" s="41">
        <f t="shared" si="6"/>
        <v>0</v>
      </c>
      <c r="N11" s="6">
        <f t="shared" si="6"/>
        <v>4346.71</v>
      </c>
      <c r="P11" s="9">
        <v>41579</v>
      </c>
      <c r="Q11" s="41">
        <f t="shared" si="7"/>
        <v>0</v>
      </c>
      <c r="R11" s="41">
        <f t="shared" si="7"/>
        <v>0</v>
      </c>
      <c r="S11" s="41">
        <f t="shared" si="7"/>
        <v>0</v>
      </c>
      <c r="T11" s="41">
        <f t="shared" si="7"/>
        <v>0</v>
      </c>
      <c r="U11" s="41">
        <f t="shared" si="7"/>
        <v>6188503.5399999991</v>
      </c>
      <c r="V11" s="41">
        <f t="shared" si="7"/>
        <v>297657583.50999999</v>
      </c>
      <c r="W11" s="41">
        <f t="shared" si="7"/>
        <v>46173835.61999999</v>
      </c>
      <c r="X11" s="41">
        <f t="shared" si="7"/>
        <v>62152287.219999999</v>
      </c>
      <c r="Y11" s="41">
        <f t="shared" si="7"/>
        <v>0</v>
      </c>
      <c r="Z11" s="41">
        <f t="shared" si="7"/>
        <v>457043.08</v>
      </c>
      <c r="AA11" s="41">
        <f t="shared" si="7"/>
        <v>775667.41</v>
      </c>
      <c r="AB11" s="41">
        <f t="shared" si="7"/>
        <v>0</v>
      </c>
      <c r="AC11" s="6">
        <f t="shared" si="7"/>
        <v>413404920.37999994</v>
      </c>
      <c r="AE11" s="9">
        <v>41579</v>
      </c>
      <c r="AF11" s="41">
        <f t="shared" si="8"/>
        <v>0</v>
      </c>
      <c r="AG11" s="41">
        <f t="shared" si="8"/>
        <v>0</v>
      </c>
      <c r="AH11" s="41">
        <f t="shared" si="8"/>
        <v>0</v>
      </c>
      <c r="AI11" s="41">
        <f t="shared" si="8"/>
        <v>0</v>
      </c>
      <c r="AJ11" s="41">
        <f t="shared" si="8"/>
        <v>98074.541045958787</v>
      </c>
      <c r="AK11" s="41">
        <f t="shared" si="8"/>
        <v>4726112.9621948879</v>
      </c>
      <c r="AL11" s="41">
        <f t="shared" si="8"/>
        <v>730913.93464272202</v>
      </c>
      <c r="AM11" s="41">
        <f t="shared" si="8"/>
        <v>982433.17435400549</v>
      </c>
      <c r="AN11" s="41">
        <f t="shared" si="8"/>
        <v>0</v>
      </c>
      <c r="AO11" s="41">
        <f t="shared" si="8"/>
        <v>7243.1549920760699</v>
      </c>
      <c r="AP11" s="41">
        <f t="shared" si="8"/>
        <v>12292.668938193345</v>
      </c>
      <c r="AQ11" s="41">
        <f t="shared" si="8"/>
        <v>0</v>
      </c>
      <c r="AR11" s="6">
        <f t="shared" si="8"/>
        <v>6557070.4361678436</v>
      </c>
      <c r="AU11" s="92">
        <f t="shared" si="3"/>
        <v>1514.0615868738187</v>
      </c>
      <c r="AV11" s="92">
        <f t="shared" si="4"/>
        <v>1360.9032818997582</v>
      </c>
      <c r="AW11" s="92">
        <f t="shared" si="5"/>
        <v>1593.7723862853341</v>
      </c>
    </row>
    <row r="12" spans="1:49">
      <c r="A12" s="9">
        <v>41609</v>
      </c>
      <c r="B12" s="41">
        <f t="shared" si="6"/>
        <v>0</v>
      </c>
      <c r="C12" s="41">
        <f t="shared" si="6"/>
        <v>0</v>
      </c>
      <c r="D12" s="41">
        <f t="shared" si="6"/>
        <v>0</v>
      </c>
      <c r="E12" s="41">
        <f t="shared" si="6"/>
        <v>0</v>
      </c>
      <c r="F12" s="41">
        <f t="shared" si="6"/>
        <v>118.91</v>
      </c>
      <c r="G12" s="41">
        <f t="shared" si="6"/>
        <v>3139.0799999999995</v>
      </c>
      <c r="H12" s="41">
        <f t="shared" si="6"/>
        <v>896.13</v>
      </c>
      <c r="I12" s="41">
        <f t="shared" si="6"/>
        <v>118.38</v>
      </c>
      <c r="J12" s="41">
        <f t="shared" si="6"/>
        <v>0</v>
      </c>
      <c r="K12" s="41">
        <f t="shared" si="6"/>
        <v>6</v>
      </c>
      <c r="L12" s="41">
        <f t="shared" si="6"/>
        <v>12</v>
      </c>
      <c r="M12" s="41">
        <f t="shared" si="6"/>
        <v>0</v>
      </c>
      <c r="N12" s="6">
        <f t="shared" si="6"/>
        <v>4290.4999999999991</v>
      </c>
      <c r="O12" s="42">
        <f>N10+N11+N12</f>
        <v>13124.070069999998</v>
      </c>
      <c r="P12" s="9">
        <v>41609</v>
      </c>
      <c r="Q12" s="41">
        <f t="shared" si="7"/>
        <v>0</v>
      </c>
      <c r="R12" s="41">
        <f t="shared" si="7"/>
        <v>0</v>
      </c>
      <c r="S12" s="41">
        <f t="shared" si="7"/>
        <v>0</v>
      </c>
      <c r="T12" s="41">
        <f t="shared" si="7"/>
        <v>0</v>
      </c>
      <c r="U12" s="41">
        <f t="shared" si="7"/>
        <v>12326582.719999999</v>
      </c>
      <c r="V12" s="41">
        <f t="shared" si="7"/>
        <v>311151449.38</v>
      </c>
      <c r="W12" s="41">
        <f t="shared" si="7"/>
        <v>87408440.870000005</v>
      </c>
      <c r="X12" s="41">
        <f t="shared" si="7"/>
        <v>11642896.440000001</v>
      </c>
      <c r="Y12" s="41">
        <f t="shared" si="7"/>
        <v>0</v>
      </c>
      <c r="Z12" s="41">
        <f t="shared" si="7"/>
        <v>683441.7</v>
      </c>
      <c r="AA12" s="41">
        <f t="shared" si="7"/>
        <v>1176611.6499999999</v>
      </c>
      <c r="AB12" s="41">
        <f t="shared" si="7"/>
        <v>0</v>
      </c>
      <c r="AC12" s="6">
        <f t="shared" si="7"/>
        <v>424389422.75999999</v>
      </c>
      <c r="AE12" s="9">
        <v>41609</v>
      </c>
      <c r="AF12" s="41">
        <f t="shared" si="8"/>
        <v>0</v>
      </c>
      <c r="AG12" s="41">
        <f t="shared" si="8"/>
        <v>0</v>
      </c>
      <c r="AH12" s="41">
        <f t="shared" si="8"/>
        <v>0</v>
      </c>
      <c r="AI12" s="41">
        <f t="shared" si="8"/>
        <v>0</v>
      </c>
      <c r="AJ12" s="41">
        <f t="shared" si="8"/>
        <v>197231.21823577897</v>
      </c>
      <c r="AK12" s="41">
        <f t="shared" si="8"/>
        <v>4968698.6572545869</v>
      </c>
      <c r="AL12" s="41">
        <f t="shared" si="8"/>
        <v>1391956.2811058343</v>
      </c>
      <c r="AM12" s="41">
        <f t="shared" si="8"/>
        <v>185013.99380877329</v>
      </c>
      <c r="AN12" s="41">
        <f t="shared" si="8"/>
        <v>0</v>
      </c>
      <c r="AO12" s="41">
        <f t="shared" si="8"/>
        <v>10970.171749598716</v>
      </c>
      <c r="AP12" s="41">
        <f t="shared" si="8"/>
        <v>18886.222311396472</v>
      </c>
      <c r="AQ12" s="41">
        <f t="shared" si="8"/>
        <v>0</v>
      </c>
      <c r="AR12" s="6">
        <f t="shared" si="8"/>
        <v>6772756.5444659684</v>
      </c>
      <c r="AU12" s="92">
        <f t="shared" si="3"/>
        <v>1582.8518729228269</v>
      </c>
      <c r="AV12" s="92">
        <f t="shared" si="4"/>
        <v>1553.2972683715916</v>
      </c>
      <c r="AW12" s="92">
        <f t="shared" si="5"/>
        <v>1562.8821913226329</v>
      </c>
    </row>
    <row r="13" spans="1:49">
      <c r="A13" s="9">
        <v>41640</v>
      </c>
      <c r="B13" s="41">
        <f t="shared" si="6"/>
        <v>0</v>
      </c>
      <c r="C13" s="41">
        <f t="shared" si="6"/>
        <v>0</v>
      </c>
      <c r="D13" s="41">
        <f t="shared" si="6"/>
        <v>0</v>
      </c>
      <c r="E13" s="41">
        <f t="shared" si="6"/>
        <v>37.049999999999997</v>
      </c>
      <c r="F13" s="41">
        <f t="shared" si="6"/>
        <v>65.27</v>
      </c>
      <c r="G13" s="41">
        <f t="shared" si="6"/>
        <v>3433.3</v>
      </c>
      <c r="H13" s="41">
        <f t="shared" si="6"/>
        <v>797.24</v>
      </c>
      <c r="I13" s="41">
        <f t="shared" si="6"/>
        <v>252.07999999999998</v>
      </c>
      <c r="J13" s="41">
        <f t="shared" si="6"/>
        <v>0</v>
      </c>
      <c r="K13" s="41">
        <f t="shared" si="6"/>
        <v>12</v>
      </c>
      <c r="L13" s="41">
        <f t="shared" si="6"/>
        <v>0</v>
      </c>
      <c r="M13" s="41">
        <f t="shared" si="6"/>
        <v>0</v>
      </c>
      <c r="N13" s="6">
        <f t="shared" si="6"/>
        <v>4596.9399999999996</v>
      </c>
      <c r="P13" s="9">
        <v>41640</v>
      </c>
      <c r="Q13" s="41">
        <f t="shared" si="7"/>
        <v>0</v>
      </c>
      <c r="R13" s="41">
        <f t="shared" si="7"/>
        <v>0</v>
      </c>
      <c r="S13" s="41">
        <f t="shared" si="7"/>
        <v>0</v>
      </c>
      <c r="T13" s="41">
        <f t="shared" si="7"/>
        <v>6214665.6699999999</v>
      </c>
      <c r="U13" s="41">
        <f t="shared" si="7"/>
        <v>7708664.2599999998</v>
      </c>
      <c r="V13" s="41">
        <f t="shared" si="7"/>
        <v>342077914.16000003</v>
      </c>
      <c r="W13" s="41">
        <f t="shared" si="7"/>
        <v>80736323.159999996</v>
      </c>
      <c r="X13" s="41">
        <f t="shared" si="7"/>
        <v>25067769.199999999</v>
      </c>
      <c r="Y13" s="41">
        <f t="shared" si="7"/>
        <v>0</v>
      </c>
      <c r="Z13" s="41">
        <f t="shared" si="7"/>
        <v>1369997.05</v>
      </c>
      <c r="AA13" s="41">
        <f t="shared" si="7"/>
        <v>0</v>
      </c>
      <c r="AB13" s="41">
        <f t="shared" si="7"/>
        <v>0</v>
      </c>
      <c r="AC13" s="6">
        <f t="shared" si="7"/>
        <v>463175333.50000006</v>
      </c>
      <c r="AE13" s="9">
        <v>41640</v>
      </c>
      <c r="AF13" s="41">
        <f t="shared" si="8"/>
        <v>0</v>
      </c>
      <c r="AG13" s="41">
        <f t="shared" si="8"/>
        <v>0</v>
      </c>
      <c r="AH13" s="41">
        <f t="shared" si="8"/>
        <v>0</v>
      </c>
      <c r="AI13" s="41">
        <f t="shared" si="8"/>
        <v>99673.868003207695</v>
      </c>
      <c r="AJ13" s="41">
        <f t="shared" si="8"/>
        <v>123716.03699915166</v>
      </c>
      <c r="AK13" s="41">
        <f t="shared" si="8"/>
        <v>5486522.2607256528</v>
      </c>
      <c r="AL13" s="41">
        <f t="shared" si="8"/>
        <v>1296450.2267967882</v>
      </c>
      <c r="AM13" s="41">
        <f t="shared" si="8"/>
        <v>402269.38152773282</v>
      </c>
      <c r="AN13" s="41">
        <f t="shared" si="8"/>
        <v>0</v>
      </c>
      <c r="AO13" s="41">
        <f t="shared" si="8"/>
        <v>22025.676045016076</v>
      </c>
      <c r="AP13" s="41">
        <f t="shared" si="8"/>
        <v>0</v>
      </c>
      <c r="AQ13" s="41">
        <f t="shared" si="8"/>
        <v>0</v>
      </c>
      <c r="AR13" s="6">
        <f t="shared" si="8"/>
        <v>7430657.4500975488</v>
      </c>
      <c r="AU13" s="92">
        <f t="shared" si="3"/>
        <v>1598.0317073153096</v>
      </c>
      <c r="AV13" s="92">
        <f t="shared" si="4"/>
        <v>1626.1730806241385</v>
      </c>
      <c r="AW13" s="92">
        <f t="shared" si="5"/>
        <v>1595.8004662318822</v>
      </c>
    </row>
    <row r="14" spans="1:49">
      <c r="A14" s="9">
        <v>41671</v>
      </c>
      <c r="B14" s="41">
        <f t="shared" si="6"/>
        <v>0</v>
      </c>
      <c r="C14" s="41">
        <f t="shared" si="6"/>
        <v>0</v>
      </c>
      <c r="D14" s="41">
        <f t="shared" si="6"/>
        <v>0</v>
      </c>
      <c r="E14" s="41">
        <f t="shared" si="6"/>
        <v>0</v>
      </c>
      <c r="F14" s="41">
        <f t="shared" si="6"/>
        <v>65.23</v>
      </c>
      <c r="G14" s="41">
        <f t="shared" si="6"/>
        <v>4852.369999999999</v>
      </c>
      <c r="H14" s="41">
        <f t="shared" si="6"/>
        <v>797.47</v>
      </c>
      <c r="I14" s="41">
        <f t="shared" si="6"/>
        <v>156.51</v>
      </c>
      <c r="J14" s="41">
        <f t="shared" si="6"/>
        <v>0</v>
      </c>
      <c r="K14" s="41">
        <f t="shared" si="6"/>
        <v>30</v>
      </c>
      <c r="L14" s="41">
        <f t="shared" si="6"/>
        <v>28</v>
      </c>
      <c r="M14" s="41">
        <f t="shared" si="6"/>
        <v>0</v>
      </c>
      <c r="N14" s="6">
        <f t="shared" si="6"/>
        <v>5929.58</v>
      </c>
      <c r="P14" s="9">
        <v>41671</v>
      </c>
      <c r="Q14" s="41">
        <f t="shared" si="7"/>
        <v>0</v>
      </c>
      <c r="R14" s="41">
        <f t="shared" si="7"/>
        <v>0</v>
      </c>
      <c r="S14" s="41">
        <f t="shared" si="7"/>
        <v>0</v>
      </c>
      <c r="T14" s="41">
        <f t="shared" si="7"/>
        <v>0</v>
      </c>
      <c r="U14" s="41">
        <f t="shared" si="7"/>
        <v>7434444.5199999996</v>
      </c>
      <c r="V14" s="41">
        <f t="shared" si="7"/>
        <v>486128267.54000002</v>
      </c>
      <c r="W14" s="41">
        <f t="shared" si="7"/>
        <v>95056498.120000005</v>
      </c>
      <c r="X14" s="41">
        <f t="shared" si="7"/>
        <v>16817334.490000002</v>
      </c>
      <c r="Y14" s="41">
        <f t="shared" si="7"/>
        <v>0</v>
      </c>
      <c r="Z14" s="41">
        <f t="shared" si="7"/>
        <v>3452366.86</v>
      </c>
      <c r="AA14" s="41">
        <f t="shared" si="7"/>
        <v>3019268.96</v>
      </c>
      <c r="AB14" s="41">
        <f t="shared" si="7"/>
        <v>0</v>
      </c>
      <c r="AC14" s="6">
        <f t="shared" si="7"/>
        <v>611908180.48999989</v>
      </c>
      <c r="AE14" s="9">
        <v>41671</v>
      </c>
      <c r="AF14" s="41">
        <f t="shared" si="8"/>
        <v>0</v>
      </c>
      <c r="AG14" s="41">
        <f t="shared" si="8"/>
        <v>0</v>
      </c>
      <c r="AH14" s="41">
        <f t="shared" si="8"/>
        <v>0</v>
      </c>
      <c r="AI14" s="41">
        <f t="shared" si="8"/>
        <v>0</v>
      </c>
      <c r="AJ14" s="41">
        <f t="shared" si="8"/>
        <v>118100.78665607625</v>
      </c>
      <c r="AK14" s="41">
        <f t="shared" si="8"/>
        <v>7735813.2092185142</v>
      </c>
      <c r="AL14" s="41">
        <f t="shared" si="8"/>
        <v>1510031.7413820492</v>
      </c>
      <c r="AM14" s="41">
        <f t="shared" si="8"/>
        <v>267153.84416203335</v>
      </c>
      <c r="AN14" s="41">
        <f t="shared" si="8"/>
        <v>0</v>
      </c>
      <c r="AO14" s="41">
        <f t="shared" si="8"/>
        <v>54843.00015885623</v>
      </c>
      <c r="AP14" s="41">
        <f t="shared" si="8"/>
        <v>48213.360127851178</v>
      </c>
      <c r="AQ14" s="41">
        <f t="shared" si="8"/>
        <v>0</v>
      </c>
      <c r="AR14" s="6">
        <f t="shared" si="8"/>
        <v>9734155.9417053796</v>
      </c>
      <c r="AU14" s="92">
        <f t="shared" si="3"/>
        <v>1594.2339947733819</v>
      </c>
      <c r="AV14" s="92">
        <f t="shared" si="4"/>
        <v>1893.527958897575</v>
      </c>
      <c r="AW14" s="92">
        <f t="shared" si="5"/>
        <v>1706.9442474093244</v>
      </c>
    </row>
    <row r="15" spans="1:49">
      <c r="A15" s="9">
        <v>41699</v>
      </c>
      <c r="B15" s="41">
        <f t="shared" si="6"/>
        <v>0</v>
      </c>
      <c r="C15" s="41">
        <f t="shared" si="6"/>
        <v>0</v>
      </c>
      <c r="D15" s="41">
        <f t="shared" si="6"/>
        <v>38.299999999999997</v>
      </c>
      <c r="E15" s="41">
        <f t="shared" si="6"/>
        <v>0</v>
      </c>
      <c r="F15" s="41">
        <f t="shared" si="6"/>
        <v>78.81</v>
      </c>
      <c r="G15" s="41">
        <f t="shared" si="6"/>
        <v>5995.94</v>
      </c>
      <c r="H15" s="41">
        <f t="shared" si="6"/>
        <v>1247.6499999999999</v>
      </c>
      <c r="I15" s="41">
        <f t="shared" si="6"/>
        <v>176.24</v>
      </c>
      <c r="J15" s="41">
        <f t="shared" si="6"/>
        <v>0</v>
      </c>
      <c r="K15" s="41">
        <f t="shared" si="6"/>
        <v>54.8</v>
      </c>
      <c r="L15" s="41">
        <f t="shared" si="6"/>
        <v>14</v>
      </c>
      <c r="M15" s="41">
        <f t="shared" si="6"/>
        <v>3.3639999999999999</v>
      </c>
      <c r="N15" s="6">
        <f t="shared" si="6"/>
        <v>7609.1039999999994</v>
      </c>
      <c r="O15" s="42">
        <f>N13+N14+N15</f>
        <v>18135.624</v>
      </c>
      <c r="P15" s="9">
        <v>41699</v>
      </c>
      <c r="Q15" s="41">
        <f t="shared" si="7"/>
        <v>0</v>
      </c>
      <c r="R15" s="41">
        <f t="shared" si="7"/>
        <v>0</v>
      </c>
      <c r="S15" s="41">
        <f t="shared" si="7"/>
        <v>6098057.71</v>
      </c>
      <c r="T15" s="41">
        <f t="shared" si="7"/>
        <v>0</v>
      </c>
      <c r="U15" s="41">
        <f t="shared" si="7"/>
        <v>9139657.7199999988</v>
      </c>
      <c r="V15" s="41">
        <f t="shared" si="7"/>
        <v>598555324.51999998</v>
      </c>
      <c r="W15" s="41">
        <f t="shared" si="7"/>
        <v>137894620.21000001</v>
      </c>
      <c r="X15" s="41">
        <f t="shared" si="7"/>
        <v>18961556.280000001</v>
      </c>
      <c r="Y15" s="41">
        <f t="shared" si="7"/>
        <v>0</v>
      </c>
      <c r="Z15" s="41">
        <f t="shared" si="7"/>
        <v>5556944.2699999996</v>
      </c>
      <c r="AA15" s="41">
        <f t="shared" si="7"/>
        <v>1508741.54</v>
      </c>
      <c r="AB15" s="41">
        <f t="shared" si="7"/>
        <v>276313.92000000004</v>
      </c>
      <c r="AC15" s="6">
        <f t="shared" si="7"/>
        <v>777991216.16999996</v>
      </c>
      <c r="AE15" s="9">
        <v>41699</v>
      </c>
      <c r="AF15" s="41">
        <f t="shared" si="8"/>
        <v>0</v>
      </c>
      <c r="AG15" s="41">
        <f t="shared" si="8"/>
        <v>0</v>
      </c>
      <c r="AH15" s="41">
        <f t="shared" si="8"/>
        <v>98528.275880240297</v>
      </c>
      <c r="AI15" s="41">
        <f t="shared" si="8"/>
        <v>0</v>
      </c>
      <c r="AJ15" s="41">
        <f t="shared" si="8"/>
        <v>147413.83419354836</v>
      </c>
      <c r="AK15" s="41">
        <f t="shared" si="8"/>
        <v>9644234.6690907292</v>
      </c>
      <c r="AL15" s="41">
        <f t="shared" si="8"/>
        <v>2221413.963967897</v>
      </c>
      <c r="AM15" s="41">
        <f t="shared" si="8"/>
        <v>305343.86512003897</v>
      </c>
      <c r="AN15" s="41">
        <f t="shared" si="8"/>
        <v>0</v>
      </c>
      <c r="AO15" s="41">
        <f t="shared" si="8"/>
        <v>89991.000323886634</v>
      </c>
      <c r="AP15" s="41">
        <f t="shared" si="8"/>
        <v>23967.300079428118</v>
      </c>
      <c r="AQ15" s="41">
        <f t="shared" si="8"/>
        <v>4429.6199523431296</v>
      </c>
      <c r="AR15" s="6">
        <f t="shared" si="8"/>
        <v>12535322.52860811</v>
      </c>
      <c r="AU15" s="92">
        <f t="shared" si="3"/>
        <v>1608.4608366812761</v>
      </c>
      <c r="AV15" s="92">
        <f t="shared" si="4"/>
        <v>1780.4784706992323</v>
      </c>
      <c r="AW15" s="92">
        <f t="shared" si="5"/>
        <v>1732.545762142754</v>
      </c>
    </row>
    <row r="16" spans="1:49">
      <c r="A16" s="28" t="s">
        <v>4</v>
      </c>
      <c r="B16" s="91">
        <f t="shared" si="6"/>
        <v>0</v>
      </c>
      <c r="C16" s="91">
        <f t="shared" si="6"/>
        <v>0</v>
      </c>
      <c r="D16" s="91">
        <f t="shared" si="6"/>
        <v>58.06</v>
      </c>
      <c r="E16" s="91">
        <f t="shared" si="6"/>
        <v>57.14</v>
      </c>
      <c r="F16" s="91">
        <f t="shared" si="6"/>
        <v>677.77</v>
      </c>
      <c r="G16" s="91">
        <f t="shared" si="6"/>
        <v>43047.42</v>
      </c>
      <c r="H16" s="91">
        <f t="shared" si="6"/>
        <v>10754.320005</v>
      </c>
      <c r="I16" s="91">
        <f t="shared" si="6"/>
        <v>2322.81007</v>
      </c>
      <c r="J16" s="91">
        <f t="shared" si="6"/>
        <v>0</v>
      </c>
      <c r="K16" s="91">
        <f t="shared" si="6"/>
        <v>235</v>
      </c>
      <c r="L16" s="91">
        <f t="shared" si="6"/>
        <v>130.94</v>
      </c>
      <c r="M16" s="91">
        <f t="shared" si="6"/>
        <v>183.76399999999998</v>
      </c>
      <c r="N16" s="127">
        <f t="shared" si="6"/>
        <v>57467.224074999998</v>
      </c>
      <c r="P16" s="128" t="s">
        <v>4</v>
      </c>
      <c r="Q16" s="91">
        <f t="shared" si="7"/>
        <v>0</v>
      </c>
      <c r="R16" s="91">
        <f t="shared" si="7"/>
        <v>0</v>
      </c>
      <c r="S16" s="91">
        <f t="shared" si="7"/>
        <v>9097915.1999999993</v>
      </c>
      <c r="T16" s="91">
        <f t="shared" si="7"/>
        <v>8496986.0999999996</v>
      </c>
      <c r="U16" s="91">
        <f t="shared" si="7"/>
        <v>69447461.560000002</v>
      </c>
      <c r="V16" s="91">
        <f t="shared" si="7"/>
        <v>3956079467.21</v>
      </c>
      <c r="W16" s="91">
        <f t="shared" si="7"/>
        <v>1001764959.7799999</v>
      </c>
      <c r="X16" s="91">
        <f t="shared" si="7"/>
        <v>223063022.69</v>
      </c>
      <c r="Y16" s="91">
        <f t="shared" si="7"/>
        <v>0</v>
      </c>
      <c r="Z16" s="91">
        <f t="shared" si="7"/>
        <v>22779262.120000001</v>
      </c>
      <c r="AA16" s="91">
        <f t="shared" si="7"/>
        <v>11860201.66</v>
      </c>
      <c r="AB16" s="91">
        <f t="shared" si="7"/>
        <v>15660747.399999999</v>
      </c>
      <c r="AC16" s="127">
        <f t="shared" si="7"/>
        <v>5318250023.7200012</v>
      </c>
      <c r="AE16" s="128" t="s">
        <v>4</v>
      </c>
      <c r="AF16" s="91">
        <f t="shared" si="8"/>
        <v>0</v>
      </c>
      <c r="AG16" s="91">
        <f t="shared" si="8"/>
        <v>0</v>
      </c>
      <c r="AH16" s="91">
        <f t="shared" si="8"/>
        <v>146031.95743210096</v>
      </c>
      <c r="AI16" s="91">
        <f t="shared" si="8"/>
        <v>138226.5779694239</v>
      </c>
      <c r="AJ16" s="91">
        <f t="shared" si="8"/>
        <v>1138054.2414350943</v>
      </c>
      <c r="AK16" s="91">
        <f t="shared" si="8"/>
        <v>64947586.424678557</v>
      </c>
      <c r="AL16" s="91">
        <f t="shared" si="8"/>
        <v>16315439.804803535</v>
      </c>
      <c r="AM16" s="91">
        <f t="shared" si="8"/>
        <v>3631294.9009501864</v>
      </c>
      <c r="AN16" s="91">
        <f t="shared" si="8"/>
        <v>0</v>
      </c>
      <c r="AO16" s="91">
        <f t="shared" si="8"/>
        <v>381696.66378275247</v>
      </c>
      <c r="AP16" s="91">
        <f t="shared" si="8"/>
        <v>195166.58453267664</v>
      </c>
      <c r="AQ16" s="91">
        <f t="shared" si="8"/>
        <v>255659.77533592313</v>
      </c>
      <c r="AR16" s="127">
        <f t="shared" si="8"/>
        <v>87149156.930920258</v>
      </c>
    </row>
    <row r="17" spans="1:49">
      <c r="P17" s="40"/>
      <c r="Q17" s="42">
        <f>Q16/10^5</f>
        <v>0</v>
      </c>
      <c r="R17" s="42">
        <f t="shared" ref="R17:AC17" si="9">R16/10^5</f>
        <v>0</v>
      </c>
      <c r="S17" s="42">
        <f t="shared" si="9"/>
        <v>90.979151999999999</v>
      </c>
      <c r="T17" s="42">
        <f t="shared" si="9"/>
        <v>84.969860999999995</v>
      </c>
      <c r="U17" s="42">
        <f t="shared" si="9"/>
        <v>694.47461559999999</v>
      </c>
      <c r="V17" s="42">
        <f t="shared" si="9"/>
        <v>39560.794672099997</v>
      </c>
      <c r="W17" s="42">
        <f t="shared" si="9"/>
        <v>10017.649597799998</v>
      </c>
      <c r="X17" s="42">
        <f t="shared" si="9"/>
        <v>2230.6302268999998</v>
      </c>
      <c r="Y17" s="42">
        <f t="shared" si="9"/>
        <v>0</v>
      </c>
      <c r="Z17" s="42">
        <f t="shared" si="9"/>
        <v>227.79262120000001</v>
      </c>
      <c r="AA17" s="42">
        <f t="shared" si="9"/>
        <v>118.6020166</v>
      </c>
      <c r="AB17" s="42">
        <f t="shared" si="9"/>
        <v>156.607474</v>
      </c>
      <c r="AC17" s="42">
        <f t="shared" si="9"/>
        <v>53182.500237200009</v>
      </c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</row>
    <row r="18" spans="1:49">
      <c r="P18" s="40"/>
      <c r="S18" s="41"/>
      <c r="T18" s="41"/>
      <c r="U18" s="41"/>
      <c r="V18" s="34"/>
      <c r="W18" s="41"/>
      <c r="X18" s="41"/>
      <c r="Y18" s="41"/>
      <c r="Z18" s="41"/>
      <c r="AA18" s="41"/>
      <c r="AB18" s="41"/>
      <c r="AC18" s="41"/>
      <c r="AH18" s="41"/>
      <c r="AI18" s="41"/>
      <c r="AJ18" s="41"/>
      <c r="AK18" s="34"/>
      <c r="AL18" s="41"/>
      <c r="AM18" s="41"/>
      <c r="AN18" s="41"/>
      <c r="AO18" s="41"/>
      <c r="AP18" s="41"/>
      <c r="AQ18" s="41"/>
      <c r="AR18" s="41"/>
    </row>
    <row r="19" spans="1:49">
      <c r="A19" s="25" t="s">
        <v>1</v>
      </c>
      <c r="B19" s="16" t="s">
        <v>133</v>
      </c>
      <c r="C19" s="16" t="s">
        <v>19</v>
      </c>
      <c r="D19" s="159" t="s">
        <v>17</v>
      </c>
      <c r="E19" s="159" t="s">
        <v>134</v>
      </c>
      <c r="F19" s="156" t="s">
        <v>10</v>
      </c>
      <c r="G19" s="156" t="s">
        <v>11</v>
      </c>
      <c r="H19" s="156" t="s">
        <v>12</v>
      </c>
      <c r="I19" s="156" t="s">
        <v>13</v>
      </c>
      <c r="J19" s="156" t="s">
        <v>14</v>
      </c>
      <c r="K19" s="156" t="s">
        <v>18</v>
      </c>
      <c r="L19" s="156" t="s">
        <v>15</v>
      </c>
      <c r="M19" s="156" t="s">
        <v>16</v>
      </c>
      <c r="N19" s="27" t="s">
        <v>20</v>
      </c>
      <c r="P19" s="25" t="s">
        <v>1</v>
      </c>
      <c r="Q19" s="156" t="s">
        <v>133</v>
      </c>
      <c r="R19" s="156" t="s">
        <v>19</v>
      </c>
      <c r="S19" s="156" t="s">
        <v>17</v>
      </c>
      <c r="T19" s="156" t="s">
        <v>134</v>
      </c>
      <c r="U19" s="156" t="s">
        <v>10</v>
      </c>
      <c r="V19" s="156" t="s">
        <v>11</v>
      </c>
      <c r="W19" s="156" t="s">
        <v>12</v>
      </c>
      <c r="X19" s="156" t="s">
        <v>13</v>
      </c>
      <c r="Y19" s="156" t="s">
        <v>14</v>
      </c>
      <c r="Z19" s="156" t="s">
        <v>18</v>
      </c>
      <c r="AA19" s="156" t="s">
        <v>15</v>
      </c>
      <c r="AB19" s="156" t="s">
        <v>16</v>
      </c>
      <c r="AC19" s="27" t="s">
        <v>20</v>
      </c>
      <c r="AE19" s="25" t="s">
        <v>1</v>
      </c>
      <c r="AF19" s="156" t="s">
        <v>133</v>
      </c>
      <c r="AG19" s="156" t="s">
        <v>19</v>
      </c>
      <c r="AH19" s="156" t="s">
        <v>17</v>
      </c>
      <c r="AI19" s="156" t="s">
        <v>134</v>
      </c>
      <c r="AJ19" s="156" t="s">
        <v>10</v>
      </c>
      <c r="AK19" s="156" t="s">
        <v>11</v>
      </c>
      <c r="AL19" s="156" t="s">
        <v>12</v>
      </c>
      <c r="AM19" s="156" t="s">
        <v>13</v>
      </c>
      <c r="AN19" s="156" t="s">
        <v>14</v>
      </c>
      <c r="AO19" s="156" t="s">
        <v>18</v>
      </c>
      <c r="AP19" s="156" t="s">
        <v>15</v>
      </c>
      <c r="AQ19" s="156" t="s">
        <v>16</v>
      </c>
      <c r="AR19" s="27" t="s">
        <v>20</v>
      </c>
    </row>
    <row r="20" spans="1:49">
      <c r="A20" s="9">
        <f t="shared" ref="A20:A31" si="10">A4</f>
        <v>41365</v>
      </c>
      <c r="B20" s="43"/>
      <c r="C20" s="43"/>
      <c r="D20" s="41"/>
      <c r="E20" s="41"/>
      <c r="F20" s="41"/>
      <c r="G20" s="41">
        <v>2041.5299999999995</v>
      </c>
      <c r="H20" s="41">
        <v>627.03</v>
      </c>
      <c r="I20" s="41">
        <v>99.29</v>
      </c>
      <c r="J20" s="41"/>
      <c r="K20" s="41">
        <v>12</v>
      </c>
      <c r="L20" s="41">
        <v>12</v>
      </c>
      <c r="M20" s="41"/>
      <c r="N20" s="6">
        <f>SUM(B20:M20)</f>
        <v>2791.8499999999995</v>
      </c>
      <c r="P20" s="9">
        <v>41365</v>
      </c>
      <c r="Q20" s="43"/>
      <c r="R20" s="43"/>
      <c r="S20" s="41"/>
      <c r="T20" s="41"/>
      <c r="U20" s="41"/>
      <c r="V20" s="41">
        <v>162713882.77999997</v>
      </c>
      <c r="W20" s="41">
        <v>44403530.680000007</v>
      </c>
      <c r="X20" s="41">
        <v>7560085.2300000004</v>
      </c>
      <c r="Y20" s="41"/>
      <c r="Z20" s="41">
        <v>1203392.8999999999</v>
      </c>
      <c r="AA20" s="41">
        <v>888869.76</v>
      </c>
      <c r="AB20" s="41"/>
      <c r="AC20" s="6">
        <f>SUM(Q20:AB20)</f>
        <v>216769761.34999996</v>
      </c>
      <c r="AE20" s="9">
        <v>41365</v>
      </c>
      <c r="AF20" s="43"/>
      <c r="AG20" s="43"/>
      <c r="AH20" s="41"/>
      <c r="AI20" s="41"/>
      <c r="AJ20" s="41"/>
      <c r="AK20" s="41">
        <v>2965658.7819298757</v>
      </c>
      <c r="AL20" s="41">
        <v>809765.78544476198</v>
      </c>
      <c r="AM20" s="41">
        <v>137706.47049180328</v>
      </c>
      <c r="AN20" s="41"/>
      <c r="AO20" s="41">
        <v>21919.724954462657</v>
      </c>
      <c r="AP20" s="41">
        <v>16190.706010928963</v>
      </c>
      <c r="AQ20" s="41"/>
      <c r="AR20" s="6">
        <f>SUM(AF20:AQ20)</f>
        <v>3951241.4688318325</v>
      </c>
      <c r="AU20" s="92">
        <f t="shared" ref="AU20:AU31" si="11">+AK20/G20</f>
        <v>1452.6648062628892</v>
      </c>
      <c r="AV20" s="92">
        <f t="shared" ref="AV20:AV31" si="12">+AL20/H20</f>
        <v>1291.4306898310481</v>
      </c>
      <c r="AW20" s="92">
        <f t="shared" ref="AW20:AW31" si="13">+AM20/I20</f>
        <v>1386.9117785457072</v>
      </c>
    </row>
    <row r="21" spans="1:49">
      <c r="A21" s="9">
        <f t="shared" si="10"/>
        <v>41395</v>
      </c>
      <c r="B21" s="43"/>
      <c r="C21" s="43"/>
      <c r="D21" s="41"/>
      <c r="E21" s="41"/>
      <c r="F21" s="41"/>
      <c r="G21" s="41">
        <v>1498.9299999999998</v>
      </c>
      <c r="H21" s="41">
        <v>299.96000000000004</v>
      </c>
      <c r="I21" s="41"/>
      <c r="J21" s="41"/>
      <c r="K21" s="41">
        <v>2</v>
      </c>
      <c r="L21" s="41">
        <v>12</v>
      </c>
      <c r="M21" s="41">
        <v>1</v>
      </c>
      <c r="N21" s="6">
        <f t="shared" ref="N21:N32" si="14">SUM(B21:M21)</f>
        <v>1813.8899999999999</v>
      </c>
      <c r="P21" s="9">
        <v>41395</v>
      </c>
      <c r="Q21" s="43"/>
      <c r="R21" s="43"/>
      <c r="S21" s="41"/>
      <c r="T21" s="41"/>
      <c r="U21" s="41"/>
      <c r="V21" s="41">
        <v>113771257.13</v>
      </c>
      <c r="W21" s="41">
        <v>21189870.949999996</v>
      </c>
      <c r="X21" s="41"/>
      <c r="Y21" s="41"/>
      <c r="Z21" s="41">
        <v>176628.8</v>
      </c>
      <c r="AA21" s="41">
        <v>940548.36</v>
      </c>
      <c r="AB21" s="41">
        <v>88314.4</v>
      </c>
      <c r="AC21" s="6">
        <f t="shared" ref="AC21:AC32" si="15">SUM(Q21:AB21)</f>
        <v>136166619.64000002</v>
      </c>
      <c r="AE21" s="9">
        <v>41395</v>
      </c>
      <c r="AF21" s="43"/>
      <c r="AG21" s="43"/>
      <c r="AH21" s="41"/>
      <c r="AI21" s="41"/>
      <c r="AJ21" s="41"/>
      <c r="AK21" s="41">
        <v>2072001.3892477818</v>
      </c>
      <c r="AL21" s="41">
        <v>387011.18395640125</v>
      </c>
      <c r="AM21" s="41"/>
      <c r="AN21" s="41"/>
      <c r="AO21" s="41">
        <v>3194.0108499095841</v>
      </c>
      <c r="AP21" s="41">
        <v>17008.107775768534</v>
      </c>
      <c r="AQ21" s="41">
        <v>1597.005424954792</v>
      </c>
      <c r="AR21" s="6">
        <f t="shared" ref="AR21:AR32" si="16">SUM(AF21:AQ21)</f>
        <v>2480811.6972548161</v>
      </c>
      <c r="AU21" s="92">
        <f t="shared" si="11"/>
        <v>1382.3203146563096</v>
      </c>
      <c r="AV21" s="92">
        <f t="shared" si="12"/>
        <v>1290.2093077623724</v>
      </c>
      <c r="AW21" s="92" t="e">
        <f t="shared" si="13"/>
        <v>#DIV/0!</v>
      </c>
    </row>
    <row r="22" spans="1:49">
      <c r="A22" s="9">
        <f t="shared" si="10"/>
        <v>41426</v>
      </c>
      <c r="B22" s="43"/>
      <c r="C22" s="43"/>
      <c r="D22" s="41"/>
      <c r="E22" s="41">
        <v>20.09</v>
      </c>
      <c r="F22" s="41">
        <v>79.570000000000007</v>
      </c>
      <c r="G22" s="41">
        <v>880.04000000000008</v>
      </c>
      <c r="H22" s="41">
        <v>550.54999999999995</v>
      </c>
      <c r="I22" s="41">
        <v>137.62</v>
      </c>
      <c r="J22" s="41"/>
      <c r="K22" s="41"/>
      <c r="L22" s="41"/>
      <c r="M22" s="41"/>
      <c r="N22" s="6">
        <f t="shared" si="14"/>
        <v>1667.87</v>
      </c>
      <c r="P22" s="9">
        <v>41426</v>
      </c>
      <c r="Q22" s="43"/>
      <c r="R22" s="43"/>
      <c r="S22" s="41"/>
      <c r="T22" s="41">
        <v>2282320.4300000002</v>
      </c>
      <c r="U22" s="41">
        <v>6571862.2599999998</v>
      </c>
      <c r="V22" s="41">
        <v>69534626.040000007</v>
      </c>
      <c r="W22" s="41">
        <v>40031771.049999997</v>
      </c>
      <c r="X22" s="41">
        <v>10344421.76</v>
      </c>
      <c r="Y22" s="41"/>
      <c r="Z22" s="41"/>
      <c r="AA22" s="41"/>
      <c r="AB22" s="41"/>
      <c r="AC22" s="6">
        <f t="shared" si="15"/>
        <v>128765001.54000001</v>
      </c>
      <c r="AE22" s="9">
        <v>41426</v>
      </c>
      <c r="AF22" s="43"/>
      <c r="AG22" s="43"/>
      <c r="AH22" s="41"/>
      <c r="AI22" s="41">
        <v>38552.709966216215</v>
      </c>
      <c r="AJ22" s="41">
        <v>118027.42667547765</v>
      </c>
      <c r="AK22" s="41">
        <v>1215089.2751020768</v>
      </c>
      <c r="AL22" s="41">
        <v>700454.20760329277</v>
      </c>
      <c r="AM22" s="41">
        <v>181959.92541776603</v>
      </c>
      <c r="AN22" s="41"/>
      <c r="AO22" s="41"/>
      <c r="AP22" s="41"/>
      <c r="AQ22" s="41"/>
      <c r="AR22" s="6">
        <f t="shared" si="16"/>
        <v>2254083.5447648293</v>
      </c>
      <c r="AU22" s="92">
        <f t="shared" si="11"/>
        <v>1380.7205071383992</v>
      </c>
      <c r="AV22" s="92">
        <f t="shared" si="12"/>
        <v>1272.2808239093504</v>
      </c>
      <c r="AW22" s="92">
        <f t="shared" si="13"/>
        <v>1322.1909999837671</v>
      </c>
    </row>
    <row r="23" spans="1:49">
      <c r="A23" s="9">
        <f t="shared" si="10"/>
        <v>41456</v>
      </c>
      <c r="B23" s="43"/>
      <c r="C23" s="43"/>
      <c r="D23" s="41"/>
      <c r="E23" s="41"/>
      <c r="F23" s="41">
        <v>39.94</v>
      </c>
      <c r="G23" s="41">
        <v>2644.2200000000003</v>
      </c>
      <c r="H23" s="41">
        <v>398.13</v>
      </c>
      <c r="I23" s="41">
        <v>76.98</v>
      </c>
      <c r="J23" s="41"/>
      <c r="K23" s="41">
        <v>6</v>
      </c>
      <c r="L23" s="41">
        <v>4.2</v>
      </c>
      <c r="M23" s="41">
        <v>17.8</v>
      </c>
      <c r="N23" s="6">
        <f t="shared" si="14"/>
        <v>3187.2700000000004</v>
      </c>
      <c r="P23" s="9">
        <v>41456</v>
      </c>
      <c r="Q23" s="43"/>
      <c r="R23" s="43"/>
      <c r="S23" s="41"/>
      <c r="T23" s="41"/>
      <c r="U23" s="41">
        <v>3574524.77</v>
      </c>
      <c r="V23" s="41">
        <v>220434896.49000001</v>
      </c>
      <c r="W23" s="41">
        <v>30950959.140000001</v>
      </c>
      <c r="X23" s="41">
        <v>6411767.8499999996</v>
      </c>
      <c r="Y23" s="41"/>
      <c r="Z23" s="41">
        <v>669346.15</v>
      </c>
      <c r="AA23" s="41">
        <v>363251.9</v>
      </c>
      <c r="AB23" s="41">
        <v>1581212.17</v>
      </c>
      <c r="AC23" s="6">
        <f t="shared" si="15"/>
        <v>263985958.47000003</v>
      </c>
      <c r="AE23" s="9">
        <v>41456</v>
      </c>
      <c r="AF23" s="43"/>
      <c r="AG23" s="43"/>
      <c r="AH23" s="41"/>
      <c r="AI23" s="41"/>
      <c r="AJ23" s="41">
        <v>59500.61496886106</v>
      </c>
      <c r="AK23" s="41">
        <v>3675802.5761264446</v>
      </c>
      <c r="AL23" s="41">
        <v>518876.09622799669</v>
      </c>
      <c r="AM23" s="41">
        <v>107118.2318572705</v>
      </c>
      <c r="AN23" s="41"/>
      <c r="AO23" s="41">
        <v>11063.572727272727</v>
      </c>
      <c r="AP23" s="41">
        <v>6004.1636363636371</v>
      </c>
      <c r="AQ23" s="41">
        <v>26469.639436797297</v>
      </c>
      <c r="AR23" s="6">
        <f t="shared" si="16"/>
        <v>4404834.8949810071</v>
      </c>
      <c r="AU23" s="92">
        <f t="shared" si="11"/>
        <v>1390.1273631265342</v>
      </c>
      <c r="AV23" s="92">
        <f t="shared" si="12"/>
        <v>1303.2830890111188</v>
      </c>
      <c r="AW23" s="92">
        <f t="shared" si="13"/>
        <v>1391.5072987434462</v>
      </c>
    </row>
    <row r="24" spans="1:49">
      <c r="A24" s="9">
        <f t="shared" si="10"/>
        <v>41487</v>
      </c>
      <c r="B24" s="43"/>
      <c r="C24" s="43"/>
      <c r="D24" s="41"/>
      <c r="E24" s="41"/>
      <c r="F24" s="41"/>
      <c r="G24" s="41">
        <v>1392.4400000000005</v>
      </c>
      <c r="H24" s="41">
        <v>594.56999999999994</v>
      </c>
      <c r="I24" s="41"/>
      <c r="J24" s="41"/>
      <c r="K24" s="41"/>
      <c r="L24" s="41"/>
      <c r="M24" s="41"/>
      <c r="N24" s="6">
        <f t="shared" si="14"/>
        <v>1987.0100000000004</v>
      </c>
      <c r="P24" s="9">
        <v>41487</v>
      </c>
      <c r="Q24" s="43"/>
      <c r="R24" s="43"/>
      <c r="S24" s="41"/>
      <c r="T24" s="41"/>
      <c r="U24" s="41"/>
      <c r="V24" s="41">
        <v>120109520.50999998</v>
      </c>
      <c r="W24" s="41">
        <v>49845637.140000001</v>
      </c>
      <c r="X24" s="41"/>
      <c r="Y24" s="41"/>
      <c r="Z24" s="41"/>
      <c r="AA24" s="41"/>
      <c r="AB24" s="41"/>
      <c r="AC24" s="6">
        <f t="shared" si="15"/>
        <v>169955157.64999998</v>
      </c>
      <c r="AE24" s="9">
        <v>41487</v>
      </c>
      <c r="AF24" s="43"/>
      <c r="AG24" s="43"/>
      <c r="AH24" s="41"/>
      <c r="AI24" s="41"/>
      <c r="AJ24" s="41"/>
      <c r="AK24" s="41">
        <v>1936479.9339135352</v>
      </c>
      <c r="AL24" s="41">
        <v>808412.54013706231</v>
      </c>
      <c r="AM24" s="41"/>
      <c r="AN24" s="41"/>
      <c r="AO24" s="41"/>
      <c r="AP24" s="41"/>
      <c r="AQ24" s="41"/>
      <c r="AR24" s="6">
        <f t="shared" si="16"/>
        <v>2744892.4740505973</v>
      </c>
      <c r="AU24" s="92">
        <f t="shared" si="11"/>
        <v>1390.7097856378261</v>
      </c>
      <c r="AV24" s="92">
        <f t="shared" si="12"/>
        <v>1359.659148858944</v>
      </c>
      <c r="AW24" s="92" t="e">
        <f t="shared" si="13"/>
        <v>#DIV/0!</v>
      </c>
    </row>
    <row r="25" spans="1:49">
      <c r="A25" s="9">
        <f t="shared" si="10"/>
        <v>41518</v>
      </c>
      <c r="B25" s="43"/>
      <c r="C25" s="43"/>
      <c r="D25" s="41"/>
      <c r="E25" s="41"/>
      <c r="F25" s="41">
        <v>3.57</v>
      </c>
      <c r="G25" s="41">
        <v>928.09</v>
      </c>
      <c r="H25" s="41">
        <v>875.02</v>
      </c>
      <c r="I25" s="41">
        <v>33.199999999999996</v>
      </c>
      <c r="J25" s="41"/>
      <c r="K25" s="41"/>
      <c r="L25" s="41">
        <v>6</v>
      </c>
      <c r="M25" s="41">
        <v>32</v>
      </c>
      <c r="N25" s="6">
        <f t="shared" si="14"/>
        <v>1877.88</v>
      </c>
      <c r="P25" s="9">
        <v>41518</v>
      </c>
      <c r="Q25" s="43"/>
      <c r="R25" s="43"/>
      <c r="S25" s="41"/>
      <c r="T25" s="41"/>
      <c r="U25" s="41">
        <v>420604</v>
      </c>
      <c r="V25" s="41">
        <v>78995436.980000004</v>
      </c>
      <c r="W25" s="41">
        <v>76191541.569999993</v>
      </c>
      <c r="X25" s="41">
        <v>2838414.25</v>
      </c>
      <c r="Y25" s="41"/>
      <c r="Z25" s="41"/>
      <c r="AA25" s="41">
        <v>575616.52</v>
      </c>
      <c r="AB25" s="41">
        <v>3101225.2</v>
      </c>
      <c r="AC25" s="6">
        <f t="shared" si="15"/>
        <v>162122838.52000001</v>
      </c>
      <c r="AE25" s="9">
        <v>41518</v>
      </c>
      <c r="AF25" s="43"/>
      <c r="AG25" s="43"/>
      <c r="AH25" s="41"/>
      <c r="AI25" s="41"/>
      <c r="AJ25" s="41">
        <v>6277.6716417910447</v>
      </c>
      <c r="AK25" s="41">
        <v>1237487.9826622026</v>
      </c>
      <c r="AL25" s="41">
        <v>1161434.0412782147</v>
      </c>
      <c r="AM25" s="41">
        <v>44489.251567398118</v>
      </c>
      <c r="AN25" s="41"/>
      <c r="AO25" s="41"/>
      <c r="AP25" s="41">
        <v>8591.291343283583</v>
      </c>
      <c r="AQ25" s="41">
        <v>47462.216010854812</v>
      </c>
      <c r="AR25" s="6">
        <f t="shared" si="16"/>
        <v>2505742.4545037448</v>
      </c>
      <c r="AU25" s="92">
        <f t="shared" si="11"/>
        <v>1333.3706673514448</v>
      </c>
      <c r="AV25" s="92">
        <f t="shared" si="12"/>
        <v>1327.3228512242174</v>
      </c>
      <c r="AW25" s="92">
        <f t="shared" si="13"/>
        <v>1340.0376978131965</v>
      </c>
    </row>
    <row r="26" spans="1:49">
      <c r="A26" s="9">
        <f t="shared" si="10"/>
        <v>41548</v>
      </c>
      <c r="B26" s="43"/>
      <c r="C26" s="43"/>
      <c r="D26" s="41"/>
      <c r="E26" s="41"/>
      <c r="F26" s="41"/>
      <c r="G26" s="41">
        <v>1425.6200000000001</v>
      </c>
      <c r="H26" s="41">
        <v>534.01</v>
      </c>
      <c r="I26" s="41">
        <v>96.120070000000013</v>
      </c>
      <c r="J26" s="41"/>
      <c r="K26" s="41"/>
      <c r="L26" s="41"/>
      <c r="M26" s="41"/>
      <c r="N26" s="6">
        <f t="shared" si="14"/>
        <v>2055.7500700000001</v>
      </c>
      <c r="P26" s="9">
        <v>41548</v>
      </c>
      <c r="Q26" s="43"/>
      <c r="R26" s="43"/>
      <c r="S26" s="41"/>
      <c r="T26" s="41"/>
      <c r="U26" s="41"/>
      <c r="V26" s="41">
        <v>134584764.79000002</v>
      </c>
      <c r="W26" s="41">
        <v>44052374.189999998</v>
      </c>
      <c r="X26" s="41">
        <v>8229557.7999999989</v>
      </c>
      <c r="Y26" s="41"/>
      <c r="Z26" s="41"/>
      <c r="AA26" s="41"/>
      <c r="AB26" s="41"/>
      <c r="AC26" s="6">
        <f t="shared" si="15"/>
        <v>186866696.78000003</v>
      </c>
      <c r="AE26" s="9">
        <v>41548</v>
      </c>
      <c r="AF26" s="43"/>
      <c r="AG26" s="43"/>
      <c r="AH26" s="41"/>
      <c r="AI26" s="41"/>
      <c r="AJ26" s="41"/>
      <c r="AK26" s="41">
        <v>2154360.7370219585</v>
      </c>
      <c r="AL26" s="41">
        <v>704274.56738609134</v>
      </c>
      <c r="AM26" s="41">
        <v>132160.48276696971</v>
      </c>
      <c r="AN26" s="41"/>
      <c r="AO26" s="41"/>
      <c r="AP26" s="41"/>
      <c r="AQ26" s="41"/>
      <c r="AR26" s="6">
        <f t="shared" si="16"/>
        <v>2990795.7871750193</v>
      </c>
      <c r="AU26" s="92">
        <f t="shared" si="11"/>
        <v>1511.1746026444341</v>
      </c>
      <c r="AV26" s="92">
        <f t="shared" si="12"/>
        <v>1318.8415336530988</v>
      </c>
      <c r="AW26" s="92">
        <f t="shared" si="13"/>
        <v>1374.9520029164532</v>
      </c>
    </row>
    <row r="27" spans="1:49">
      <c r="A27" s="9">
        <f t="shared" si="10"/>
        <v>41579</v>
      </c>
      <c r="B27" s="43"/>
      <c r="C27" s="43"/>
      <c r="D27" s="41"/>
      <c r="E27" s="41"/>
      <c r="F27" s="41">
        <v>20.100000000000001</v>
      </c>
      <c r="G27" s="41">
        <v>718.25</v>
      </c>
      <c r="H27" s="41">
        <v>497.08</v>
      </c>
      <c r="I27" s="41">
        <v>59.5</v>
      </c>
      <c r="J27" s="41"/>
      <c r="K27" s="41">
        <v>4</v>
      </c>
      <c r="L27" s="41">
        <v>8</v>
      </c>
      <c r="M27" s="41"/>
      <c r="N27" s="6">
        <f t="shared" si="14"/>
        <v>1306.93</v>
      </c>
      <c r="P27" s="9">
        <v>41579</v>
      </c>
      <c r="Q27" s="43"/>
      <c r="R27" s="43"/>
      <c r="S27" s="41"/>
      <c r="T27" s="41"/>
      <c r="U27" s="41">
        <v>2142845.2599999998</v>
      </c>
      <c r="V27" s="41">
        <v>67796534.670000002</v>
      </c>
      <c r="W27" s="41">
        <v>42139251.609999992</v>
      </c>
      <c r="X27" s="41">
        <v>5381036.2699999996</v>
      </c>
      <c r="Y27" s="41"/>
      <c r="Z27" s="41">
        <v>457043.08</v>
      </c>
      <c r="AA27" s="41">
        <v>775667.41</v>
      </c>
      <c r="AB27" s="41"/>
      <c r="AC27" s="6">
        <f t="shared" si="15"/>
        <v>118692378.29999998</v>
      </c>
      <c r="AE27" s="9">
        <v>41579</v>
      </c>
      <c r="AF27" s="43"/>
      <c r="AG27" s="43"/>
      <c r="AH27" s="41"/>
      <c r="AI27" s="41"/>
      <c r="AJ27" s="41">
        <v>33959.512836767033</v>
      </c>
      <c r="AK27" s="41">
        <v>1073022.0850344123</v>
      </c>
      <c r="AL27" s="41">
        <v>666974.40992005961</v>
      </c>
      <c r="AM27" s="41">
        <v>85277.912361331211</v>
      </c>
      <c r="AN27" s="41"/>
      <c r="AO27" s="41">
        <v>7243.1549920760699</v>
      </c>
      <c r="AP27" s="41">
        <v>12292.668938193345</v>
      </c>
      <c r="AQ27" s="41"/>
      <c r="AR27" s="6">
        <f t="shared" si="16"/>
        <v>1878769.7440828397</v>
      </c>
      <c r="AU27" s="92">
        <f t="shared" si="11"/>
        <v>1493.939554520588</v>
      </c>
      <c r="AV27" s="92">
        <f t="shared" si="12"/>
        <v>1341.7848433251381</v>
      </c>
      <c r="AW27" s="92">
        <f t="shared" si="13"/>
        <v>1433.2422245601883</v>
      </c>
    </row>
    <row r="28" spans="1:49">
      <c r="A28" s="9">
        <f t="shared" si="10"/>
        <v>41609</v>
      </c>
      <c r="B28" s="43"/>
      <c r="C28" s="43"/>
      <c r="D28" s="41"/>
      <c r="E28" s="41"/>
      <c r="F28" s="41">
        <v>79.259999999999991</v>
      </c>
      <c r="G28" s="41">
        <v>1473.0499999999997</v>
      </c>
      <c r="H28" s="41">
        <v>396.31</v>
      </c>
      <c r="I28" s="41">
        <v>42.07</v>
      </c>
      <c r="J28" s="41"/>
      <c r="K28" s="41">
        <v>6</v>
      </c>
      <c r="L28" s="41">
        <v>6</v>
      </c>
      <c r="M28" s="41"/>
      <c r="N28" s="6">
        <f t="shared" si="14"/>
        <v>2002.6899999999996</v>
      </c>
      <c r="P28" s="9">
        <v>41609</v>
      </c>
      <c r="Q28" s="43"/>
      <c r="R28" s="43"/>
      <c r="S28" s="41"/>
      <c r="T28" s="41"/>
      <c r="U28" s="41">
        <v>8272375.1799999997</v>
      </c>
      <c r="V28" s="41">
        <v>146211460.47000003</v>
      </c>
      <c r="W28" s="41">
        <v>33728084.219999999</v>
      </c>
      <c r="X28" s="41">
        <v>3809961.9000000004</v>
      </c>
      <c r="Y28" s="41"/>
      <c r="Z28" s="41">
        <v>683441.7</v>
      </c>
      <c r="AA28" s="41">
        <v>579949.1</v>
      </c>
      <c r="AB28" s="41"/>
      <c r="AC28" s="6">
        <f t="shared" si="15"/>
        <v>193285272.57000002</v>
      </c>
      <c r="AE28" s="9">
        <v>41609</v>
      </c>
      <c r="AF28" s="43"/>
      <c r="AG28" s="43"/>
      <c r="AH28" s="41"/>
      <c r="AI28" s="41"/>
      <c r="AJ28" s="41">
        <v>132465.95380830741</v>
      </c>
      <c r="AK28" s="41">
        <v>2326592.3825715827</v>
      </c>
      <c r="AL28" s="41">
        <v>538532.4869881873</v>
      </c>
      <c r="AM28" s="41">
        <v>60188.971563981046</v>
      </c>
      <c r="AN28" s="41"/>
      <c r="AO28" s="41">
        <v>10970.171749598716</v>
      </c>
      <c r="AP28" s="41">
        <v>9308.9743178170138</v>
      </c>
      <c r="AQ28" s="41"/>
      <c r="AR28" s="6">
        <f t="shared" si="16"/>
        <v>3078058.9409994744</v>
      </c>
      <c r="AU28" s="92">
        <f t="shared" si="11"/>
        <v>1579.438839531301</v>
      </c>
      <c r="AV28" s="92">
        <f t="shared" si="12"/>
        <v>1358.8667633624873</v>
      </c>
      <c r="AW28" s="92">
        <f t="shared" si="13"/>
        <v>1430.6862743993593</v>
      </c>
    </row>
    <row r="29" spans="1:49">
      <c r="A29" s="9">
        <f t="shared" si="10"/>
        <v>41640</v>
      </c>
      <c r="B29" s="43"/>
      <c r="C29" s="43"/>
      <c r="D29" s="41"/>
      <c r="E29" s="41"/>
      <c r="F29" s="41">
        <v>39.54</v>
      </c>
      <c r="G29" s="41">
        <v>1778.49</v>
      </c>
      <c r="H29" s="41">
        <v>397.4</v>
      </c>
      <c r="I29" s="41">
        <v>156.26999999999998</v>
      </c>
      <c r="J29" s="41"/>
      <c r="K29" s="41">
        <v>12</v>
      </c>
      <c r="L29" s="41"/>
      <c r="M29" s="41"/>
      <c r="N29" s="6">
        <f t="shared" si="14"/>
        <v>2383.6999999999998</v>
      </c>
      <c r="P29" s="9">
        <v>41640</v>
      </c>
      <c r="Q29" s="43"/>
      <c r="R29" s="43"/>
      <c r="S29" s="41"/>
      <c r="T29" s="41"/>
      <c r="U29" s="41">
        <v>4787134.68</v>
      </c>
      <c r="V29" s="41">
        <v>179290204.40000001</v>
      </c>
      <c r="W29" s="41">
        <v>41090195.520000003</v>
      </c>
      <c r="X29" s="41">
        <v>15329938.669999998</v>
      </c>
      <c r="Y29" s="41"/>
      <c r="Z29" s="41">
        <v>1369997.05</v>
      </c>
      <c r="AA29" s="41"/>
      <c r="AB29" s="41"/>
      <c r="AC29" s="6">
        <f t="shared" si="15"/>
        <v>241867470.32000002</v>
      </c>
      <c r="AE29" s="9">
        <v>41640</v>
      </c>
      <c r="AF29" s="43"/>
      <c r="AG29" s="43"/>
      <c r="AH29" s="41"/>
      <c r="AI29" s="41"/>
      <c r="AJ29" s="41">
        <v>76859.107087363373</v>
      </c>
      <c r="AK29" s="41">
        <v>2876250.2379562855</v>
      </c>
      <c r="AL29" s="41">
        <v>659819.43184749514</v>
      </c>
      <c r="AM29" s="41">
        <v>245787.45277628567</v>
      </c>
      <c r="AN29" s="41"/>
      <c r="AO29" s="41">
        <v>22025.676045016076</v>
      </c>
      <c r="AP29" s="41"/>
      <c r="AQ29" s="41"/>
      <c r="AR29" s="6">
        <f t="shared" si="16"/>
        <v>3880741.9057124457</v>
      </c>
      <c r="AU29" s="92">
        <f t="shared" si="11"/>
        <v>1617.2428509332553</v>
      </c>
      <c r="AV29" s="92">
        <f t="shared" si="12"/>
        <v>1660.3407947848393</v>
      </c>
      <c r="AW29" s="92">
        <f t="shared" si="13"/>
        <v>1572.8383744562982</v>
      </c>
    </row>
    <row r="30" spans="1:49">
      <c r="A30" s="9">
        <f t="shared" si="10"/>
        <v>41671</v>
      </c>
      <c r="B30" s="43"/>
      <c r="C30" s="43"/>
      <c r="D30" s="41"/>
      <c r="E30" s="41"/>
      <c r="F30" s="41">
        <v>38.79</v>
      </c>
      <c r="G30" s="41">
        <v>3045.97</v>
      </c>
      <c r="H30" s="41">
        <v>397.34000000000003</v>
      </c>
      <c r="I30" s="41">
        <v>79.45</v>
      </c>
      <c r="J30" s="41"/>
      <c r="K30" s="41"/>
      <c r="L30" s="41">
        <v>12</v>
      </c>
      <c r="M30" s="41"/>
      <c r="N30" s="6">
        <f t="shared" si="14"/>
        <v>3573.5499999999997</v>
      </c>
      <c r="P30" s="9">
        <v>41671</v>
      </c>
      <c r="Q30" s="43"/>
      <c r="R30" s="43"/>
      <c r="S30" s="41"/>
      <c r="T30" s="41"/>
      <c r="U30" s="41">
        <v>4569122.59</v>
      </c>
      <c r="V30" s="41">
        <v>307406598.52999997</v>
      </c>
      <c r="W30" s="41">
        <v>44866469.219999999</v>
      </c>
      <c r="X30" s="41">
        <v>8911777.8100000005</v>
      </c>
      <c r="Y30" s="41"/>
      <c r="Z30" s="41"/>
      <c r="AA30" s="41">
        <v>1307200.18</v>
      </c>
      <c r="AB30" s="41"/>
      <c r="AC30" s="6">
        <f t="shared" si="15"/>
        <v>367061168.32999992</v>
      </c>
      <c r="AE30" s="9">
        <v>41671</v>
      </c>
      <c r="AF30" s="43"/>
      <c r="AG30" s="43"/>
      <c r="AH30" s="41"/>
      <c r="AI30" s="41"/>
      <c r="AJ30" s="41">
        <v>72583.361239078629</v>
      </c>
      <c r="AK30" s="41">
        <v>4893997.4984838422</v>
      </c>
      <c r="AL30" s="41">
        <v>712731.83828435256</v>
      </c>
      <c r="AM30" s="41">
        <v>141569.1471008737</v>
      </c>
      <c r="AN30" s="41"/>
      <c r="AO30" s="41"/>
      <c r="AP30" s="41">
        <v>21016.08006430868</v>
      </c>
      <c r="AQ30" s="41"/>
      <c r="AR30" s="6">
        <f t="shared" si="16"/>
        <v>5841897.9251724556</v>
      </c>
      <c r="AU30" s="92">
        <f t="shared" si="11"/>
        <v>1606.7123111796382</v>
      </c>
      <c r="AV30" s="92">
        <f t="shared" si="12"/>
        <v>1793.7580869893604</v>
      </c>
      <c r="AW30" s="92">
        <f t="shared" si="13"/>
        <v>1781.8646582866418</v>
      </c>
    </row>
    <row r="31" spans="1:49">
      <c r="A31" s="9">
        <f t="shared" si="10"/>
        <v>41699</v>
      </c>
      <c r="B31" s="43"/>
      <c r="C31" s="43"/>
      <c r="D31" s="41"/>
      <c r="E31" s="41"/>
      <c r="F31" s="41">
        <v>39.49</v>
      </c>
      <c r="G31" s="41">
        <v>3543.71</v>
      </c>
      <c r="H31" s="41">
        <v>646.54</v>
      </c>
      <c r="I31" s="41">
        <v>78.69</v>
      </c>
      <c r="J31" s="41"/>
      <c r="K31" s="41">
        <v>24.8</v>
      </c>
      <c r="L31" s="41">
        <v>14</v>
      </c>
      <c r="M31" s="41">
        <v>1.2</v>
      </c>
      <c r="N31" s="6">
        <f t="shared" si="14"/>
        <v>4348.4299999999994</v>
      </c>
      <c r="P31" s="9">
        <v>41699</v>
      </c>
      <c r="Q31" s="43"/>
      <c r="R31" s="43"/>
      <c r="S31" s="41"/>
      <c r="T31" s="41"/>
      <c r="U31" s="41">
        <v>4707664.5999999996</v>
      </c>
      <c r="V31" s="41">
        <v>363711873.50999999</v>
      </c>
      <c r="W31" s="41">
        <v>74068718.420000002</v>
      </c>
      <c r="X31" s="41">
        <v>8953938.1400000006</v>
      </c>
      <c r="Y31" s="41"/>
      <c r="Z31" s="41">
        <v>2170389.0100000002</v>
      </c>
      <c r="AA31" s="41">
        <v>1508741.54</v>
      </c>
      <c r="AB31" s="41">
        <v>130223.34</v>
      </c>
      <c r="AC31" s="6">
        <f t="shared" si="15"/>
        <v>455251548.56</v>
      </c>
      <c r="AE31" s="9">
        <v>41699</v>
      </c>
      <c r="AF31" s="43"/>
      <c r="AG31" s="43"/>
      <c r="AH31" s="41"/>
      <c r="AI31" s="41"/>
      <c r="AJ31" s="41">
        <v>75930.074193548382</v>
      </c>
      <c r="AK31" s="41">
        <v>5862068.295670365</v>
      </c>
      <c r="AL31" s="41">
        <v>1196847.9020941623</v>
      </c>
      <c r="AM31" s="41">
        <v>144418.35709677418</v>
      </c>
      <c r="AN31" s="41"/>
      <c r="AO31" s="41">
        <v>35148.000161943317</v>
      </c>
      <c r="AP31" s="41">
        <v>23967.300079428118</v>
      </c>
      <c r="AQ31" s="41">
        <v>2108.88</v>
      </c>
      <c r="AR31" s="6">
        <f t="shared" si="16"/>
        <v>7340488.8092962205</v>
      </c>
      <c r="AU31" s="92">
        <f t="shared" si="11"/>
        <v>1654.2178382741151</v>
      </c>
      <c r="AV31" s="92">
        <f t="shared" si="12"/>
        <v>1851.1583229098933</v>
      </c>
      <c r="AW31" s="92">
        <f t="shared" si="13"/>
        <v>1835.2822098967365</v>
      </c>
    </row>
    <row r="32" spans="1:49">
      <c r="A32" s="28" t="s">
        <v>4</v>
      </c>
      <c r="B32" s="91">
        <f>SUM(B20:B31)</f>
        <v>0</v>
      </c>
      <c r="C32" s="91">
        <f t="shared" ref="C32:M32" si="17">SUM(C20:C31)</f>
        <v>0</v>
      </c>
      <c r="D32" s="91">
        <f t="shared" si="17"/>
        <v>0</v>
      </c>
      <c r="E32" s="91">
        <f t="shared" si="17"/>
        <v>20.09</v>
      </c>
      <c r="F32" s="91">
        <f t="shared" si="17"/>
        <v>340.26000000000005</v>
      </c>
      <c r="G32" s="91">
        <f t="shared" si="17"/>
        <v>21370.34</v>
      </c>
      <c r="H32" s="91">
        <f t="shared" si="17"/>
        <v>6213.94</v>
      </c>
      <c r="I32" s="91">
        <f t="shared" si="17"/>
        <v>859.19007000000011</v>
      </c>
      <c r="J32" s="91">
        <f t="shared" si="17"/>
        <v>0</v>
      </c>
      <c r="K32" s="91">
        <f t="shared" si="17"/>
        <v>66.8</v>
      </c>
      <c r="L32" s="91">
        <f t="shared" si="17"/>
        <v>74.2</v>
      </c>
      <c r="M32" s="91">
        <f t="shared" si="17"/>
        <v>52</v>
      </c>
      <c r="N32" s="127">
        <f t="shared" si="14"/>
        <v>28996.820069999998</v>
      </c>
      <c r="P32" s="128" t="s">
        <v>4</v>
      </c>
      <c r="Q32" s="91">
        <f>SUM(Q20:Q31)</f>
        <v>0</v>
      </c>
      <c r="R32" s="91">
        <f t="shared" ref="R32:AB32" si="18">SUM(R20:R31)</f>
        <v>0</v>
      </c>
      <c r="S32" s="91">
        <f t="shared" si="18"/>
        <v>0</v>
      </c>
      <c r="T32" s="91">
        <f t="shared" si="18"/>
        <v>2282320.4300000002</v>
      </c>
      <c r="U32" s="91">
        <f t="shared" si="18"/>
        <v>35046133.339999996</v>
      </c>
      <c r="V32" s="91">
        <f t="shared" si="18"/>
        <v>1964561056.3000002</v>
      </c>
      <c r="W32" s="91">
        <f t="shared" si="18"/>
        <v>542558403.70999992</v>
      </c>
      <c r="X32" s="91">
        <f t="shared" si="18"/>
        <v>77770899.679999992</v>
      </c>
      <c r="Y32" s="91">
        <f t="shared" si="18"/>
        <v>0</v>
      </c>
      <c r="Z32" s="91">
        <f t="shared" si="18"/>
        <v>6730238.6899999995</v>
      </c>
      <c r="AA32" s="91">
        <f t="shared" si="18"/>
        <v>6939844.7700000005</v>
      </c>
      <c r="AB32" s="91">
        <f t="shared" si="18"/>
        <v>4900975.1099999994</v>
      </c>
      <c r="AC32" s="127">
        <f t="shared" si="15"/>
        <v>2640789872.0300002</v>
      </c>
      <c r="AE32" s="128" t="s">
        <v>4</v>
      </c>
      <c r="AF32" s="91">
        <f>SUM(AF20:AF31)</f>
        <v>0</v>
      </c>
      <c r="AG32" s="91">
        <f t="shared" ref="AG32:AQ32" si="19">SUM(AG20:AG31)</f>
        <v>0</v>
      </c>
      <c r="AH32" s="91">
        <f t="shared" si="19"/>
        <v>0</v>
      </c>
      <c r="AI32" s="91">
        <f t="shared" si="19"/>
        <v>38552.709966216215</v>
      </c>
      <c r="AJ32" s="91">
        <f t="shared" si="19"/>
        <v>575603.72245119454</v>
      </c>
      <c r="AK32" s="91">
        <f t="shared" si="19"/>
        <v>32288811.17572036</v>
      </c>
      <c r="AL32" s="91">
        <f t="shared" si="19"/>
        <v>8865134.491168078</v>
      </c>
      <c r="AM32" s="91">
        <f t="shared" si="19"/>
        <v>1280676.2030004535</v>
      </c>
      <c r="AN32" s="91">
        <f t="shared" si="19"/>
        <v>0</v>
      </c>
      <c r="AO32" s="91">
        <f t="shared" si="19"/>
        <v>111564.31148027915</v>
      </c>
      <c r="AP32" s="91">
        <f t="shared" si="19"/>
        <v>114379.29216609188</v>
      </c>
      <c r="AQ32" s="91">
        <f t="shared" si="19"/>
        <v>77637.740872606897</v>
      </c>
      <c r="AR32" s="127">
        <f t="shared" si="16"/>
        <v>43352359.646825284</v>
      </c>
    </row>
    <row r="33" spans="1:49">
      <c r="P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</row>
    <row r="34" spans="1:49">
      <c r="P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</row>
    <row r="35" spans="1:49">
      <c r="A35" s="25" t="s">
        <v>0</v>
      </c>
      <c r="B35" s="16" t="s">
        <v>133</v>
      </c>
      <c r="C35" s="16" t="s">
        <v>19</v>
      </c>
      <c r="D35" s="159" t="s">
        <v>17</v>
      </c>
      <c r="E35" s="159" t="s">
        <v>134</v>
      </c>
      <c r="F35" s="156" t="s">
        <v>10</v>
      </c>
      <c r="G35" s="156" t="s">
        <v>11</v>
      </c>
      <c r="H35" s="156" t="s">
        <v>12</v>
      </c>
      <c r="I35" s="156" t="s">
        <v>13</v>
      </c>
      <c r="J35" s="156" t="s">
        <v>14</v>
      </c>
      <c r="K35" s="156" t="s">
        <v>18</v>
      </c>
      <c r="L35" s="156" t="s">
        <v>15</v>
      </c>
      <c r="M35" s="156" t="s">
        <v>16</v>
      </c>
      <c r="N35" s="27" t="s">
        <v>20</v>
      </c>
      <c r="P35" s="25" t="s">
        <v>0</v>
      </c>
      <c r="Q35" s="156" t="s">
        <v>133</v>
      </c>
      <c r="R35" s="156" t="s">
        <v>19</v>
      </c>
      <c r="S35" s="156" t="s">
        <v>17</v>
      </c>
      <c r="T35" s="156" t="s">
        <v>134</v>
      </c>
      <c r="U35" s="156" t="s">
        <v>10</v>
      </c>
      <c r="V35" s="156" t="s">
        <v>11</v>
      </c>
      <c r="W35" s="156" t="s">
        <v>12</v>
      </c>
      <c r="X35" s="156" t="s">
        <v>13</v>
      </c>
      <c r="Y35" s="156" t="s">
        <v>14</v>
      </c>
      <c r="Z35" s="156" t="s">
        <v>18</v>
      </c>
      <c r="AA35" s="156" t="s">
        <v>15</v>
      </c>
      <c r="AB35" s="156" t="s">
        <v>16</v>
      </c>
      <c r="AC35" s="27" t="s">
        <v>20</v>
      </c>
      <c r="AE35" s="25" t="s">
        <v>0</v>
      </c>
      <c r="AF35" s="156" t="s">
        <v>133</v>
      </c>
      <c r="AG35" s="156" t="s">
        <v>19</v>
      </c>
      <c r="AH35" s="156" t="s">
        <v>17</v>
      </c>
      <c r="AI35" s="156" t="s">
        <v>134</v>
      </c>
      <c r="AJ35" s="156" t="s">
        <v>10</v>
      </c>
      <c r="AK35" s="156" t="s">
        <v>11</v>
      </c>
      <c r="AL35" s="156" t="s">
        <v>12</v>
      </c>
      <c r="AM35" s="156" t="s">
        <v>13</v>
      </c>
      <c r="AN35" s="156" t="s">
        <v>14</v>
      </c>
      <c r="AO35" s="156" t="s">
        <v>18</v>
      </c>
      <c r="AP35" s="156" t="s">
        <v>15</v>
      </c>
      <c r="AQ35" s="156" t="s">
        <v>16</v>
      </c>
      <c r="AR35" s="27" t="s">
        <v>20</v>
      </c>
    </row>
    <row r="36" spans="1:49">
      <c r="A36" s="9">
        <f t="shared" ref="A36:A47" si="20">A4</f>
        <v>41365</v>
      </c>
      <c r="B36" s="43"/>
      <c r="C36" s="43"/>
      <c r="D36" s="41"/>
      <c r="E36" s="41"/>
      <c r="F36" s="41"/>
      <c r="G36" s="41">
        <v>1104.69</v>
      </c>
      <c r="H36" s="41"/>
      <c r="I36" s="41">
        <v>19.7</v>
      </c>
      <c r="J36" s="41"/>
      <c r="K36" s="41">
        <v>16.2</v>
      </c>
      <c r="L36" s="41"/>
      <c r="M36" s="41">
        <v>16.2</v>
      </c>
      <c r="N36" s="6">
        <f>SUM(B36:M36)</f>
        <v>1156.7900000000002</v>
      </c>
      <c r="P36" s="9">
        <v>41365</v>
      </c>
      <c r="Q36" s="43"/>
      <c r="R36" s="43"/>
      <c r="S36" s="41"/>
      <c r="T36" s="41"/>
      <c r="U36" s="41"/>
      <c r="V36" s="41">
        <v>83116300.679999992</v>
      </c>
      <c r="W36" s="41"/>
      <c r="X36" s="41">
        <v>1485609.51</v>
      </c>
      <c r="Y36" s="41"/>
      <c r="Z36" s="41">
        <v>1308178.71</v>
      </c>
      <c r="AA36" s="41"/>
      <c r="AB36" s="41">
        <v>1208178.26</v>
      </c>
      <c r="AC36" s="6">
        <f>SUM(Q36:AB36)</f>
        <v>87118267.159999996</v>
      </c>
      <c r="AE36" s="9">
        <v>41365</v>
      </c>
      <c r="AF36" s="43"/>
      <c r="AG36" s="43"/>
      <c r="AH36" s="41"/>
      <c r="AI36" s="41"/>
      <c r="AJ36" s="41"/>
      <c r="AK36" s="41">
        <v>1516021.6303123129</v>
      </c>
      <c r="AL36" s="41"/>
      <c r="AM36" s="41">
        <v>27258.89009174312</v>
      </c>
      <c r="AN36" s="41"/>
      <c r="AO36" s="41">
        <v>23828.39180327869</v>
      </c>
      <c r="AP36" s="41"/>
      <c r="AQ36" s="41">
        <v>22006.889981785065</v>
      </c>
      <c r="AR36" s="6">
        <f>SUM(AF36:AQ36)</f>
        <v>1589115.8021891196</v>
      </c>
      <c r="AU36" s="92">
        <f t="shared" ref="AU36:AU47" si="21">+AK36/G36</f>
        <v>1372.3502795465813</v>
      </c>
      <c r="AV36" s="92" t="e">
        <f t="shared" ref="AV36:AV47" si="22">+AL36/H36</f>
        <v>#DIV/0!</v>
      </c>
      <c r="AW36" s="92">
        <f t="shared" ref="AW36:AW47" si="23">+AM36/I36</f>
        <v>1383.7000046570113</v>
      </c>
    </row>
    <row r="37" spans="1:49">
      <c r="A37" s="9">
        <f t="shared" si="20"/>
        <v>41395</v>
      </c>
      <c r="B37" s="43"/>
      <c r="C37" s="43"/>
      <c r="D37" s="41"/>
      <c r="E37" s="41"/>
      <c r="F37" s="41">
        <v>24.54</v>
      </c>
      <c r="G37" s="41">
        <v>1241.5199999999998</v>
      </c>
      <c r="H37" s="41"/>
      <c r="I37" s="41"/>
      <c r="J37" s="41"/>
      <c r="K37" s="41">
        <v>32.4</v>
      </c>
      <c r="L37" s="41"/>
      <c r="M37" s="41">
        <v>16.2</v>
      </c>
      <c r="N37" s="6">
        <f t="shared" ref="N37:N48" si="24">SUM(B37:M37)</f>
        <v>1314.6599999999999</v>
      </c>
      <c r="P37" s="9">
        <v>41395</v>
      </c>
      <c r="Q37" s="43"/>
      <c r="R37" s="43"/>
      <c r="S37" s="41"/>
      <c r="T37" s="41"/>
      <c r="U37" s="41">
        <v>2407925.2399999998</v>
      </c>
      <c r="V37" s="41">
        <v>93605053.899999991</v>
      </c>
      <c r="W37" s="41"/>
      <c r="X37" s="41"/>
      <c r="Y37" s="41"/>
      <c r="Z37" s="41">
        <v>2594031.4900000002</v>
      </c>
      <c r="AA37" s="41"/>
      <c r="AB37" s="41">
        <v>1202676.54</v>
      </c>
      <c r="AC37" s="6">
        <f t="shared" ref="AC37:AC48" si="25">SUM(Q37:AB37)</f>
        <v>99809687.169999987</v>
      </c>
      <c r="AE37" s="9">
        <v>41395</v>
      </c>
      <c r="AF37" s="43"/>
      <c r="AG37" s="43"/>
      <c r="AH37" s="41"/>
      <c r="AI37" s="41"/>
      <c r="AJ37" s="41">
        <v>43638.169329565593</v>
      </c>
      <c r="AK37" s="41">
        <v>1699641.7602139614</v>
      </c>
      <c r="AL37" s="41"/>
      <c r="AM37" s="41"/>
      <c r="AN37" s="41"/>
      <c r="AO37" s="41">
        <v>47252.746077276577</v>
      </c>
      <c r="AP37" s="41"/>
      <c r="AQ37" s="41">
        <v>22006.890027447393</v>
      </c>
      <c r="AR37" s="6">
        <f t="shared" ref="AR37:AR48" si="26">SUM(AF37:AQ37)</f>
        <v>1812539.5656482507</v>
      </c>
      <c r="AU37" s="92">
        <f t="shared" si="21"/>
        <v>1369.0007089808958</v>
      </c>
      <c r="AV37" s="92" t="e">
        <f t="shared" si="22"/>
        <v>#DIV/0!</v>
      </c>
      <c r="AW37" s="92" t="e">
        <f t="shared" si="23"/>
        <v>#DIV/0!</v>
      </c>
    </row>
    <row r="38" spans="1:49">
      <c r="A38" s="9">
        <f t="shared" si="20"/>
        <v>41426</v>
      </c>
      <c r="B38" s="43"/>
      <c r="C38" s="43"/>
      <c r="D38" s="41"/>
      <c r="E38" s="41"/>
      <c r="F38" s="41">
        <v>39.54</v>
      </c>
      <c r="G38" s="41">
        <v>1374.0700000000002</v>
      </c>
      <c r="H38" s="41"/>
      <c r="I38" s="41"/>
      <c r="J38" s="41"/>
      <c r="K38" s="41">
        <v>16.2</v>
      </c>
      <c r="L38" s="41"/>
      <c r="M38" s="41"/>
      <c r="N38" s="6">
        <f t="shared" si="24"/>
        <v>1429.8100000000002</v>
      </c>
      <c r="P38" s="9">
        <v>41426</v>
      </c>
      <c r="Q38" s="43"/>
      <c r="R38" s="43"/>
      <c r="S38" s="41"/>
      <c r="T38" s="41"/>
      <c r="U38" s="41">
        <v>3718034.49</v>
      </c>
      <c r="V38" s="41">
        <v>107659364.91999999</v>
      </c>
      <c r="W38" s="41"/>
      <c r="X38" s="41"/>
      <c r="Y38" s="41"/>
      <c r="Z38" s="41">
        <v>1348760.57</v>
      </c>
      <c r="AA38" s="41"/>
      <c r="AB38" s="41"/>
      <c r="AC38" s="6">
        <f t="shared" si="25"/>
        <v>112726159.97999997</v>
      </c>
      <c r="AE38" s="9">
        <v>41426</v>
      </c>
      <c r="AF38" s="43"/>
      <c r="AG38" s="43"/>
      <c r="AH38" s="41"/>
      <c r="AI38" s="41"/>
      <c r="AJ38" s="41">
        <v>65400.782585751978</v>
      </c>
      <c r="AK38" s="41">
        <v>1905887.5077459051</v>
      </c>
      <c r="AL38" s="41"/>
      <c r="AM38" s="41"/>
      <c r="AN38" s="41"/>
      <c r="AO38" s="41">
        <v>23724.900087950748</v>
      </c>
      <c r="AP38" s="41"/>
      <c r="AQ38" s="41"/>
      <c r="AR38" s="6">
        <f t="shared" si="26"/>
        <v>1995013.1904196078</v>
      </c>
      <c r="AU38" s="92">
        <f t="shared" si="21"/>
        <v>1387.0381477988055</v>
      </c>
      <c r="AV38" s="92" t="e">
        <f t="shared" si="22"/>
        <v>#DIV/0!</v>
      </c>
      <c r="AW38" s="92" t="e">
        <f t="shared" si="23"/>
        <v>#DIV/0!</v>
      </c>
    </row>
    <row r="39" spans="1:49">
      <c r="A39" s="9">
        <f t="shared" si="20"/>
        <v>41456</v>
      </c>
      <c r="B39" s="43"/>
      <c r="C39" s="43"/>
      <c r="D39" s="41"/>
      <c r="E39" s="41"/>
      <c r="F39" s="41">
        <v>19.78</v>
      </c>
      <c r="G39" s="41">
        <v>438.42</v>
      </c>
      <c r="H39" s="41"/>
      <c r="I39" s="41"/>
      <c r="J39" s="41"/>
      <c r="K39" s="41">
        <v>16.2</v>
      </c>
      <c r="L39" s="41"/>
      <c r="M39" s="41">
        <v>16.2</v>
      </c>
      <c r="N39" s="6">
        <f t="shared" si="24"/>
        <v>490.6</v>
      </c>
      <c r="P39" s="9">
        <v>41456</v>
      </c>
      <c r="Q39" s="43"/>
      <c r="R39" s="43"/>
      <c r="S39" s="41"/>
      <c r="T39" s="41"/>
      <c r="U39" s="41">
        <v>1782768.93</v>
      </c>
      <c r="V39" s="41">
        <v>36432598.549999997</v>
      </c>
      <c r="W39" s="41"/>
      <c r="X39" s="41"/>
      <c r="Y39" s="41"/>
      <c r="Z39" s="41">
        <v>1435356.45</v>
      </c>
      <c r="AA39" s="41"/>
      <c r="AB39" s="41">
        <v>1332230.8500000001</v>
      </c>
      <c r="AC39" s="6">
        <f t="shared" si="25"/>
        <v>40982954.780000001</v>
      </c>
      <c r="AE39" s="9">
        <v>41456</v>
      </c>
      <c r="AF39" s="43"/>
      <c r="AG39" s="43"/>
      <c r="AH39" s="41"/>
      <c r="AI39" s="41"/>
      <c r="AJ39" s="41">
        <v>29467.255041322314</v>
      </c>
      <c r="AK39" s="41">
        <v>609126.68718850054</v>
      </c>
      <c r="AL39" s="41"/>
      <c r="AM39" s="41"/>
      <c r="AN39" s="41"/>
      <c r="AO39" s="41">
        <v>24062.974853310981</v>
      </c>
      <c r="AP39" s="41"/>
      <c r="AQ39" s="41">
        <v>22334.129924559937</v>
      </c>
      <c r="AR39" s="6">
        <f t="shared" si="26"/>
        <v>684991.04700769379</v>
      </c>
      <c r="AU39" s="92">
        <f t="shared" si="21"/>
        <v>1389.3679284441871</v>
      </c>
      <c r="AV39" s="92" t="e">
        <f t="shared" si="22"/>
        <v>#DIV/0!</v>
      </c>
      <c r="AW39" s="92" t="e">
        <f t="shared" si="23"/>
        <v>#DIV/0!</v>
      </c>
    </row>
    <row r="40" spans="1:49">
      <c r="A40" s="9">
        <f t="shared" si="20"/>
        <v>41487</v>
      </c>
      <c r="B40" s="43"/>
      <c r="C40" s="43"/>
      <c r="D40" s="41"/>
      <c r="E40" s="41"/>
      <c r="F40" s="41">
        <v>39.590000000000003</v>
      </c>
      <c r="G40" s="41">
        <v>479.59</v>
      </c>
      <c r="H40" s="41"/>
      <c r="I40" s="41"/>
      <c r="J40" s="41"/>
      <c r="K40" s="41">
        <v>16.2</v>
      </c>
      <c r="L40" s="41"/>
      <c r="M40" s="41">
        <v>48.599999999999994</v>
      </c>
      <c r="N40" s="6">
        <f t="shared" si="24"/>
        <v>583.98</v>
      </c>
      <c r="P40" s="9">
        <v>41487</v>
      </c>
      <c r="Q40" s="43"/>
      <c r="R40" s="43"/>
      <c r="S40" s="41"/>
      <c r="T40" s="41"/>
      <c r="U40" s="41">
        <v>3574153.83</v>
      </c>
      <c r="V40" s="41">
        <v>42301601.969999999</v>
      </c>
      <c r="W40" s="41"/>
      <c r="X40" s="41"/>
      <c r="Y40" s="41"/>
      <c r="Z40" s="41">
        <v>1415190.29</v>
      </c>
      <c r="AA40" s="41"/>
      <c r="AB40" s="41">
        <v>4043430.62</v>
      </c>
      <c r="AC40" s="6">
        <f t="shared" si="25"/>
        <v>51334376.709999993</v>
      </c>
      <c r="AE40" s="9">
        <v>41487</v>
      </c>
      <c r="AF40" s="43"/>
      <c r="AG40" s="43"/>
      <c r="AH40" s="41"/>
      <c r="AI40" s="41"/>
      <c r="AJ40" s="41">
        <v>57902.327166533898</v>
      </c>
      <c r="AK40" s="41">
        <v>684284.82710800285</v>
      </c>
      <c r="AL40" s="41"/>
      <c r="AM40" s="41"/>
      <c r="AN40" s="41"/>
      <c r="AO40" s="41">
        <v>22992.531112916331</v>
      </c>
      <c r="AP40" s="41"/>
      <c r="AQ40" s="41">
        <v>65567.146607890667</v>
      </c>
      <c r="AR40" s="6">
        <f t="shared" si="26"/>
        <v>830746.83199534379</v>
      </c>
      <c r="AU40" s="92">
        <f t="shared" si="21"/>
        <v>1426.8121251652512</v>
      </c>
      <c r="AV40" s="92" t="e">
        <f t="shared" si="22"/>
        <v>#DIV/0!</v>
      </c>
      <c r="AW40" s="92" t="e">
        <f t="shared" si="23"/>
        <v>#DIV/0!</v>
      </c>
    </row>
    <row r="41" spans="1:49">
      <c r="A41" s="9">
        <f t="shared" si="20"/>
        <v>41518</v>
      </c>
      <c r="B41" s="43"/>
      <c r="C41" s="43"/>
      <c r="D41" s="41">
        <v>19.760000000000002</v>
      </c>
      <c r="E41" s="41"/>
      <c r="F41" s="41">
        <v>4.76</v>
      </c>
      <c r="G41" s="41">
        <v>1177.3099999999997</v>
      </c>
      <c r="H41" s="41"/>
      <c r="I41" s="41"/>
      <c r="J41" s="41"/>
      <c r="K41" s="41"/>
      <c r="L41" s="41"/>
      <c r="M41" s="41">
        <v>32.4</v>
      </c>
      <c r="N41" s="6">
        <f t="shared" si="24"/>
        <v>1234.2299999999998</v>
      </c>
      <c r="P41" s="9">
        <v>41518</v>
      </c>
      <c r="Q41" s="43"/>
      <c r="R41" s="43"/>
      <c r="S41" s="41">
        <v>2999857.49</v>
      </c>
      <c r="T41" s="41"/>
      <c r="U41" s="41">
        <v>604790.06999999995</v>
      </c>
      <c r="V41" s="41">
        <v>112244846.29000001</v>
      </c>
      <c r="W41" s="41"/>
      <c r="X41" s="41"/>
      <c r="Y41" s="41"/>
      <c r="Z41" s="41"/>
      <c r="AA41" s="41"/>
      <c r="AB41" s="41">
        <v>2827165.44</v>
      </c>
      <c r="AC41" s="6">
        <f t="shared" si="25"/>
        <v>118676659.29000001</v>
      </c>
      <c r="AE41" s="9">
        <v>41518</v>
      </c>
      <c r="AF41" s="43"/>
      <c r="AG41" s="43"/>
      <c r="AH41" s="41">
        <v>47503.681551860653</v>
      </c>
      <c r="AI41" s="41"/>
      <c r="AJ41" s="41">
        <v>9254.6299923488914</v>
      </c>
      <c r="AK41" s="41">
        <v>1732247.7280461104</v>
      </c>
      <c r="AL41" s="41"/>
      <c r="AM41" s="41"/>
      <c r="AN41" s="41"/>
      <c r="AO41" s="41"/>
      <c r="AP41" s="41"/>
      <c r="AQ41" s="41">
        <v>43786.237969290029</v>
      </c>
      <c r="AR41" s="6">
        <f t="shared" si="26"/>
        <v>1832792.2775596099</v>
      </c>
      <c r="AU41" s="92">
        <f t="shared" si="21"/>
        <v>1471.3607529419701</v>
      </c>
      <c r="AV41" s="92" t="e">
        <f t="shared" si="22"/>
        <v>#DIV/0!</v>
      </c>
      <c r="AW41" s="92" t="e">
        <f t="shared" si="23"/>
        <v>#DIV/0!</v>
      </c>
    </row>
    <row r="42" spans="1:49">
      <c r="A42" s="9">
        <f t="shared" si="20"/>
        <v>41548</v>
      </c>
      <c r="B42" s="43"/>
      <c r="C42" s="43"/>
      <c r="D42" s="41"/>
      <c r="E42" s="41"/>
      <c r="F42" s="41">
        <v>38.53</v>
      </c>
      <c r="G42" s="41">
        <v>1498.6199999999992</v>
      </c>
      <c r="H42" s="41"/>
      <c r="I42" s="41"/>
      <c r="J42" s="41"/>
      <c r="K42" s="41"/>
      <c r="L42" s="41"/>
      <c r="M42" s="41"/>
      <c r="N42" s="6">
        <f t="shared" si="24"/>
        <v>1537.1499999999992</v>
      </c>
      <c r="P42" s="9">
        <v>41548</v>
      </c>
      <c r="Q42" s="43"/>
      <c r="R42" s="43"/>
      <c r="S42" s="41"/>
      <c r="T42" s="41"/>
      <c r="U42" s="41">
        <v>3994945.21</v>
      </c>
      <c r="V42" s="41">
        <v>139340595.65999997</v>
      </c>
      <c r="W42" s="41"/>
      <c r="X42" s="41"/>
      <c r="Y42" s="41"/>
      <c r="Z42" s="41"/>
      <c r="AA42" s="41"/>
      <c r="AB42" s="41"/>
      <c r="AC42" s="6">
        <f t="shared" si="25"/>
        <v>143335540.86999997</v>
      </c>
      <c r="AE42" s="9">
        <v>41548</v>
      </c>
      <c r="AF42" s="43"/>
      <c r="AG42" s="43"/>
      <c r="AH42" s="41"/>
      <c r="AI42" s="41"/>
      <c r="AJ42" s="41">
        <v>64048.946902927812</v>
      </c>
      <c r="AK42" s="41">
        <v>2230783.5889667287</v>
      </c>
      <c r="AL42" s="41"/>
      <c r="AM42" s="41"/>
      <c r="AN42" s="41"/>
      <c r="AO42" s="41"/>
      <c r="AP42" s="41"/>
      <c r="AQ42" s="41"/>
      <c r="AR42" s="6">
        <f t="shared" si="26"/>
        <v>2294832.5358696566</v>
      </c>
      <c r="AU42" s="92">
        <f t="shared" si="21"/>
        <v>1488.5585331616619</v>
      </c>
      <c r="AV42" s="92" t="e">
        <f t="shared" si="22"/>
        <v>#DIV/0!</v>
      </c>
      <c r="AW42" s="92" t="e">
        <f t="shared" si="23"/>
        <v>#DIV/0!</v>
      </c>
    </row>
    <row r="43" spans="1:49">
      <c r="A43" s="9">
        <f t="shared" si="20"/>
        <v>41579</v>
      </c>
      <c r="B43" s="43"/>
      <c r="C43" s="43"/>
      <c r="D43" s="41"/>
      <c r="E43" s="41"/>
      <c r="F43" s="41">
        <v>39.630000000000003</v>
      </c>
      <c r="G43" s="41">
        <v>1383.43</v>
      </c>
      <c r="H43" s="41"/>
      <c r="I43" s="41"/>
      <c r="J43" s="41"/>
      <c r="K43" s="41"/>
      <c r="L43" s="41"/>
      <c r="M43" s="41"/>
      <c r="N43" s="6">
        <f t="shared" si="24"/>
        <v>1423.0600000000002</v>
      </c>
      <c r="P43" s="9">
        <v>41579</v>
      </c>
      <c r="Q43" s="43"/>
      <c r="R43" s="43"/>
      <c r="S43" s="41"/>
      <c r="T43" s="41"/>
      <c r="U43" s="41">
        <v>4045658.28</v>
      </c>
      <c r="V43" s="41">
        <v>127157959.71999998</v>
      </c>
      <c r="W43" s="41"/>
      <c r="X43" s="41"/>
      <c r="Y43" s="41"/>
      <c r="Z43" s="41"/>
      <c r="AA43" s="41"/>
      <c r="AB43" s="41"/>
      <c r="AC43" s="6">
        <f t="shared" si="25"/>
        <v>131203617.99999999</v>
      </c>
      <c r="AE43" s="9">
        <v>41579</v>
      </c>
      <c r="AF43" s="43"/>
      <c r="AG43" s="43"/>
      <c r="AH43" s="41"/>
      <c r="AI43" s="41"/>
      <c r="AJ43" s="41">
        <v>64115.028209191754</v>
      </c>
      <c r="AK43" s="41">
        <v>2027512.4742392614</v>
      </c>
      <c r="AL43" s="41"/>
      <c r="AM43" s="41"/>
      <c r="AN43" s="41"/>
      <c r="AO43" s="41"/>
      <c r="AP43" s="41"/>
      <c r="AQ43" s="41"/>
      <c r="AR43" s="6">
        <f t="shared" si="26"/>
        <v>2091627.5024484531</v>
      </c>
      <c r="AU43" s="92">
        <f t="shared" si="21"/>
        <v>1465.5692548515367</v>
      </c>
      <c r="AV43" s="92" t="e">
        <f t="shared" si="22"/>
        <v>#DIV/0!</v>
      </c>
      <c r="AW43" s="92" t="e">
        <f t="shared" si="23"/>
        <v>#DIV/0!</v>
      </c>
    </row>
    <row r="44" spans="1:49">
      <c r="A44" s="9">
        <f t="shared" si="20"/>
        <v>41609</v>
      </c>
      <c r="B44" s="43"/>
      <c r="C44" s="43"/>
      <c r="D44" s="41"/>
      <c r="E44" s="41"/>
      <c r="F44" s="41">
        <v>39.65</v>
      </c>
      <c r="G44" s="41">
        <v>946.8</v>
      </c>
      <c r="H44" s="41"/>
      <c r="I44" s="41"/>
      <c r="J44" s="41"/>
      <c r="K44" s="41"/>
      <c r="L44" s="41"/>
      <c r="M44" s="41"/>
      <c r="N44" s="6">
        <f t="shared" si="24"/>
        <v>986.44999999999993</v>
      </c>
      <c r="P44" s="9">
        <v>41609</v>
      </c>
      <c r="Q44" s="43"/>
      <c r="R44" s="43"/>
      <c r="S44" s="41"/>
      <c r="T44" s="41"/>
      <c r="U44" s="41">
        <v>4054207.54</v>
      </c>
      <c r="V44" s="41">
        <v>88723405.430000007</v>
      </c>
      <c r="W44" s="41"/>
      <c r="X44" s="41"/>
      <c r="Y44" s="41"/>
      <c r="Z44" s="41"/>
      <c r="AA44" s="41"/>
      <c r="AB44" s="41"/>
      <c r="AC44" s="6">
        <f t="shared" si="25"/>
        <v>92777612.970000014</v>
      </c>
      <c r="AE44" s="9">
        <v>41609</v>
      </c>
      <c r="AF44" s="43"/>
      <c r="AG44" s="43"/>
      <c r="AH44" s="41"/>
      <c r="AI44" s="41"/>
      <c r="AJ44" s="41">
        <v>64765.264427471571</v>
      </c>
      <c r="AK44" s="41">
        <v>1420157.5942120668</v>
      </c>
      <c r="AL44" s="41"/>
      <c r="AM44" s="41"/>
      <c r="AN44" s="41"/>
      <c r="AO44" s="41"/>
      <c r="AP44" s="41"/>
      <c r="AQ44" s="41"/>
      <c r="AR44" s="6">
        <f t="shared" si="26"/>
        <v>1484922.8586395385</v>
      </c>
      <c r="AU44" s="92">
        <f t="shared" si="21"/>
        <v>1499.9552114618366</v>
      </c>
      <c r="AV44" s="92" t="e">
        <f t="shared" si="22"/>
        <v>#DIV/0!</v>
      </c>
      <c r="AW44" s="92" t="e">
        <f t="shared" si="23"/>
        <v>#DIV/0!</v>
      </c>
    </row>
    <row r="45" spans="1:49">
      <c r="A45" s="9">
        <f t="shared" si="20"/>
        <v>41640</v>
      </c>
      <c r="B45" s="43"/>
      <c r="C45" s="43"/>
      <c r="D45" s="41"/>
      <c r="E45" s="41"/>
      <c r="F45" s="41">
        <v>25.73</v>
      </c>
      <c r="G45" s="41">
        <v>915.3900000000001</v>
      </c>
      <c r="H45" s="41"/>
      <c r="I45" s="41"/>
      <c r="J45" s="41"/>
      <c r="K45" s="41"/>
      <c r="L45" s="41"/>
      <c r="M45" s="41"/>
      <c r="N45" s="6">
        <f t="shared" si="24"/>
        <v>941.12000000000012</v>
      </c>
      <c r="P45" s="9">
        <v>41640</v>
      </c>
      <c r="Q45" s="43"/>
      <c r="R45" s="43"/>
      <c r="S45" s="41"/>
      <c r="T45" s="41"/>
      <c r="U45" s="41">
        <v>2921529.58</v>
      </c>
      <c r="V45" s="41">
        <v>89438561.390000001</v>
      </c>
      <c r="W45" s="41"/>
      <c r="X45" s="41"/>
      <c r="Y45" s="41"/>
      <c r="Z45" s="41"/>
      <c r="AA45" s="41"/>
      <c r="AB45" s="41"/>
      <c r="AC45" s="6">
        <f t="shared" si="25"/>
        <v>92360090.969999999</v>
      </c>
      <c r="AE45" s="9">
        <v>41640</v>
      </c>
      <c r="AF45" s="43"/>
      <c r="AG45" s="43"/>
      <c r="AH45" s="41"/>
      <c r="AI45" s="41"/>
      <c r="AJ45" s="41">
        <v>46856.929911788291</v>
      </c>
      <c r="AK45" s="41">
        <v>1432712.4197662752</v>
      </c>
      <c r="AL45" s="41"/>
      <c r="AM45" s="41"/>
      <c r="AN45" s="41"/>
      <c r="AO45" s="41"/>
      <c r="AP45" s="41"/>
      <c r="AQ45" s="41"/>
      <c r="AR45" s="6">
        <f t="shared" si="26"/>
        <v>1479569.3496780635</v>
      </c>
      <c r="AU45" s="92">
        <f t="shared" si="21"/>
        <v>1565.1388148944986</v>
      </c>
      <c r="AV45" s="92" t="e">
        <f t="shared" si="22"/>
        <v>#DIV/0!</v>
      </c>
      <c r="AW45" s="92" t="e">
        <f t="shared" si="23"/>
        <v>#DIV/0!</v>
      </c>
    </row>
    <row r="46" spans="1:49">
      <c r="A46" s="9">
        <f t="shared" si="20"/>
        <v>41671</v>
      </c>
      <c r="B46" s="43"/>
      <c r="C46" s="43"/>
      <c r="D46" s="41"/>
      <c r="E46" s="41"/>
      <c r="F46" s="41">
        <v>26.44</v>
      </c>
      <c r="G46" s="41">
        <v>1266.6299999999999</v>
      </c>
      <c r="H46" s="41"/>
      <c r="I46" s="41"/>
      <c r="J46" s="41"/>
      <c r="K46" s="41">
        <v>30</v>
      </c>
      <c r="L46" s="41"/>
      <c r="M46" s="41"/>
      <c r="N46" s="6">
        <f t="shared" si="24"/>
        <v>1323.07</v>
      </c>
      <c r="P46" s="9">
        <v>41671</v>
      </c>
      <c r="Q46" s="43"/>
      <c r="R46" s="43"/>
      <c r="S46" s="41"/>
      <c r="T46" s="41"/>
      <c r="U46" s="41">
        <v>2865321.9299999997</v>
      </c>
      <c r="V46" s="41">
        <v>121125277.34000002</v>
      </c>
      <c r="W46" s="41"/>
      <c r="X46" s="41"/>
      <c r="Y46" s="41"/>
      <c r="Z46" s="41">
        <v>3452366.86</v>
      </c>
      <c r="AA46" s="41"/>
      <c r="AB46" s="41"/>
      <c r="AC46" s="6">
        <f t="shared" si="25"/>
        <v>127442966.13000001</v>
      </c>
      <c r="AE46" s="9">
        <v>41671</v>
      </c>
      <c r="AF46" s="43"/>
      <c r="AG46" s="43"/>
      <c r="AH46" s="41"/>
      <c r="AI46" s="41"/>
      <c r="AJ46" s="41">
        <v>45517.425416997619</v>
      </c>
      <c r="AK46" s="41">
        <v>1926861.1170889211</v>
      </c>
      <c r="AL46" s="41"/>
      <c r="AM46" s="41"/>
      <c r="AN46" s="41"/>
      <c r="AO46" s="41">
        <v>54843.00015885623</v>
      </c>
      <c r="AP46" s="41"/>
      <c r="AQ46" s="41"/>
      <c r="AR46" s="6">
        <f t="shared" si="26"/>
        <v>2027221.5426647749</v>
      </c>
      <c r="AU46" s="92">
        <f t="shared" si="21"/>
        <v>1521.2501812596586</v>
      </c>
      <c r="AV46" s="92" t="e">
        <f t="shared" si="22"/>
        <v>#DIV/0!</v>
      </c>
      <c r="AW46" s="92" t="e">
        <f t="shared" si="23"/>
        <v>#DIV/0!</v>
      </c>
    </row>
    <row r="47" spans="1:49">
      <c r="A47" s="9">
        <f t="shared" si="20"/>
        <v>41699</v>
      </c>
      <c r="B47" s="43"/>
      <c r="C47" s="43"/>
      <c r="D47" s="41"/>
      <c r="E47" s="41"/>
      <c r="F47" s="41">
        <v>39.32</v>
      </c>
      <c r="G47" s="41">
        <v>2112.41</v>
      </c>
      <c r="H47" s="41"/>
      <c r="I47" s="41"/>
      <c r="J47" s="41"/>
      <c r="K47" s="41">
        <v>30</v>
      </c>
      <c r="L47" s="41"/>
      <c r="M47" s="41"/>
      <c r="N47" s="6">
        <f t="shared" si="24"/>
        <v>2181.73</v>
      </c>
      <c r="P47" s="9">
        <v>41699</v>
      </c>
      <c r="Q47" s="43"/>
      <c r="R47" s="43"/>
      <c r="S47" s="41"/>
      <c r="T47" s="41"/>
      <c r="U47" s="41">
        <v>4431993.12</v>
      </c>
      <c r="V47" s="41">
        <v>195758699.34</v>
      </c>
      <c r="W47" s="41"/>
      <c r="X47" s="41"/>
      <c r="Y47" s="41"/>
      <c r="Z47" s="41">
        <v>3386555.26</v>
      </c>
      <c r="AA47" s="41"/>
      <c r="AB47" s="41"/>
      <c r="AC47" s="6">
        <f t="shared" si="25"/>
        <v>203577247.72</v>
      </c>
      <c r="AE47" s="9">
        <v>41699</v>
      </c>
      <c r="AF47" s="43"/>
      <c r="AG47" s="43"/>
      <c r="AH47" s="41"/>
      <c r="AI47" s="41"/>
      <c r="AJ47" s="41">
        <v>71483.759999999995</v>
      </c>
      <c r="AK47" s="41">
        <v>3151020.2404590221</v>
      </c>
      <c r="AL47" s="41"/>
      <c r="AM47" s="41"/>
      <c r="AN47" s="41"/>
      <c r="AO47" s="41">
        <v>54843.000161943317</v>
      </c>
      <c r="AP47" s="41"/>
      <c r="AQ47" s="41"/>
      <c r="AR47" s="6">
        <f t="shared" si="26"/>
        <v>3277347.0006209654</v>
      </c>
      <c r="AU47" s="92">
        <f t="shared" si="21"/>
        <v>1491.6707648889289</v>
      </c>
      <c r="AV47" s="92" t="e">
        <f t="shared" si="22"/>
        <v>#DIV/0!</v>
      </c>
      <c r="AW47" s="92" t="e">
        <f t="shared" si="23"/>
        <v>#DIV/0!</v>
      </c>
    </row>
    <row r="48" spans="1:49">
      <c r="A48" s="28" t="s">
        <v>4</v>
      </c>
      <c r="B48" s="91">
        <f>SUM(B36:B47)</f>
        <v>0</v>
      </c>
      <c r="C48" s="91">
        <f t="shared" ref="C48:M48" si="27">SUM(C36:C47)</f>
        <v>0</v>
      </c>
      <c r="D48" s="91">
        <f t="shared" si="27"/>
        <v>19.760000000000002</v>
      </c>
      <c r="E48" s="91">
        <f t="shared" si="27"/>
        <v>0</v>
      </c>
      <c r="F48" s="91">
        <f t="shared" si="27"/>
        <v>337.51</v>
      </c>
      <c r="G48" s="91">
        <f t="shared" si="27"/>
        <v>13938.879999999996</v>
      </c>
      <c r="H48" s="91">
        <f t="shared" si="27"/>
        <v>0</v>
      </c>
      <c r="I48" s="91">
        <f t="shared" si="27"/>
        <v>19.7</v>
      </c>
      <c r="J48" s="91">
        <f t="shared" si="27"/>
        <v>0</v>
      </c>
      <c r="K48" s="91">
        <f t="shared" si="27"/>
        <v>157.19999999999999</v>
      </c>
      <c r="L48" s="91">
        <f t="shared" si="27"/>
        <v>0</v>
      </c>
      <c r="M48" s="91">
        <f t="shared" si="27"/>
        <v>129.6</v>
      </c>
      <c r="N48" s="127">
        <f t="shared" si="24"/>
        <v>14602.649999999998</v>
      </c>
      <c r="P48" s="128" t="s">
        <v>4</v>
      </c>
      <c r="Q48" s="91">
        <f>SUM(Q36:Q47)</f>
        <v>0</v>
      </c>
      <c r="R48" s="91">
        <f t="shared" ref="R48:AB48" si="28">SUM(R36:R47)</f>
        <v>0</v>
      </c>
      <c r="S48" s="91">
        <f t="shared" si="28"/>
        <v>2999857.49</v>
      </c>
      <c r="T48" s="91">
        <f t="shared" si="28"/>
        <v>0</v>
      </c>
      <c r="U48" s="91">
        <f t="shared" si="28"/>
        <v>34401328.219999999</v>
      </c>
      <c r="V48" s="91">
        <f t="shared" si="28"/>
        <v>1236904265.1900001</v>
      </c>
      <c r="W48" s="91">
        <f t="shared" si="28"/>
        <v>0</v>
      </c>
      <c r="X48" s="91">
        <f t="shared" si="28"/>
        <v>1485609.51</v>
      </c>
      <c r="Y48" s="91">
        <f t="shared" si="28"/>
        <v>0</v>
      </c>
      <c r="Z48" s="91">
        <f t="shared" si="28"/>
        <v>14940439.630000001</v>
      </c>
      <c r="AA48" s="91">
        <f t="shared" si="28"/>
        <v>0</v>
      </c>
      <c r="AB48" s="91">
        <f t="shared" si="28"/>
        <v>10613681.709999999</v>
      </c>
      <c r="AC48" s="127">
        <f t="shared" si="25"/>
        <v>1301345181.7500002</v>
      </c>
      <c r="AE48" s="128" t="s">
        <v>4</v>
      </c>
      <c r="AF48" s="91">
        <f>SUM(AF36:AF47)</f>
        <v>0</v>
      </c>
      <c r="AG48" s="91">
        <f t="shared" ref="AG48:AQ48" si="29">SUM(AG36:AG47)</f>
        <v>0</v>
      </c>
      <c r="AH48" s="91">
        <f t="shared" si="29"/>
        <v>47503.681551860653</v>
      </c>
      <c r="AI48" s="91">
        <f t="shared" si="29"/>
        <v>0</v>
      </c>
      <c r="AJ48" s="91">
        <f t="shared" si="29"/>
        <v>562450.51898389973</v>
      </c>
      <c r="AK48" s="91">
        <f t="shared" si="29"/>
        <v>20336257.575347066</v>
      </c>
      <c r="AL48" s="91">
        <f t="shared" si="29"/>
        <v>0</v>
      </c>
      <c r="AM48" s="91">
        <f t="shared" si="29"/>
        <v>27258.89009174312</v>
      </c>
      <c r="AN48" s="91">
        <f t="shared" si="29"/>
        <v>0</v>
      </c>
      <c r="AO48" s="91">
        <f t="shared" si="29"/>
        <v>251547.54425553285</v>
      </c>
      <c r="AP48" s="91">
        <f t="shared" si="29"/>
        <v>0</v>
      </c>
      <c r="AQ48" s="91">
        <f t="shared" si="29"/>
        <v>175701.29451097309</v>
      </c>
      <c r="AR48" s="127">
        <f t="shared" si="26"/>
        <v>21400719.504741073</v>
      </c>
    </row>
    <row r="49" spans="1:49">
      <c r="P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</row>
    <row r="50" spans="1:49">
      <c r="P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</row>
    <row r="51" spans="1:49">
      <c r="A51" s="25" t="s">
        <v>3</v>
      </c>
      <c r="B51" s="16" t="s">
        <v>133</v>
      </c>
      <c r="C51" s="16" t="s">
        <v>19</v>
      </c>
      <c r="D51" s="159" t="s">
        <v>17</v>
      </c>
      <c r="E51" s="159" t="s">
        <v>134</v>
      </c>
      <c r="F51" s="156" t="s">
        <v>10</v>
      </c>
      <c r="G51" s="156" t="s">
        <v>11</v>
      </c>
      <c r="H51" s="156" t="s">
        <v>12</v>
      </c>
      <c r="I51" s="156" t="s">
        <v>13</v>
      </c>
      <c r="J51" s="156" t="s">
        <v>14</v>
      </c>
      <c r="K51" s="156" t="s">
        <v>18</v>
      </c>
      <c r="L51" s="156" t="s">
        <v>15</v>
      </c>
      <c r="M51" s="156" t="s">
        <v>16</v>
      </c>
      <c r="N51" s="27" t="s">
        <v>20</v>
      </c>
      <c r="P51" s="25" t="s">
        <v>3</v>
      </c>
      <c r="Q51" s="156" t="s">
        <v>133</v>
      </c>
      <c r="R51" s="156" t="s">
        <v>19</v>
      </c>
      <c r="S51" s="156" t="s">
        <v>17</v>
      </c>
      <c r="T51" s="156" t="s">
        <v>134</v>
      </c>
      <c r="U51" s="156" t="s">
        <v>10</v>
      </c>
      <c r="V51" s="156" t="s">
        <v>11</v>
      </c>
      <c r="W51" s="156" t="s">
        <v>12</v>
      </c>
      <c r="X51" s="156" t="s">
        <v>13</v>
      </c>
      <c r="Y51" s="156" t="s">
        <v>14</v>
      </c>
      <c r="Z51" s="156" t="s">
        <v>18</v>
      </c>
      <c r="AA51" s="156" t="s">
        <v>15</v>
      </c>
      <c r="AB51" s="156" t="s">
        <v>16</v>
      </c>
      <c r="AC51" s="27" t="s">
        <v>20</v>
      </c>
      <c r="AE51" s="25" t="s">
        <v>3</v>
      </c>
      <c r="AF51" s="156" t="s">
        <v>133</v>
      </c>
      <c r="AG51" s="156" t="s">
        <v>19</v>
      </c>
      <c r="AH51" s="156" t="s">
        <v>17</v>
      </c>
      <c r="AI51" s="156" t="s">
        <v>134</v>
      </c>
      <c r="AJ51" s="156" t="s">
        <v>10</v>
      </c>
      <c r="AK51" s="156" t="s">
        <v>11</v>
      </c>
      <c r="AL51" s="156" t="s">
        <v>12</v>
      </c>
      <c r="AM51" s="156" t="s">
        <v>13</v>
      </c>
      <c r="AN51" s="156" t="s">
        <v>14</v>
      </c>
      <c r="AO51" s="156" t="s">
        <v>18</v>
      </c>
      <c r="AP51" s="156" t="s">
        <v>15</v>
      </c>
      <c r="AQ51" s="156" t="s">
        <v>16</v>
      </c>
      <c r="AR51" s="27" t="s">
        <v>20</v>
      </c>
    </row>
    <row r="52" spans="1:49">
      <c r="A52" s="9">
        <f t="shared" ref="A52:A63" si="30">A4</f>
        <v>41365</v>
      </c>
      <c r="B52" s="43"/>
      <c r="C52" s="43"/>
      <c r="D52" s="41"/>
      <c r="E52" s="41"/>
      <c r="F52" s="41"/>
      <c r="G52" s="41">
        <v>279.96000000000004</v>
      </c>
      <c r="H52" s="41">
        <v>119.8</v>
      </c>
      <c r="I52" s="41"/>
      <c r="J52" s="41"/>
      <c r="K52" s="41"/>
      <c r="L52" s="41">
        <v>16</v>
      </c>
      <c r="M52" s="41"/>
      <c r="N52" s="6">
        <f>SUM(B52:M52)</f>
        <v>415.76000000000005</v>
      </c>
      <c r="P52" s="9">
        <v>41365</v>
      </c>
      <c r="Q52" s="43"/>
      <c r="R52" s="43"/>
      <c r="S52" s="41"/>
      <c r="T52" s="41"/>
      <c r="U52" s="41"/>
      <c r="V52" s="41">
        <v>21842927.32</v>
      </c>
      <c r="W52" s="41">
        <v>9947737.4199999999</v>
      </c>
      <c r="X52" s="41"/>
      <c r="Y52" s="41"/>
      <c r="Z52" s="41"/>
      <c r="AA52" s="41">
        <v>1291304.52</v>
      </c>
      <c r="AB52" s="41"/>
      <c r="AC52" s="6">
        <f>SUM(Q52:AB52)</f>
        <v>33081969.260000002</v>
      </c>
      <c r="AE52" s="9">
        <v>41365</v>
      </c>
      <c r="AF52" s="43"/>
      <c r="AG52" s="43"/>
      <c r="AH52" s="41"/>
      <c r="AI52" s="41"/>
      <c r="AJ52" s="41"/>
      <c r="AK52" s="41">
        <v>397531.93634219549</v>
      </c>
      <c r="AL52" s="41">
        <v>181197.40291438979</v>
      </c>
      <c r="AM52" s="41"/>
      <c r="AN52" s="41"/>
      <c r="AO52" s="41"/>
      <c r="AP52" s="41">
        <v>23521.029508196723</v>
      </c>
      <c r="AQ52" s="41"/>
      <c r="AR52" s="6">
        <f>SUM(AF52:AQ52)</f>
        <v>602250.36876478209</v>
      </c>
      <c r="AU52" s="92">
        <f t="shared" ref="AU52:AU63" si="31">+AK52/G52</f>
        <v>1419.9597669031127</v>
      </c>
      <c r="AV52" s="92">
        <f t="shared" ref="AV52:AV63" si="32">+AL52/H52</f>
        <v>1512.4991896025861</v>
      </c>
      <c r="AW52" s="92" t="e">
        <f t="shared" ref="AW52:AW63" si="33">+AM52/I52</f>
        <v>#DIV/0!</v>
      </c>
    </row>
    <row r="53" spans="1:49">
      <c r="A53" s="9">
        <f t="shared" si="30"/>
        <v>41395</v>
      </c>
      <c r="B53" s="43"/>
      <c r="C53" s="43"/>
      <c r="D53" s="41"/>
      <c r="E53" s="41"/>
      <c r="F53" s="41"/>
      <c r="G53" s="41">
        <v>659.62</v>
      </c>
      <c r="H53" s="41">
        <v>239.89999999999998</v>
      </c>
      <c r="I53" s="41">
        <v>249.42000000000002</v>
      </c>
      <c r="J53" s="41"/>
      <c r="K53" s="41"/>
      <c r="L53" s="41"/>
      <c r="M53" s="41"/>
      <c r="N53" s="6">
        <f t="shared" ref="N53:N64" si="34">SUM(B53:M53)</f>
        <v>1148.94</v>
      </c>
      <c r="P53" s="9">
        <v>41395</v>
      </c>
      <c r="Q53" s="43"/>
      <c r="R53" s="43"/>
      <c r="S53" s="41"/>
      <c r="T53" s="41"/>
      <c r="U53" s="41"/>
      <c r="V53" s="41">
        <v>51661672.979999997</v>
      </c>
      <c r="W53" s="41">
        <v>18253366.850000001</v>
      </c>
      <c r="X53" s="41">
        <v>20278265.649999999</v>
      </c>
      <c r="Y53" s="41"/>
      <c r="Z53" s="41"/>
      <c r="AA53" s="41"/>
      <c r="AB53" s="41"/>
      <c r="AC53" s="6">
        <f t="shared" ref="AC53:AC64" si="35">SUM(Q53:AB53)</f>
        <v>90193305.479999989</v>
      </c>
      <c r="AE53" s="9">
        <v>41395</v>
      </c>
      <c r="AF53" s="43"/>
      <c r="AG53" s="43"/>
      <c r="AH53" s="41"/>
      <c r="AI53" s="41"/>
      <c r="AJ53" s="41"/>
      <c r="AK53" s="41">
        <v>944049.89871343388</v>
      </c>
      <c r="AL53" s="41">
        <v>334464.4843188934</v>
      </c>
      <c r="AM53" s="41">
        <v>369285.8658065265</v>
      </c>
      <c r="AN53" s="41"/>
      <c r="AO53" s="41"/>
      <c r="AP53" s="41"/>
      <c r="AQ53" s="41"/>
      <c r="AR53" s="6">
        <f t="shared" ref="AR53:AR64" si="36">SUM(AF53:AQ53)</f>
        <v>1647800.2488388538</v>
      </c>
      <c r="AU53" s="92">
        <f t="shared" si="31"/>
        <v>1431.2026601883415</v>
      </c>
      <c r="AV53" s="92">
        <f t="shared" si="32"/>
        <v>1394.1829275485345</v>
      </c>
      <c r="AW53" s="92">
        <f t="shared" si="33"/>
        <v>1480.5784051259982</v>
      </c>
    </row>
    <row r="54" spans="1:49">
      <c r="A54" s="9">
        <f t="shared" si="30"/>
        <v>41426</v>
      </c>
      <c r="B54" s="43"/>
      <c r="C54" s="43"/>
      <c r="D54" s="41"/>
      <c r="E54" s="41"/>
      <c r="F54" s="41"/>
      <c r="G54" s="41">
        <v>279.89</v>
      </c>
      <c r="H54" s="41">
        <v>339.83</v>
      </c>
      <c r="I54" s="41"/>
      <c r="J54" s="41"/>
      <c r="K54" s="41"/>
      <c r="L54" s="41"/>
      <c r="M54" s="41"/>
      <c r="N54" s="6">
        <f t="shared" si="34"/>
        <v>619.72</v>
      </c>
      <c r="P54" s="9">
        <v>41426</v>
      </c>
      <c r="Q54" s="43"/>
      <c r="R54" s="43"/>
      <c r="S54" s="41"/>
      <c r="T54" s="41"/>
      <c r="U54" s="41"/>
      <c r="V54" s="41">
        <v>24489471.690000005</v>
      </c>
      <c r="W54" s="41">
        <v>29797328.400000002</v>
      </c>
      <c r="X54" s="41"/>
      <c r="Y54" s="41"/>
      <c r="Z54" s="41"/>
      <c r="AA54" s="41"/>
      <c r="AB54" s="41"/>
      <c r="AC54" s="6">
        <f t="shared" si="35"/>
        <v>54286800.090000004</v>
      </c>
      <c r="AE54" s="9">
        <v>41426</v>
      </c>
      <c r="AF54" s="43"/>
      <c r="AG54" s="43"/>
      <c r="AH54" s="41"/>
      <c r="AI54" s="41"/>
      <c r="AJ54" s="41"/>
      <c r="AK54" s="41">
        <v>417127.36652983783</v>
      </c>
      <c r="AL54" s="41">
        <v>506833.93236825208</v>
      </c>
      <c r="AM54" s="41"/>
      <c r="AN54" s="41"/>
      <c r="AO54" s="41"/>
      <c r="AP54" s="41"/>
      <c r="AQ54" s="41"/>
      <c r="AR54" s="6">
        <f t="shared" si="36"/>
        <v>923961.29889808991</v>
      </c>
      <c r="AU54" s="92">
        <f t="shared" si="31"/>
        <v>1490.3260799951333</v>
      </c>
      <c r="AV54" s="92">
        <f t="shared" si="32"/>
        <v>1491.4337532538391</v>
      </c>
      <c r="AW54" s="92" t="e">
        <f t="shared" si="33"/>
        <v>#DIV/0!</v>
      </c>
    </row>
    <row r="55" spans="1:49">
      <c r="A55" s="9">
        <f t="shared" si="30"/>
        <v>41456</v>
      </c>
      <c r="B55" s="43"/>
      <c r="C55" s="43"/>
      <c r="D55" s="41"/>
      <c r="E55" s="41"/>
      <c r="F55" s="41"/>
      <c r="G55" s="41">
        <v>900.24999999999989</v>
      </c>
      <c r="H55" s="41">
        <v>499.78999999999996</v>
      </c>
      <c r="I55" s="41"/>
      <c r="J55" s="41"/>
      <c r="K55" s="41">
        <v>11</v>
      </c>
      <c r="L55" s="41">
        <v>5</v>
      </c>
      <c r="M55" s="41"/>
      <c r="N55" s="6">
        <f t="shared" si="34"/>
        <v>1416.04</v>
      </c>
      <c r="P55" s="9">
        <v>41456</v>
      </c>
      <c r="Q55" s="43"/>
      <c r="R55" s="43"/>
      <c r="S55" s="41"/>
      <c r="T55" s="41"/>
      <c r="U55" s="41"/>
      <c r="V55" s="41">
        <v>80148771.659999996</v>
      </c>
      <c r="W55" s="41">
        <v>42628705.509999998</v>
      </c>
      <c r="X55" s="41"/>
      <c r="Y55" s="41"/>
      <c r="Z55" s="41">
        <v>1108583.8</v>
      </c>
      <c r="AA55" s="41">
        <v>427087.44</v>
      </c>
      <c r="AB55" s="41"/>
      <c r="AC55" s="6">
        <f t="shared" si="35"/>
        <v>124313148.40999998</v>
      </c>
      <c r="AE55" s="9">
        <v>41456</v>
      </c>
      <c r="AF55" s="43"/>
      <c r="AG55" s="43"/>
      <c r="AH55" s="41"/>
      <c r="AI55" s="41"/>
      <c r="AJ55" s="41"/>
      <c r="AK55" s="41">
        <v>1347016.1141176345</v>
      </c>
      <c r="AL55" s="41">
        <v>720079.48496621614</v>
      </c>
      <c r="AM55" s="41"/>
      <c r="AN55" s="41"/>
      <c r="AO55" s="41">
        <v>18584.808046940489</v>
      </c>
      <c r="AP55" s="41">
        <v>7159.8900251466894</v>
      </c>
      <c r="AQ55" s="41"/>
      <c r="AR55" s="6">
        <f t="shared" si="36"/>
        <v>2092840.2971559379</v>
      </c>
      <c r="AU55" s="92">
        <f t="shared" si="31"/>
        <v>1496.2689409804327</v>
      </c>
      <c r="AV55" s="92">
        <f t="shared" si="32"/>
        <v>1440.7640908505896</v>
      </c>
      <c r="AW55" s="92" t="e">
        <f t="shared" si="33"/>
        <v>#DIV/0!</v>
      </c>
    </row>
    <row r="56" spans="1:49">
      <c r="A56" s="9">
        <f t="shared" si="30"/>
        <v>41487</v>
      </c>
      <c r="B56" s="43"/>
      <c r="C56" s="43"/>
      <c r="D56" s="41"/>
      <c r="E56" s="41"/>
      <c r="F56" s="41"/>
      <c r="G56" s="41">
        <v>1380.4200000000003</v>
      </c>
      <c r="H56" s="41">
        <v>500.01999999999992</v>
      </c>
      <c r="I56" s="41"/>
      <c r="J56" s="41"/>
      <c r="K56" s="41"/>
      <c r="L56" s="41"/>
      <c r="M56" s="41"/>
      <c r="N56" s="6">
        <f t="shared" si="34"/>
        <v>1880.4400000000003</v>
      </c>
      <c r="P56" s="9">
        <v>41487</v>
      </c>
      <c r="Q56" s="43"/>
      <c r="R56" s="43"/>
      <c r="S56" s="41"/>
      <c r="T56" s="41"/>
      <c r="U56" s="41"/>
      <c r="V56" s="41">
        <v>134021435.79000001</v>
      </c>
      <c r="W56" s="41">
        <v>49478591.280000001</v>
      </c>
      <c r="X56" s="41"/>
      <c r="Y56" s="41"/>
      <c r="Z56" s="41"/>
      <c r="AA56" s="41"/>
      <c r="AB56" s="41"/>
      <c r="AC56" s="6">
        <f t="shared" si="35"/>
        <v>183500027.06999999</v>
      </c>
      <c r="AE56" s="9">
        <v>41487</v>
      </c>
      <c r="AF56" s="43"/>
      <c r="AG56" s="43"/>
      <c r="AH56" s="41"/>
      <c r="AI56" s="41"/>
      <c r="AJ56" s="41"/>
      <c r="AK56" s="41">
        <v>2170496.114453827</v>
      </c>
      <c r="AL56" s="41">
        <v>801148.78146650549</v>
      </c>
      <c r="AM56" s="41"/>
      <c r="AN56" s="41"/>
      <c r="AO56" s="41"/>
      <c r="AP56" s="41"/>
      <c r="AQ56" s="41"/>
      <c r="AR56" s="6">
        <f t="shared" si="36"/>
        <v>2971644.8959203325</v>
      </c>
      <c r="AU56" s="92">
        <f t="shared" si="31"/>
        <v>1572.3447316424179</v>
      </c>
      <c r="AV56" s="92">
        <f t="shared" si="32"/>
        <v>1602.2334735940674</v>
      </c>
      <c r="AW56" s="92" t="e">
        <f t="shared" si="33"/>
        <v>#DIV/0!</v>
      </c>
    </row>
    <row r="57" spans="1:49">
      <c r="A57" s="9">
        <f t="shared" si="30"/>
        <v>41518</v>
      </c>
      <c r="B57" s="43"/>
      <c r="C57" s="43"/>
      <c r="D57" s="41"/>
      <c r="E57" s="41"/>
      <c r="F57" s="41"/>
      <c r="G57" s="41">
        <v>480.02</v>
      </c>
      <c r="H57" s="41">
        <v>500.07000499999992</v>
      </c>
      <c r="I57" s="41">
        <v>196.96</v>
      </c>
      <c r="J57" s="41"/>
      <c r="K57" s="41"/>
      <c r="L57" s="41"/>
      <c r="M57" s="41"/>
      <c r="N57" s="6">
        <f t="shared" si="34"/>
        <v>1177.0500049999998</v>
      </c>
      <c r="P57" s="9">
        <v>41518</v>
      </c>
      <c r="Q57" s="43"/>
      <c r="R57" s="43"/>
      <c r="S57" s="41"/>
      <c r="T57" s="41"/>
      <c r="U57" s="41"/>
      <c r="V57" s="41">
        <v>52649147.810000002</v>
      </c>
      <c r="W57" s="41">
        <v>57270278.170000002</v>
      </c>
      <c r="X57" s="41">
        <v>21779259.030000001</v>
      </c>
      <c r="Y57" s="41"/>
      <c r="Z57" s="41"/>
      <c r="AA57" s="41"/>
      <c r="AB57" s="41"/>
      <c r="AC57" s="6">
        <f t="shared" si="35"/>
        <v>131698685.01000001</v>
      </c>
      <c r="AE57" s="9">
        <v>41518</v>
      </c>
      <c r="AF57" s="43"/>
      <c r="AG57" s="43"/>
      <c r="AH57" s="41"/>
      <c r="AI57" s="41"/>
      <c r="AJ57" s="41"/>
      <c r="AK57" s="41">
        <v>822019.23556777253</v>
      </c>
      <c r="AL57" s="41">
        <v>883981.74915991153</v>
      </c>
      <c r="AM57" s="41">
        <v>337322.17977348884</v>
      </c>
      <c r="AN57" s="41"/>
      <c r="AO57" s="41"/>
      <c r="AP57" s="41"/>
      <c r="AQ57" s="41"/>
      <c r="AR57" s="6">
        <f t="shared" si="36"/>
        <v>2043323.1645011727</v>
      </c>
      <c r="AU57" s="92">
        <f t="shared" si="31"/>
        <v>1712.4687212361414</v>
      </c>
      <c r="AV57" s="92">
        <f t="shared" si="32"/>
        <v>1767.7160004026071</v>
      </c>
      <c r="AW57" s="92">
        <f t="shared" si="33"/>
        <v>1712.6430735859506</v>
      </c>
    </row>
    <row r="58" spans="1:49">
      <c r="A58" s="9">
        <f t="shared" si="30"/>
        <v>41548</v>
      </c>
      <c r="B58" s="43"/>
      <c r="C58" s="43"/>
      <c r="D58" s="41"/>
      <c r="E58" s="41"/>
      <c r="F58" s="41"/>
      <c r="G58" s="41">
        <v>400</v>
      </c>
      <c r="H58" s="41">
        <v>400.07000000000005</v>
      </c>
      <c r="I58" s="41">
        <v>93.89</v>
      </c>
      <c r="J58" s="41"/>
      <c r="K58" s="41"/>
      <c r="L58" s="41"/>
      <c r="M58" s="41"/>
      <c r="N58" s="6">
        <f t="shared" si="34"/>
        <v>893.96</v>
      </c>
      <c r="P58" s="9">
        <v>41548</v>
      </c>
      <c r="Q58" s="43"/>
      <c r="R58" s="43"/>
      <c r="S58" s="41"/>
      <c r="T58" s="41"/>
      <c r="U58" s="41"/>
      <c r="V58" s="41">
        <v>40850754.159999996</v>
      </c>
      <c r="W58" s="41">
        <v>40453549.450000003</v>
      </c>
      <c r="X58" s="41">
        <v>9493797.9800000004</v>
      </c>
      <c r="Y58" s="41"/>
      <c r="Z58" s="41"/>
      <c r="AA58" s="41"/>
      <c r="AB58" s="41"/>
      <c r="AC58" s="6">
        <f t="shared" si="35"/>
        <v>90798101.590000004</v>
      </c>
      <c r="AE58" s="9">
        <v>41548</v>
      </c>
      <c r="AF58" s="43"/>
      <c r="AG58" s="43"/>
      <c r="AH58" s="41"/>
      <c r="AI58" s="41"/>
      <c r="AJ58" s="41"/>
      <c r="AK58" s="41">
        <v>653089.59488409269</v>
      </c>
      <c r="AL58" s="41">
        <v>646739.3996802558</v>
      </c>
      <c r="AM58" s="41">
        <v>151779.34420463629</v>
      </c>
      <c r="AN58" s="41"/>
      <c r="AO58" s="41"/>
      <c r="AP58" s="41"/>
      <c r="AQ58" s="41"/>
      <c r="AR58" s="6">
        <f t="shared" si="36"/>
        <v>1451608.3387689847</v>
      </c>
      <c r="AU58" s="92">
        <f t="shared" si="31"/>
        <v>1632.7239872102318</v>
      </c>
      <c r="AV58" s="92">
        <f t="shared" si="32"/>
        <v>1616.5656002206006</v>
      </c>
      <c r="AW58" s="92">
        <f t="shared" si="33"/>
        <v>1616.5656002197923</v>
      </c>
    </row>
    <row r="59" spans="1:49">
      <c r="A59" s="9">
        <f t="shared" si="30"/>
        <v>41579</v>
      </c>
      <c r="B59" s="43"/>
      <c r="C59" s="43"/>
      <c r="D59" s="41"/>
      <c r="E59" s="41"/>
      <c r="F59" s="41"/>
      <c r="G59" s="41">
        <v>1019.8</v>
      </c>
      <c r="H59" s="41">
        <v>40</v>
      </c>
      <c r="I59" s="41">
        <v>556.91999999999996</v>
      </c>
      <c r="J59" s="41"/>
      <c r="K59" s="41"/>
      <c r="L59" s="41"/>
      <c r="M59" s="41"/>
      <c r="N59" s="6">
        <f t="shared" si="34"/>
        <v>1616.7199999999998</v>
      </c>
      <c r="P59" s="9">
        <v>41579</v>
      </c>
      <c r="Q59" s="43"/>
      <c r="R59" s="43"/>
      <c r="S59" s="41"/>
      <c r="T59" s="41"/>
      <c r="U59" s="41"/>
      <c r="V59" s="41">
        <v>102703089.11999999</v>
      </c>
      <c r="W59" s="41">
        <v>4034584.01</v>
      </c>
      <c r="X59" s="41">
        <v>56771250.949999996</v>
      </c>
      <c r="Y59" s="41"/>
      <c r="Z59" s="41"/>
      <c r="AA59" s="41"/>
      <c r="AB59" s="41"/>
      <c r="AC59" s="6">
        <f t="shared" si="35"/>
        <v>163508924.07999998</v>
      </c>
      <c r="AE59" s="9">
        <v>41579</v>
      </c>
      <c r="AF59" s="43"/>
      <c r="AG59" s="43"/>
      <c r="AH59" s="41"/>
      <c r="AI59" s="41"/>
      <c r="AJ59" s="41"/>
      <c r="AK59" s="41">
        <v>1625578.402921214</v>
      </c>
      <c r="AL59" s="41">
        <v>63939.524722662434</v>
      </c>
      <c r="AM59" s="41">
        <v>897155.26199267432</v>
      </c>
      <c r="AN59" s="41"/>
      <c r="AO59" s="41"/>
      <c r="AP59" s="41"/>
      <c r="AQ59" s="41"/>
      <c r="AR59" s="6">
        <f t="shared" si="36"/>
        <v>2586673.1896365508</v>
      </c>
      <c r="AU59" s="92">
        <f t="shared" si="31"/>
        <v>1594.0168689166642</v>
      </c>
      <c r="AV59" s="92">
        <f t="shared" si="32"/>
        <v>1598.4881180665609</v>
      </c>
      <c r="AW59" s="92">
        <f t="shared" si="33"/>
        <v>1610.9230445893027</v>
      </c>
    </row>
    <row r="60" spans="1:49">
      <c r="A60" s="9">
        <f t="shared" si="30"/>
        <v>41609</v>
      </c>
      <c r="B60" s="43"/>
      <c r="C60" s="43"/>
      <c r="D60" s="41"/>
      <c r="E60" s="41"/>
      <c r="F60" s="41"/>
      <c r="G60" s="41">
        <v>719.23</v>
      </c>
      <c r="H60" s="41">
        <v>499.82</v>
      </c>
      <c r="I60" s="41">
        <v>76.31</v>
      </c>
      <c r="J60" s="41"/>
      <c r="K60" s="41"/>
      <c r="L60" s="41">
        <v>6</v>
      </c>
      <c r="M60" s="41"/>
      <c r="N60" s="6">
        <f t="shared" si="34"/>
        <v>1301.3599999999999</v>
      </c>
      <c r="P60" s="9">
        <v>41609</v>
      </c>
      <c r="Q60" s="43"/>
      <c r="R60" s="43"/>
      <c r="S60" s="41"/>
      <c r="T60" s="41"/>
      <c r="U60" s="41"/>
      <c r="V60" s="41">
        <v>76216583.479999989</v>
      </c>
      <c r="W60" s="41">
        <v>53680356.649999999</v>
      </c>
      <c r="X60" s="41">
        <v>7832934.54</v>
      </c>
      <c r="Y60" s="41"/>
      <c r="Z60" s="41"/>
      <c r="AA60" s="41">
        <v>596662.55000000005</v>
      </c>
      <c r="AB60" s="41"/>
      <c r="AC60" s="6">
        <f t="shared" si="35"/>
        <v>138326537.22</v>
      </c>
      <c r="AE60" s="9">
        <v>41609</v>
      </c>
      <c r="AF60" s="43"/>
      <c r="AG60" s="43"/>
      <c r="AH60" s="41"/>
      <c r="AI60" s="41"/>
      <c r="AJ60" s="41"/>
      <c r="AK60" s="41">
        <v>1221948.6804709374</v>
      </c>
      <c r="AL60" s="41">
        <v>853423.79411764699</v>
      </c>
      <c r="AM60" s="41">
        <v>124825.02224479224</v>
      </c>
      <c r="AN60" s="41"/>
      <c r="AO60" s="41"/>
      <c r="AP60" s="41">
        <v>9577.2479935794563</v>
      </c>
      <c r="AQ60" s="41"/>
      <c r="AR60" s="6">
        <f t="shared" si="36"/>
        <v>2209774.7448269562</v>
      </c>
      <c r="AU60" s="92">
        <f t="shared" si="31"/>
        <v>1698.9678968771289</v>
      </c>
      <c r="AV60" s="92">
        <f t="shared" si="32"/>
        <v>1707.4622746541695</v>
      </c>
      <c r="AW60" s="92">
        <f t="shared" si="33"/>
        <v>1635.7623148315063</v>
      </c>
    </row>
    <row r="61" spans="1:49">
      <c r="A61" s="9">
        <f t="shared" si="30"/>
        <v>41640</v>
      </c>
      <c r="B61" s="43"/>
      <c r="C61" s="43"/>
      <c r="D61" s="41"/>
      <c r="E61" s="41"/>
      <c r="F61" s="41"/>
      <c r="G61" s="41">
        <v>739.42000000000007</v>
      </c>
      <c r="H61" s="41">
        <v>399.84000000000003</v>
      </c>
      <c r="I61" s="41">
        <v>95.81</v>
      </c>
      <c r="J61" s="41"/>
      <c r="K61" s="41"/>
      <c r="L61" s="41"/>
      <c r="M61" s="41"/>
      <c r="N61" s="6">
        <f t="shared" si="34"/>
        <v>1235.0700000000002</v>
      </c>
      <c r="P61" s="9">
        <v>41640</v>
      </c>
      <c r="Q61" s="43"/>
      <c r="R61" s="43"/>
      <c r="S61" s="41"/>
      <c r="T61" s="41"/>
      <c r="U61" s="41"/>
      <c r="V61" s="41">
        <v>73349148.370000005</v>
      </c>
      <c r="W61" s="41">
        <v>39646127.640000001</v>
      </c>
      <c r="X61" s="41">
        <v>9737830.5300000012</v>
      </c>
      <c r="Y61" s="41"/>
      <c r="Z61" s="41"/>
      <c r="AA61" s="41"/>
      <c r="AB61" s="41"/>
      <c r="AC61" s="6">
        <f t="shared" si="35"/>
        <v>122733106.54000001</v>
      </c>
      <c r="AE61" s="9">
        <v>41640</v>
      </c>
      <c r="AF61" s="43"/>
      <c r="AG61" s="43"/>
      <c r="AH61" s="41"/>
      <c r="AI61" s="41"/>
      <c r="AJ61" s="41"/>
      <c r="AK61" s="41">
        <v>1177559.6030030916</v>
      </c>
      <c r="AL61" s="41">
        <v>636630.79494929314</v>
      </c>
      <c r="AM61" s="41">
        <v>156481.92875144718</v>
      </c>
      <c r="AN61" s="41"/>
      <c r="AO61" s="41"/>
      <c r="AP61" s="41"/>
      <c r="AQ61" s="41"/>
      <c r="AR61" s="6">
        <f t="shared" si="36"/>
        <v>1970672.326703832</v>
      </c>
      <c r="AU61" s="92">
        <f t="shared" si="31"/>
        <v>1592.5449717387837</v>
      </c>
      <c r="AV61" s="92">
        <f t="shared" si="32"/>
        <v>1592.2138729224016</v>
      </c>
      <c r="AW61" s="92">
        <f t="shared" si="33"/>
        <v>1633.2525702061077</v>
      </c>
    </row>
    <row r="62" spans="1:49">
      <c r="A62" s="9">
        <f t="shared" si="30"/>
        <v>41671</v>
      </c>
      <c r="B62" s="43"/>
      <c r="C62" s="43"/>
      <c r="D62" s="41"/>
      <c r="E62" s="41"/>
      <c r="F62" s="41"/>
      <c r="G62" s="41">
        <v>539.77</v>
      </c>
      <c r="H62" s="41">
        <v>400.13</v>
      </c>
      <c r="I62" s="41">
        <v>77.06</v>
      </c>
      <c r="J62" s="41"/>
      <c r="K62" s="41"/>
      <c r="L62" s="41">
        <v>16</v>
      </c>
      <c r="M62" s="41"/>
      <c r="N62" s="6">
        <f t="shared" si="34"/>
        <v>1032.96</v>
      </c>
      <c r="P62" s="9">
        <v>41671</v>
      </c>
      <c r="Q62" s="43"/>
      <c r="R62" s="43"/>
      <c r="S62" s="41"/>
      <c r="T62" s="41"/>
      <c r="U62" s="41"/>
      <c r="V62" s="41">
        <v>57596391.669999994</v>
      </c>
      <c r="W62" s="41">
        <v>50190028.899999999</v>
      </c>
      <c r="X62" s="41">
        <v>7905556.6799999997</v>
      </c>
      <c r="Y62" s="41"/>
      <c r="Z62" s="41"/>
      <c r="AA62" s="41">
        <v>1712068.78</v>
      </c>
      <c r="AB62" s="41"/>
      <c r="AC62" s="6">
        <f t="shared" si="35"/>
        <v>117404046.03</v>
      </c>
      <c r="AE62" s="9">
        <v>41671</v>
      </c>
      <c r="AF62" s="43"/>
      <c r="AG62" s="43"/>
      <c r="AH62" s="41"/>
      <c r="AI62" s="41"/>
      <c r="AJ62" s="41"/>
      <c r="AK62" s="41">
        <v>914954.59364575043</v>
      </c>
      <c r="AL62" s="41">
        <v>797299.9030976966</v>
      </c>
      <c r="AM62" s="41">
        <v>125584.69706115965</v>
      </c>
      <c r="AN62" s="41"/>
      <c r="AO62" s="41"/>
      <c r="AP62" s="41">
        <v>27197.280063542494</v>
      </c>
      <c r="AQ62" s="41"/>
      <c r="AR62" s="6">
        <f t="shared" si="36"/>
        <v>1865036.4738681493</v>
      </c>
      <c r="AU62" s="92">
        <f t="shared" si="31"/>
        <v>1695.0823381176251</v>
      </c>
      <c r="AV62" s="92">
        <f t="shared" si="32"/>
        <v>1992.6021620415779</v>
      </c>
      <c r="AW62" s="92">
        <f t="shared" si="33"/>
        <v>1629.7001954471793</v>
      </c>
    </row>
    <row r="63" spans="1:49">
      <c r="A63" s="9">
        <f t="shared" si="30"/>
        <v>41699</v>
      </c>
      <c r="B63" s="43"/>
      <c r="C63" s="43"/>
      <c r="D63" s="41">
        <v>19.5</v>
      </c>
      <c r="E63" s="41"/>
      <c r="F63" s="41"/>
      <c r="G63" s="41">
        <v>339.82</v>
      </c>
      <c r="H63" s="41">
        <v>601.1099999999999</v>
      </c>
      <c r="I63" s="41">
        <v>97.550000000000011</v>
      </c>
      <c r="J63" s="41"/>
      <c r="K63" s="41"/>
      <c r="L63" s="41"/>
      <c r="M63" s="41"/>
      <c r="N63" s="6">
        <f t="shared" si="34"/>
        <v>1057.9799999999998</v>
      </c>
      <c r="P63" s="9">
        <v>41699</v>
      </c>
      <c r="Q63" s="43"/>
      <c r="R63" s="43"/>
      <c r="S63" s="41">
        <v>3456295.25</v>
      </c>
      <c r="T63" s="41"/>
      <c r="U63" s="41"/>
      <c r="V63" s="41">
        <v>39084751.670000002</v>
      </c>
      <c r="W63" s="41">
        <v>63825901.790000007</v>
      </c>
      <c r="X63" s="41">
        <v>10007618.140000001</v>
      </c>
      <c r="Y63" s="41"/>
      <c r="Z63" s="41"/>
      <c r="AA63" s="41"/>
      <c r="AB63" s="41"/>
      <c r="AC63" s="6">
        <f t="shared" si="35"/>
        <v>116374566.85000001</v>
      </c>
      <c r="AE63" s="9">
        <v>41699</v>
      </c>
      <c r="AF63" s="43"/>
      <c r="AG63" s="43"/>
      <c r="AH63" s="41">
        <v>55746.697580645159</v>
      </c>
      <c r="AI63" s="41"/>
      <c r="AJ63" s="41"/>
      <c r="AK63" s="41">
        <v>631146.13296134258</v>
      </c>
      <c r="AL63" s="41">
        <v>1024566.0618737349</v>
      </c>
      <c r="AM63" s="41">
        <v>160925.50802326476</v>
      </c>
      <c r="AN63" s="41"/>
      <c r="AO63" s="41"/>
      <c r="AP63" s="41"/>
      <c r="AQ63" s="41"/>
      <c r="AR63" s="6">
        <f t="shared" si="36"/>
        <v>1872384.4004389876</v>
      </c>
      <c r="AU63" s="92">
        <f t="shared" si="31"/>
        <v>1857.2954298197358</v>
      </c>
      <c r="AV63" s="92">
        <f t="shared" si="32"/>
        <v>1704.4568579357108</v>
      </c>
      <c r="AW63" s="92">
        <f t="shared" si="33"/>
        <v>1649.6720453435648</v>
      </c>
    </row>
    <row r="64" spans="1:49">
      <c r="A64" s="28" t="s">
        <v>4</v>
      </c>
      <c r="B64" s="91">
        <f>SUM(B52:B63)</f>
        <v>0</v>
      </c>
      <c r="C64" s="91">
        <f t="shared" ref="C64:M64" si="37">SUM(C52:C63)</f>
        <v>0</v>
      </c>
      <c r="D64" s="91">
        <f t="shared" si="37"/>
        <v>19.5</v>
      </c>
      <c r="E64" s="91">
        <f t="shared" si="37"/>
        <v>0</v>
      </c>
      <c r="F64" s="91">
        <f t="shared" si="37"/>
        <v>0</v>
      </c>
      <c r="G64" s="91">
        <f t="shared" si="37"/>
        <v>7738.2000000000007</v>
      </c>
      <c r="H64" s="91">
        <f t="shared" si="37"/>
        <v>4540.380005</v>
      </c>
      <c r="I64" s="91">
        <f t="shared" si="37"/>
        <v>1443.9199999999998</v>
      </c>
      <c r="J64" s="91">
        <f t="shared" si="37"/>
        <v>0</v>
      </c>
      <c r="K64" s="91">
        <f t="shared" si="37"/>
        <v>11</v>
      </c>
      <c r="L64" s="91">
        <f t="shared" si="37"/>
        <v>43</v>
      </c>
      <c r="M64" s="91">
        <f t="shared" si="37"/>
        <v>0</v>
      </c>
      <c r="N64" s="127">
        <f t="shared" si="34"/>
        <v>13796.000005</v>
      </c>
      <c r="P64" s="128" t="s">
        <v>4</v>
      </c>
      <c r="Q64" s="91">
        <f>SUM(Q52:Q63)</f>
        <v>0</v>
      </c>
      <c r="R64" s="91">
        <f t="shared" ref="R64:AB64" si="38">SUM(R52:R63)</f>
        <v>0</v>
      </c>
      <c r="S64" s="91">
        <f t="shared" si="38"/>
        <v>3456295.25</v>
      </c>
      <c r="T64" s="91">
        <f t="shared" si="38"/>
        <v>0</v>
      </c>
      <c r="U64" s="91">
        <f t="shared" si="38"/>
        <v>0</v>
      </c>
      <c r="V64" s="91">
        <f t="shared" si="38"/>
        <v>754614145.71999991</v>
      </c>
      <c r="W64" s="91">
        <f t="shared" si="38"/>
        <v>459206556.06999993</v>
      </c>
      <c r="X64" s="91">
        <f t="shared" si="38"/>
        <v>143806513.5</v>
      </c>
      <c r="Y64" s="91">
        <f t="shared" si="38"/>
        <v>0</v>
      </c>
      <c r="Z64" s="91">
        <f t="shared" si="38"/>
        <v>1108583.8</v>
      </c>
      <c r="AA64" s="91">
        <f t="shared" si="38"/>
        <v>4027123.29</v>
      </c>
      <c r="AB64" s="91">
        <f t="shared" si="38"/>
        <v>0</v>
      </c>
      <c r="AC64" s="127">
        <f t="shared" si="35"/>
        <v>1366219217.6299999</v>
      </c>
      <c r="AE64" s="128" t="s">
        <v>4</v>
      </c>
      <c r="AF64" s="91">
        <f>SUM(AF52:AF63)</f>
        <v>0</v>
      </c>
      <c r="AG64" s="91">
        <f t="shared" ref="AG64:AQ64" si="39">SUM(AG52:AG63)</f>
        <v>0</v>
      </c>
      <c r="AH64" s="91">
        <f t="shared" si="39"/>
        <v>55746.697580645159</v>
      </c>
      <c r="AI64" s="91">
        <f t="shared" si="39"/>
        <v>0</v>
      </c>
      <c r="AJ64" s="91">
        <f t="shared" si="39"/>
        <v>0</v>
      </c>
      <c r="AK64" s="91">
        <f t="shared" si="39"/>
        <v>12322517.673611129</v>
      </c>
      <c r="AL64" s="91">
        <f t="shared" si="39"/>
        <v>7450305.3136354582</v>
      </c>
      <c r="AM64" s="91">
        <f t="shared" si="39"/>
        <v>2323359.8078579898</v>
      </c>
      <c r="AN64" s="91">
        <f t="shared" si="39"/>
        <v>0</v>
      </c>
      <c r="AO64" s="91">
        <f t="shared" si="39"/>
        <v>18584.808046940489</v>
      </c>
      <c r="AP64" s="91">
        <f t="shared" si="39"/>
        <v>67455.447590465366</v>
      </c>
      <c r="AQ64" s="91">
        <f t="shared" si="39"/>
        <v>0</v>
      </c>
      <c r="AR64" s="127">
        <f t="shared" si="36"/>
        <v>22237969.748322628</v>
      </c>
    </row>
    <row r="65" spans="1:49">
      <c r="A65" s="29"/>
      <c r="B65" s="29"/>
      <c r="C65" s="29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P65" s="29"/>
      <c r="Q65" s="29"/>
      <c r="R65" s="29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E65" s="29"/>
      <c r="AF65" s="29"/>
      <c r="AG65" s="29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</row>
    <row r="66" spans="1:49">
      <c r="P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</row>
    <row r="67" spans="1:49" s="40" customFormat="1">
      <c r="A67" s="25" t="s">
        <v>108</v>
      </c>
      <c r="B67" s="16" t="s">
        <v>133</v>
      </c>
      <c r="C67" s="16" t="s">
        <v>19</v>
      </c>
      <c r="D67" s="159" t="s">
        <v>17</v>
      </c>
      <c r="E67" s="159" t="s">
        <v>134</v>
      </c>
      <c r="F67" s="156" t="s">
        <v>10</v>
      </c>
      <c r="G67" s="156" t="s">
        <v>11</v>
      </c>
      <c r="H67" s="156" t="s">
        <v>12</v>
      </c>
      <c r="I67" s="156" t="s">
        <v>13</v>
      </c>
      <c r="J67" s="156" t="s">
        <v>14</v>
      </c>
      <c r="K67" s="156" t="s">
        <v>18</v>
      </c>
      <c r="L67" s="156" t="s">
        <v>15</v>
      </c>
      <c r="M67" s="156" t="s">
        <v>16</v>
      </c>
      <c r="N67" s="27" t="s">
        <v>20</v>
      </c>
      <c r="P67" s="25" t="s">
        <v>108</v>
      </c>
      <c r="Q67" s="156" t="s">
        <v>133</v>
      </c>
      <c r="R67" s="156" t="s">
        <v>19</v>
      </c>
      <c r="S67" s="156" t="s">
        <v>17</v>
      </c>
      <c r="T67" s="156" t="s">
        <v>134</v>
      </c>
      <c r="U67" s="156" t="s">
        <v>10</v>
      </c>
      <c r="V67" s="156" t="s">
        <v>11</v>
      </c>
      <c r="W67" s="156" t="s">
        <v>12</v>
      </c>
      <c r="X67" s="156" t="s">
        <v>13</v>
      </c>
      <c r="Y67" s="156" t="s">
        <v>14</v>
      </c>
      <c r="Z67" s="156" t="s">
        <v>18</v>
      </c>
      <c r="AA67" s="156" t="s">
        <v>15</v>
      </c>
      <c r="AB67" s="156" t="s">
        <v>16</v>
      </c>
      <c r="AC67" s="27" t="s">
        <v>20</v>
      </c>
      <c r="AE67" s="25" t="s">
        <v>108</v>
      </c>
      <c r="AF67" s="156" t="s">
        <v>133</v>
      </c>
      <c r="AG67" s="156" t="s">
        <v>19</v>
      </c>
      <c r="AH67" s="156" t="s">
        <v>17</v>
      </c>
      <c r="AI67" s="156" t="s">
        <v>134</v>
      </c>
      <c r="AJ67" s="156" t="s">
        <v>10</v>
      </c>
      <c r="AK67" s="156" t="s">
        <v>11</v>
      </c>
      <c r="AL67" s="156" t="s">
        <v>12</v>
      </c>
      <c r="AM67" s="156" t="s">
        <v>13</v>
      </c>
      <c r="AN67" s="156" t="s">
        <v>14</v>
      </c>
      <c r="AO67" s="156" t="s">
        <v>18</v>
      </c>
      <c r="AP67" s="156" t="s">
        <v>15</v>
      </c>
      <c r="AQ67" s="156" t="s">
        <v>16</v>
      </c>
      <c r="AR67" s="27" t="s">
        <v>20</v>
      </c>
    </row>
    <row r="68" spans="1:49" s="40" customFormat="1">
      <c r="A68" s="9">
        <f>A4</f>
        <v>41365</v>
      </c>
      <c r="B68" s="43"/>
      <c r="C68" s="43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6">
        <f>SUM(B68:M68)</f>
        <v>0</v>
      </c>
      <c r="P68" s="9">
        <v>41365</v>
      </c>
      <c r="Q68" s="43"/>
      <c r="R68" s="43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6">
        <f>SUM(Q68:AB68)</f>
        <v>0</v>
      </c>
      <c r="AE68" s="9">
        <v>41365</v>
      </c>
      <c r="AF68" s="43"/>
      <c r="AG68" s="43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6">
        <f>SUM(AF68:AQ68)</f>
        <v>0</v>
      </c>
      <c r="AU68" s="92" t="e">
        <f t="shared" ref="AU68:AU79" si="40">+AK68/G68</f>
        <v>#DIV/0!</v>
      </c>
      <c r="AV68" s="92" t="e">
        <f t="shared" ref="AV68:AV79" si="41">+AL68/H68</f>
        <v>#DIV/0!</v>
      </c>
      <c r="AW68" s="92" t="e">
        <f t="shared" ref="AW68:AW79" si="42">+AM68/I68</f>
        <v>#DIV/0!</v>
      </c>
    </row>
    <row r="69" spans="1:49" s="40" customFormat="1">
      <c r="A69" s="9">
        <f t="shared" ref="A69:A79" si="43">A5</f>
        <v>41395</v>
      </c>
      <c r="B69" s="43"/>
      <c r="C69" s="43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6">
        <f t="shared" ref="N69:N80" si="44">SUM(B69:M69)</f>
        <v>0</v>
      </c>
      <c r="P69" s="9">
        <v>41395</v>
      </c>
      <c r="Q69" s="43"/>
      <c r="R69" s="43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6">
        <f t="shared" ref="AC69:AC80" si="45">SUM(Q69:AB69)</f>
        <v>0</v>
      </c>
      <c r="AE69" s="9">
        <v>41395</v>
      </c>
      <c r="AF69" s="43"/>
      <c r="AG69" s="43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6">
        <f t="shared" ref="AR69:AR80" si="46">SUM(AF69:AQ69)</f>
        <v>0</v>
      </c>
      <c r="AU69" s="92" t="e">
        <f t="shared" si="40"/>
        <v>#DIV/0!</v>
      </c>
      <c r="AV69" s="92" t="e">
        <f t="shared" si="41"/>
        <v>#DIV/0!</v>
      </c>
      <c r="AW69" s="92" t="e">
        <f t="shared" si="42"/>
        <v>#DIV/0!</v>
      </c>
    </row>
    <row r="70" spans="1:49" s="40" customFormat="1">
      <c r="A70" s="9">
        <f t="shared" si="43"/>
        <v>41426</v>
      </c>
      <c r="B70" s="43"/>
      <c r="C70" s="43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6">
        <f t="shared" si="44"/>
        <v>0</v>
      </c>
      <c r="P70" s="9">
        <v>41426</v>
      </c>
      <c r="Q70" s="43"/>
      <c r="R70" s="43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6">
        <f t="shared" si="45"/>
        <v>0</v>
      </c>
      <c r="AE70" s="9">
        <v>41426</v>
      </c>
      <c r="AF70" s="43"/>
      <c r="AG70" s="43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6">
        <f t="shared" si="46"/>
        <v>0</v>
      </c>
      <c r="AU70" s="92" t="e">
        <f t="shared" si="40"/>
        <v>#DIV/0!</v>
      </c>
      <c r="AV70" s="92" t="e">
        <f t="shared" si="41"/>
        <v>#DIV/0!</v>
      </c>
      <c r="AW70" s="92" t="e">
        <f t="shared" si="42"/>
        <v>#DIV/0!</v>
      </c>
    </row>
    <row r="71" spans="1:49" s="40" customFormat="1">
      <c r="A71" s="9">
        <f t="shared" si="43"/>
        <v>41456</v>
      </c>
      <c r="B71" s="43"/>
      <c r="C71" s="43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6">
        <f t="shared" si="44"/>
        <v>0</v>
      </c>
      <c r="P71" s="9">
        <v>41456</v>
      </c>
      <c r="Q71" s="43"/>
      <c r="R71" s="43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6">
        <f t="shared" si="45"/>
        <v>0</v>
      </c>
      <c r="AE71" s="9">
        <v>41456</v>
      </c>
      <c r="AF71" s="43"/>
      <c r="AG71" s="43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6">
        <f t="shared" si="46"/>
        <v>0</v>
      </c>
      <c r="AU71" s="92" t="e">
        <f t="shared" si="40"/>
        <v>#DIV/0!</v>
      </c>
      <c r="AV71" s="92" t="e">
        <f t="shared" si="41"/>
        <v>#DIV/0!</v>
      </c>
      <c r="AW71" s="92" t="e">
        <f t="shared" si="42"/>
        <v>#DIV/0!</v>
      </c>
    </row>
    <row r="72" spans="1:49" s="40" customFormat="1">
      <c r="A72" s="9">
        <f t="shared" si="43"/>
        <v>41487</v>
      </c>
      <c r="B72" s="43"/>
      <c r="C72" s="43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6">
        <f t="shared" si="44"/>
        <v>0</v>
      </c>
      <c r="P72" s="9">
        <v>41487</v>
      </c>
      <c r="Q72" s="43"/>
      <c r="R72" s="43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6">
        <f t="shared" si="45"/>
        <v>0</v>
      </c>
      <c r="AE72" s="9">
        <v>41487</v>
      </c>
      <c r="AF72" s="43"/>
      <c r="AG72" s="43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6">
        <f t="shared" si="46"/>
        <v>0</v>
      </c>
      <c r="AU72" s="92" t="e">
        <f t="shared" si="40"/>
        <v>#DIV/0!</v>
      </c>
      <c r="AV72" s="92" t="e">
        <f t="shared" si="41"/>
        <v>#DIV/0!</v>
      </c>
      <c r="AW72" s="92" t="e">
        <f t="shared" si="42"/>
        <v>#DIV/0!</v>
      </c>
    </row>
    <row r="73" spans="1:49" s="40" customFormat="1">
      <c r="A73" s="9">
        <f t="shared" si="43"/>
        <v>41518</v>
      </c>
      <c r="B73" s="43"/>
      <c r="C73" s="43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6">
        <f t="shared" si="44"/>
        <v>0</v>
      </c>
      <c r="P73" s="9">
        <v>41518</v>
      </c>
      <c r="Q73" s="43"/>
      <c r="R73" s="43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6">
        <f t="shared" si="45"/>
        <v>0</v>
      </c>
      <c r="AE73" s="9">
        <v>41518</v>
      </c>
      <c r="AF73" s="43"/>
      <c r="AG73" s="43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6">
        <f t="shared" si="46"/>
        <v>0</v>
      </c>
      <c r="AU73" s="92" t="e">
        <f t="shared" si="40"/>
        <v>#DIV/0!</v>
      </c>
      <c r="AV73" s="92" t="e">
        <f t="shared" si="41"/>
        <v>#DIV/0!</v>
      </c>
      <c r="AW73" s="92" t="e">
        <f t="shared" si="42"/>
        <v>#DIV/0!</v>
      </c>
    </row>
    <row r="74" spans="1:49" s="40" customFormat="1">
      <c r="A74" s="9">
        <f t="shared" si="43"/>
        <v>41548</v>
      </c>
      <c r="B74" s="43"/>
      <c r="C74" s="43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6">
        <f t="shared" si="44"/>
        <v>0</v>
      </c>
      <c r="P74" s="9">
        <v>41548</v>
      </c>
      <c r="Q74" s="43"/>
      <c r="R74" s="43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6">
        <f t="shared" si="45"/>
        <v>0</v>
      </c>
      <c r="AE74" s="9">
        <v>41548</v>
      </c>
      <c r="AF74" s="43"/>
      <c r="AG74" s="43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6">
        <f t="shared" si="46"/>
        <v>0</v>
      </c>
      <c r="AU74" s="92" t="e">
        <f t="shared" si="40"/>
        <v>#DIV/0!</v>
      </c>
      <c r="AV74" s="92" t="e">
        <f t="shared" si="41"/>
        <v>#DIV/0!</v>
      </c>
      <c r="AW74" s="92" t="e">
        <f t="shared" si="42"/>
        <v>#DIV/0!</v>
      </c>
    </row>
    <row r="75" spans="1:49" s="40" customFormat="1">
      <c r="A75" s="9">
        <f t="shared" si="43"/>
        <v>41579</v>
      </c>
      <c r="B75" s="43"/>
      <c r="C75" s="43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6">
        <f t="shared" si="44"/>
        <v>0</v>
      </c>
      <c r="P75" s="9">
        <v>41579</v>
      </c>
      <c r="Q75" s="43"/>
      <c r="R75" s="43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6">
        <f t="shared" si="45"/>
        <v>0</v>
      </c>
      <c r="AE75" s="9">
        <v>41579</v>
      </c>
      <c r="AF75" s="43"/>
      <c r="AG75" s="43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6">
        <f t="shared" si="46"/>
        <v>0</v>
      </c>
      <c r="AU75" s="92" t="e">
        <f t="shared" si="40"/>
        <v>#DIV/0!</v>
      </c>
      <c r="AV75" s="92" t="e">
        <f t="shared" si="41"/>
        <v>#DIV/0!</v>
      </c>
      <c r="AW75" s="92" t="e">
        <f t="shared" si="42"/>
        <v>#DIV/0!</v>
      </c>
    </row>
    <row r="76" spans="1:49" s="40" customFormat="1">
      <c r="A76" s="9">
        <f t="shared" si="43"/>
        <v>41609</v>
      </c>
      <c r="B76" s="43"/>
      <c r="C76" s="43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6">
        <f t="shared" si="44"/>
        <v>0</v>
      </c>
      <c r="P76" s="9">
        <v>41609</v>
      </c>
      <c r="Q76" s="43"/>
      <c r="R76" s="43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6">
        <f t="shared" si="45"/>
        <v>0</v>
      </c>
      <c r="AE76" s="9">
        <v>41609</v>
      </c>
      <c r="AF76" s="43"/>
      <c r="AG76" s="43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6">
        <f t="shared" si="46"/>
        <v>0</v>
      </c>
      <c r="AU76" s="92" t="e">
        <f t="shared" si="40"/>
        <v>#DIV/0!</v>
      </c>
      <c r="AV76" s="92" t="e">
        <f t="shared" si="41"/>
        <v>#DIV/0!</v>
      </c>
      <c r="AW76" s="92" t="e">
        <f t="shared" si="42"/>
        <v>#DIV/0!</v>
      </c>
    </row>
    <row r="77" spans="1:49" s="40" customFormat="1">
      <c r="A77" s="9">
        <f t="shared" si="43"/>
        <v>41640</v>
      </c>
      <c r="B77" s="43"/>
      <c r="C77" s="43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6">
        <f t="shared" si="44"/>
        <v>0</v>
      </c>
      <c r="P77" s="9">
        <v>41640</v>
      </c>
      <c r="Q77" s="43"/>
      <c r="R77" s="43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6">
        <f t="shared" si="45"/>
        <v>0</v>
      </c>
      <c r="AE77" s="9">
        <v>41640</v>
      </c>
      <c r="AF77" s="43"/>
      <c r="AG77" s="43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6">
        <f t="shared" si="46"/>
        <v>0</v>
      </c>
      <c r="AU77" s="92" t="e">
        <f t="shared" si="40"/>
        <v>#DIV/0!</v>
      </c>
      <c r="AV77" s="92" t="e">
        <f t="shared" si="41"/>
        <v>#DIV/0!</v>
      </c>
      <c r="AW77" s="92" t="e">
        <f t="shared" si="42"/>
        <v>#DIV/0!</v>
      </c>
    </row>
    <row r="78" spans="1:49" s="40" customFormat="1">
      <c r="A78" s="9">
        <f t="shared" si="43"/>
        <v>41671</v>
      </c>
      <c r="B78" s="43"/>
      <c r="C78" s="43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6">
        <f t="shared" si="44"/>
        <v>0</v>
      </c>
      <c r="P78" s="9">
        <v>41671</v>
      </c>
      <c r="Q78" s="43"/>
      <c r="R78" s="43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6">
        <f t="shared" si="45"/>
        <v>0</v>
      </c>
      <c r="AE78" s="9">
        <v>41671</v>
      </c>
      <c r="AF78" s="43"/>
      <c r="AG78" s="43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6">
        <f t="shared" si="46"/>
        <v>0</v>
      </c>
      <c r="AU78" s="92" t="e">
        <f t="shared" si="40"/>
        <v>#DIV/0!</v>
      </c>
      <c r="AV78" s="92" t="e">
        <f t="shared" si="41"/>
        <v>#DIV/0!</v>
      </c>
      <c r="AW78" s="92" t="e">
        <f t="shared" si="42"/>
        <v>#DIV/0!</v>
      </c>
    </row>
    <row r="79" spans="1:49" s="40" customFormat="1">
      <c r="A79" s="9">
        <f t="shared" si="43"/>
        <v>41699</v>
      </c>
      <c r="B79" s="43"/>
      <c r="C79" s="43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6">
        <f t="shared" si="44"/>
        <v>0</v>
      </c>
      <c r="P79" s="9">
        <v>41699</v>
      </c>
      <c r="Q79" s="43"/>
      <c r="R79" s="43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6">
        <f t="shared" si="45"/>
        <v>0</v>
      </c>
      <c r="AE79" s="9">
        <v>41699</v>
      </c>
      <c r="AF79" s="43"/>
      <c r="AG79" s="43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6">
        <f t="shared" si="46"/>
        <v>0</v>
      </c>
      <c r="AU79" s="92" t="e">
        <f t="shared" si="40"/>
        <v>#DIV/0!</v>
      </c>
      <c r="AV79" s="92" t="e">
        <f t="shared" si="41"/>
        <v>#DIV/0!</v>
      </c>
      <c r="AW79" s="92" t="e">
        <f t="shared" si="42"/>
        <v>#DIV/0!</v>
      </c>
    </row>
    <row r="80" spans="1:49" s="40" customFormat="1">
      <c r="A80" s="28" t="s">
        <v>4</v>
      </c>
      <c r="B80" s="91">
        <f>SUM(B68:B79)</f>
        <v>0</v>
      </c>
      <c r="C80" s="91">
        <f t="shared" ref="C80:M80" si="47">SUM(C68:C79)</f>
        <v>0</v>
      </c>
      <c r="D80" s="91">
        <f t="shared" si="47"/>
        <v>0</v>
      </c>
      <c r="E80" s="91">
        <f t="shared" si="47"/>
        <v>0</v>
      </c>
      <c r="F80" s="91">
        <f t="shared" si="47"/>
        <v>0</v>
      </c>
      <c r="G80" s="91">
        <f t="shared" si="47"/>
        <v>0</v>
      </c>
      <c r="H80" s="91">
        <f t="shared" si="47"/>
        <v>0</v>
      </c>
      <c r="I80" s="91">
        <f t="shared" si="47"/>
        <v>0</v>
      </c>
      <c r="J80" s="91">
        <f t="shared" si="47"/>
        <v>0</v>
      </c>
      <c r="K80" s="91">
        <f t="shared" si="47"/>
        <v>0</v>
      </c>
      <c r="L80" s="91">
        <f t="shared" si="47"/>
        <v>0</v>
      </c>
      <c r="M80" s="91">
        <f t="shared" si="47"/>
        <v>0</v>
      </c>
      <c r="N80" s="127">
        <f t="shared" si="44"/>
        <v>0</v>
      </c>
      <c r="P80" s="128" t="s">
        <v>4</v>
      </c>
      <c r="Q80" s="91">
        <f>SUM(Q68:Q79)</f>
        <v>0</v>
      </c>
      <c r="R80" s="91">
        <f t="shared" ref="R80:AB80" si="48">SUM(R68:R79)</f>
        <v>0</v>
      </c>
      <c r="S80" s="91">
        <f t="shared" si="48"/>
        <v>0</v>
      </c>
      <c r="T80" s="91">
        <f t="shared" si="48"/>
        <v>0</v>
      </c>
      <c r="U80" s="91">
        <f t="shared" si="48"/>
        <v>0</v>
      </c>
      <c r="V80" s="91">
        <f t="shared" si="48"/>
        <v>0</v>
      </c>
      <c r="W80" s="91">
        <f t="shared" si="48"/>
        <v>0</v>
      </c>
      <c r="X80" s="91">
        <f t="shared" si="48"/>
        <v>0</v>
      </c>
      <c r="Y80" s="91">
        <f t="shared" si="48"/>
        <v>0</v>
      </c>
      <c r="Z80" s="91">
        <f t="shared" si="48"/>
        <v>0</v>
      </c>
      <c r="AA80" s="91">
        <f t="shared" si="48"/>
        <v>0</v>
      </c>
      <c r="AB80" s="91">
        <f t="shared" si="48"/>
        <v>0</v>
      </c>
      <c r="AC80" s="127">
        <f t="shared" si="45"/>
        <v>0</v>
      </c>
      <c r="AE80" s="128" t="s">
        <v>4</v>
      </c>
      <c r="AF80" s="91">
        <f>SUM(AF68:AF79)</f>
        <v>0</v>
      </c>
      <c r="AG80" s="91">
        <f t="shared" ref="AG80:AQ80" si="49">SUM(AG68:AG79)</f>
        <v>0</v>
      </c>
      <c r="AH80" s="91">
        <f t="shared" si="49"/>
        <v>0</v>
      </c>
      <c r="AI80" s="91">
        <f t="shared" si="49"/>
        <v>0</v>
      </c>
      <c r="AJ80" s="91">
        <f t="shared" si="49"/>
        <v>0</v>
      </c>
      <c r="AK80" s="91">
        <f t="shared" si="49"/>
        <v>0</v>
      </c>
      <c r="AL80" s="91">
        <f t="shared" si="49"/>
        <v>0</v>
      </c>
      <c r="AM80" s="91">
        <f t="shared" si="49"/>
        <v>0</v>
      </c>
      <c r="AN80" s="91">
        <f t="shared" si="49"/>
        <v>0</v>
      </c>
      <c r="AO80" s="91">
        <f t="shared" si="49"/>
        <v>0</v>
      </c>
      <c r="AP80" s="91">
        <f t="shared" si="49"/>
        <v>0</v>
      </c>
      <c r="AQ80" s="91">
        <f t="shared" si="49"/>
        <v>0</v>
      </c>
      <c r="AR80" s="127">
        <f t="shared" si="46"/>
        <v>0</v>
      </c>
    </row>
    <row r="81" spans="1:49" s="40" customFormat="1"/>
    <row r="82" spans="1:49" s="40" customFormat="1"/>
    <row r="83" spans="1:49">
      <c r="A83" s="25" t="s">
        <v>2</v>
      </c>
      <c r="B83" s="16" t="s">
        <v>133</v>
      </c>
      <c r="C83" s="16" t="s">
        <v>19</v>
      </c>
      <c r="D83" s="159" t="s">
        <v>17</v>
      </c>
      <c r="E83" s="159" t="s">
        <v>134</v>
      </c>
      <c r="F83" s="156" t="s">
        <v>10</v>
      </c>
      <c r="G83" s="156" t="s">
        <v>11</v>
      </c>
      <c r="H83" s="156" t="s">
        <v>12</v>
      </c>
      <c r="I83" s="156" t="s">
        <v>13</v>
      </c>
      <c r="J83" s="156" t="s">
        <v>14</v>
      </c>
      <c r="K83" s="156" t="s">
        <v>18</v>
      </c>
      <c r="L83" s="156" t="s">
        <v>15</v>
      </c>
      <c r="M83" s="156" t="s">
        <v>16</v>
      </c>
      <c r="N83" s="27" t="s">
        <v>20</v>
      </c>
      <c r="P83" s="25" t="s">
        <v>2</v>
      </c>
      <c r="Q83" s="156" t="s">
        <v>133</v>
      </c>
      <c r="R83" s="156" t="s">
        <v>19</v>
      </c>
      <c r="S83" s="156" t="s">
        <v>17</v>
      </c>
      <c r="T83" s="156" t="s">
        <v>134</v>
      </c>
      <c r="U83" s="156" t="s">
        <v>10</v>
      </c>
      <c r="V83" s="156" t="s">
        <v>11</v>
      </c>
      <c r="W83" s="156" t="s">
        <v>12</v>
      </c>
      <c r="X83" s="156" t="s">
        <v>13</v>
      </c>
      <c r="Y83" s="156" t="s">
        <v>14</v>
      </c>
      <c r="Z83" s="156" t="s">
        <v>18</v>
      </c>
      <c r="AA83" s="156" t="s">
        <v>15</v>
      </c>
      <c r="AB83" s="156" t="s">
        <v>16</v>
      </c>
      <c r="AC83" s="27" t="s">
        <v>20</v>
      </c>
      <c r="AE83" s="25" t="s">
        <v>2</v>
      </c>
      <c r="AF83" s="156" t="s">
        <v>133</v>
      </c>
      <c r="AG83" s="156" t="s">
        <v>19</v>
      </c>
      <c r="AH83" s="156" t="s">
        <v>17</v>
      </c>
      <c r="AI83" s="156" t="s">
        <v>134</v>
      </c>
      <c r="AJ83" s="156" t="s">
        <v>10</v>
      </c>
      <c r="AK83" s="156" t="s">
        <v>11</v>
      </c>
      <c r="AL83" s="156" t="s">
        <v>12</v>
      </c>
      <c r="AM83" s="156" t="s">
        <v>13</v>
      </c>
      <c r="AN83" s="156" t="s">
        <v>14</v>
      </c>
      <c r="AO83" s="156" t="s">
        <v>18</v>
      </c>
      <c r="AP83" s="156" t="s">
        <v>15</v>
      </c>
      <c r="AQ83" s="156" t="s">
        <v>16</v>
      </c>
      <c r="AR83" s="27" t="s">
        <v>20</v>
      </c>
    </row>
    <row r="84" spans="1:49">
      <c r="A84" s="9">
        <f t="shared" ref="A84:A95" si="50">A4</f>
        <v>41365</v>
      </c>
      <c r="B84" s="43"/>
      <c r="C84" s="43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6">
        <f>SUM(B84:M84)</f>
        <v>0</v>
      </c>
      <c r="P84" s="9">
        <v>41365</v>
      </c>
      <c r="Q84" s="43"/>
      <c r="R84" s="43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6">
        <f>SUM(Q84:AB84)</f>
        <v>0</v>
      </c>
      <c r="AE84" s="9">
        <v>41365</v>
      </c>
      <c r="AF84" s="43"/>
      <c r="AG84" s="43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6">
        <f>SUM(AF84:AQ84)</f>
        <v>0</v>
      </c>
      <c r="AU84" s="92" t="e">
        <f t="shared" ref="AU84:AU95" si="51">+AK84/G84</f>
        <v>#DIV/0!</v>
      </c>
      <c r="AV84" s="92" t="e">
        <f t="shared" ref="AV84:AV95" si="52">+AL84/H84</f>
        <v>#DIV/0!</v>
      </c>
      <c r="AW84" s="92" t="e">
        <f t="shared" ref="AW84:AW95" si="53">+AM84/I84</f>
        <v>#DIV/0!</v>
      </c>
    </row>
    <row r="85" spans="1:49">
      <c r="A85" s="9">
        <f t="shared" si="50"/>
        <v>41395</v>
      </c>
      <c r="B85" s="43"/>
      <c r="C85" s="43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6">
        <f t="shared" ref="N85:N96" si="54">SUM(B85:M85)</f>
        <v>0</v>
      </c>
      <c r="P85" s="9">
        <v>41395</v>
      </c>
      <c r="Q85" s="43"/>
      <c r="R85" s="43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6">
        <f t="shared" ref="AC85:AC96" si="55">SUM(Q85:AB85)</f>
        <v>0</v>
      </c>
      <c r="AE85" s="9">
        <v>41395</v>
      </c>
      <c r="AF85" s="43"/>
      <c r="AG85" s="43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6">
        <f t="shared" ref="AR85:AR96" si="56">SUM(AF85:AQ85)</f>
        <v>0</v>
      </c>
      <c r="AU85" s="92" t="e">
        <f t="shared" si="51"/>
        <v>#DIV/0!</v>
      </c>
      <c r="AV85" s="92" t="e">
        <f t="shared" si="52"/>
        <v>#DIV/0!</v>
      </c>
      <c r="AW85" s="92" t="e">
        <f t="shared" si="53"/>
        <v>#DIV/0!</v>
      </c>
    </row>
    <row r="86" spans="1:49">
      <c r="A86" s="9">
        <f t="shared" si="50"/>
        <v>41426</v>
      </c>
      <c r="B86" s="43"/>
      <c r="C86" s="43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6">
        <f t="shared" si="54"/>
        <v>0</v>
      </c>
      <c r="P86" s="9">
        <v>41426</v>
      </c>
      <c r="Q86" s="43"/>
      <c r="R86" s="43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6">
        <f t="shared" si="55"/>
        <v>0</v>
      </c>
      <c r="AE86" s="9">
        <v>41426</v>
      </c>
      <c r="AF86" s="43"/>
      <c r="AG86" s="43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6">
        <f t="shared" si="56"/>
        <v>0</v>
      </c>
      <c r="AU86" s="92" t="e">
        <f t="shared" si="51"/>
        <v>#DIV/0!</v>
      </c>
      <c r="AV86" s="92" t="e">
        <f t="shared" si="52"/>
        <v>#DIV/0!</v>
      </c>
      <c r="AW86" s="92" t="e">
        <f t="shared" si="53"/>
        <v>#DIV/0!</v>
      </c>
    </row>
    <row r="87" spans="1:49">
      <c r="A87" s="9">
        <f t="shared" si="50"/>
        <v>41456</v>
      </c>
      <c r="B87" s="43"/>
      <c r="C87" s="43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6">
        <f t="shared" si="54"/>
        <v>0</v>
      </c>
      <c r="P87" s="9">
        <v>41456</v>
      </c>
      <c r="Q87" s="43"/>
      <c r="R87" s="43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6">
        <f t="shared" si="55"/>
        <v>0</v>
      </c>
      <c r="AE87" s="9">
        <v>41456</v>
      </c>
      <c r="AF87" s="43"/>
      <c r="AG87" s="43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6">
        <f t="shared" si="56"/>
        <v>0</v>
      </c>
      <c r="AU87" s="92" t="e">
        <f t="shared" si="51"/>
        <v>#DIV/0!</v>
      </c>
      <c r="AV87" s="92" t="e">
        <f t="shared" si="52"/>
        <v>#DIV/0!</v>
      </c>
      <c r="AW87" s="92" t="e">
        <f t="shared" si="53"/>
        <v>#DIV/0!</v>
      </c>
    </row>
    <row r="88" spans="1:49">
      <c r="A88" s="9">
        <f t="shared" si="50"/>
        <v>41487</v>
      </c>
      <c r="B88" s="43"/>
      <c r="C88" s="43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6">
        <f t="shared" si="54"/>
        <v>0</v>
      </c>
      <c r="P88" s="9">
        <v>41487</v>
      </c>
      <c r="Q88" s="43"/>
      <c r="R88" s="43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6">
        <f t="shared" si="55"/>
        <v>0</v>
      </c>
      <c r="AE88" s="9">
        <v>41487</v>
      </c>
      <c r="AF88" s="43"/>
      <c r="AG88" s="43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6">
        <f t="shared" si="56"/>
        <v>0</v>
      </c>
      <c r="AU88" s="92" t="e">
        <f t="shared" si="51"/>
        <v>#DIV/0!</v>
      </c>
      <c r="AV88" s="92" t="e">
        <f t="shared" si="52"/>
        <v>#DIV/0!</v>
      </c>
      <c r="AW88" s="92" t="e">
        <f t="shared" si="53"/>
        <v>#DIV/0!</v>
      </c>
    </row>
    <row r="89" spans="1:49">
      <c r="A89" s="9">
        <f t="shared" si="50"/>
        <v>41518</v>
      </c>
      <c r="B89" s="43"/>
      <c r="C89" s="43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6">
        <f t="shared" si="54"/>
        <v>0</v>
      </c>
      <c r="P89" s="9">
        <v>41518</v>
      </c>
      <c r="Q89" s="43"/>
      <c r="R89" s="43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6">
        <f t="shared" si="55"/>
        <v>0</v>
      </c>
      <c r="AE89" s="9">
        <v>41518</v>
      </c>
      <c r="AF89" s="43"/>
      <c r="AG89" s="43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6">
        <f t="shared" si="56"/>
        <v>0</v>
      </c>
      <c r="AU89" s="92" t="e">
        <f t="shared" si="51"/>
        <v>#DIV/0!</v>
      </c>
      <c r="AV89" s="92" t="e">
        <f t="shared" si="52"/>
        <v>#DIV/0!</v>
      </c>
      <c r="AW89" s="92" t="e">
        <f t="shared" si="53"/>
        <v>#DIV/0!</v>
      </c>
    </row>
    <row r="90" spans="1:49">
      <c r="A90" s="9">
        <f t="shared" si="50"/>
        <v>41548</v>
      </c>
      <c r="B90" s="43"/>
      <c r="C90" s="43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6">
        <f t="shared" si="54"/>
        <v>0</v>
      </c>
      <c r="P90" s="9">
        <v>41548</v>
      </c>
      <c r="Q90" s="43"/>
      <c r="R90" s="43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6">
        <f t="shared" si="55"/>
        <v>0</v>
      </c>
      <c r="AE90" s="9">
        <v>41548</v>
      </c>
      <c r="AF90" s="43"/>
      <c r="AG90" s="43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6">
        <f t="shared" si="56"/>
        <v>0</v>
      </c>
      <c r="AU90" s="92" t="e">
        <f t="shared" si="51"/>
        <v>#DIV/0!</v>
      </c>
      <c r="AV90" s="92" t="e">
        <f t="shared" si="52"/>
        <v>#DIV/0!</v>
      </c>
      <c r="AW90" s="92" t="e">
        <f t="shared" si="53"/>
        <v>#DIV/0!</v>
      </c>
    </row>
    <row r="91" spans="1:49">
      <c r="A91" s="9">
        <f t="shared" si="50"/>
        <v>41579</v>
      </c>
      <c r="B91" s="43"/>
      <c r="C91" s="43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6">
        <f t="shared" si="54"/>
        <v>0</v>
      </c>
      <c r="P91" s="9">
        <v>41579</v>
      </c>
      <c r="Q91" s="43"/>
      <c r="R91" s="43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6">
        <f t="shared" si="55"/>
        <v>0</v>
      </c>
      <c r="AE91" s="9">
        <v>41579</v>
      </c>
      <c r="AF91" s="43"/>
      <c r="AG91" s="43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6">
        <f t="shared" si="56"/>
        <v>0</v>
      </c>
      <c r="AU91" s="92" t="e">
        <f t="shared" si="51"/>
        <v>#DIV/0!</v>
      </c>
      <c r="AV91" s="92" t="e">
        <f t="shared" si="52"/>
        <v>#DIV/0!</v>
      </c>
      <c r="AW91" s="92" t="e">
        <f t="shared" si="53"/>
        <v>#DIV/0!</v>
      </c>
    </row>
    <row r="92" spans="1:49">
      <c r="A92" s="9">
        <f t="shared" si="50"/>
        <v>41609</v>
      </c>
      <c r="B92" s="43"/>
      <c r="C92" s="43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6">
        <f t="shared" si="54"/>
        <v>0</v>
      </c>
      <c r="P92" s="9">
        <v>41609</v>
      </c>
      <c r="Q92" s="43"/>
      <c r="R92" s="43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6">
        <f t="shared" si="55"/>
        <v>0</v>
      </c>
      <c r="AE92" s="9">
        <v>41609</v>
      </c>
      <c r="AF92" s="43"/>
      <c r="AG92" s="43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6">
        <f t="shared" si="56"/>
        <v>0</v>
      </c>
      <c r="AU92" s="92" t="e">
        <f t="shared" si="51"/>
        <v>#DIV/0!</v>
      </c>
      <c r="AV92" s="92" t="e">
        <f t="shared" si="52"/>
        <v>#DIV/0!</v>
      </c>
      <c r="AW92" s="92" t="e">
        <f t="shared" si="53"/>
        <v>#DIV/0!</v>
      </c>
    </row>
    <row r="93" spans="1:49">
      <c r="A93" s="9">
        <f t="shared" si="50"/>
        <v>41640</v>
      </c>
      <c r="B93" s="43"/>
      <c r="C93" s="43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6">
        <f t="shared" si="54"/>
        <v>0</v>
      </c>
      <c r="P93" s="9">
        <v>41640</v>
      </c>
      <c r="Q93" s="43"/>
      <c r="R93" s="43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6">
        <f t="shared" si="55"/>
        <v>0</v>
      </c>
      <c r="AE93" s="9">
        <v>41640</v>
      </c>
      <c r="AF93" s="43"/>
      <c r="AG93" s="43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6">
        <f t="shared" si="56"/>
        <v>0</v>
      </c>
      <c r="AU93" s="92" t="e">
        <f t="shared" si="51"/>
        <v>#DIV/0!</v>
      </c>
      <c r="AV93" s="92" t="e">
        <f t="shared" si="52"/>
        <v>#DIV/0!</v>
      </c>
      <c r="AW93" s="92" t="e">
        <f t="shared" si="53"/>
        <v>#DIV/0!</v>
      </c>
    </row>
    <row r="94" spans="1:49">
      <c r="A94" s="9">
        <f t="shared" si="50"/>
        <v>41671</v>
      </c>
      <c r="B94" s="43"/>
      <c r="C94" s="43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6">
        <f t="shared" si="54"/>
        <v>0</v>
      </c>
      <c r="P94" s="9">
        <v>41671</v>
      </c>
      <c r="Q94" s="43"/>
      <c r="R94" s="43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6">
        <f t="shared" si="55"/>
        <v>0</v>
      </c>
      <c r="AE94" s="9">
        <v>41671</v>
      </c>
      <c r="AF94" s="43"/>
      <c r="AG94" s="43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6">
        <f t="shared" si="56"/>
        <v>0</v>
      </c>
      <c r="AU94" s="92" t="e">
        <f t="shared" si="51"/>
        <v>#DIV/0!</v>
      </c>
      <c r="AV94" s="92" t="e">
        <f t="shared" si="52"/>
        <v>#DIV/0!</v>
      </c>
      <c r="AW94" s="92" t="e">
        <f t="shared" si="53"/>
        <v>#DIV/0!</v>
      </c>
    </row>
    <row r="95" spans="1:49">
      <c r="A95" s="9">
        <f t="shared" si="50"/>
        <v>41699</v>
      </c>
      <c r="B95" s="43"/>
      <c r="C95" s="43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6">
        <f t="shared" si="54"/>
        <v>0</v>
      </c>
      <c r="P95" s="9">
        <v>41699</v>
      </c>
      <c r="Q95" s="43"/>
      <c r="R95" s="43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6">
        <f t="shared" si="55"/>
        <v>0</v>
      </c>
      <c r="AE95" s="9">
        <v>41699</v>
      </c>
      <c r="AF95" s="43"/>
      <c r="AG95" s="43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6">
        <f t="shared" si="56"/>
        <v>0</v>
      </c>
      <c r="AU95" s="92" t="e">
        <f t="shared" si="51"/>
        <v>#DIV/0!</v>
      </c>
      <c r="AV95" s="92" t="e">
        <f t="shared" si="52"/>
        <v>#DIV/0!</v>
      </c>
      <c r="AW95" s="92" t="e">
        <f t="shared" si="53"/>
        <v>#DIV/0!</v>
      </c>
    </row>
    <row r="96" spans="1:49">
      <c r="A96" s="28" t="s">
        <v>4</v>
      </c>
      <c r="B96" s="91">
        <f>SUM(B84:B95)</f>
        <v>0</v>
      </c>
      <c r="C96" s="91">
        <f t="shared" ref="C96:M96" si="57">SUM(C84:C95)</f>
        <v>0</v>
      </c>
      <c r="D96" s="91">
        <f t="shared" si="57"/>
        <v>0</v>
      </c>
      <c r="E96" s="91">
        <f t="shared" si="57"/>
        <v>0</v>
      </c>
      <c r="F96" s="91">
        <f t="shared" si="57"/>
        <v>0</v>
      </c>
      <c r="G96" s="91">
        <f t="shared" si="57"/>
        <v>0</v>
      </c>
      <c r="H96" s="91">
        <f t="shared" si="57"/>
        <v>0</v>
      </c>
      <c r="I96" s="91">
        <f t="shared" si="57"/>
        <v>0</v>
      </c>
      <c r="J96" s="91">
        <f t="shared" si="57"/>
        <v>0</v>
      </c>
      <c r="K96" s="91">
        <f t="shared" si="57"/>
        <v>0</v>
      </c>
      <c r="L96" s="91">
        <f t="shared" si="57"/>
        <v>0</v>
      </c>
      <c r="M96" s="91">
        <f t="shared" si="57"/>
        <v>0</v>
      </c>
      <c r="N96" s="127">
        <f t="shared" si="54"/>
        <v>0</v>
      </c>
      <c r="P96" s="128" t="s">
        <v>4</v>
      </c>
      <c r="Q96" s="91">
        <f>SUM(Q84:Q95)</f>
        <v>0</v>
      </c>
      <c r="R96" s="91">
        <f t="shared" ref="R96:AB96" si="58">SUM(R84:R95)</f>
        <v>0</v>
      </c>
      <c r="S96" s="91">
        <f t="shared" si="58"/>
        <v>0</v>
      </c>
      <c r="T96" s="91">
        <f t="shared" si="58"/>
        <v>0</v>
      </c>
      <c r="U96" s="91">
        <f t="shared" si="58"/>
        <v>0</v>
      </c>
      <c r="V96" s="91">
        <f t="shared" si="58"/>
        <v>0</v>
      </c>
      <c r="W96" s="91">
        <f t="shared" si="58"/>
        <v>0</v>
      </c>
      <c r="X96" s="91">
        <f t="shared" si="58"/>
        <v>0</v>
      </c>
      <c r="Y96" s="91">
        <f t="shared" si="58"/>
        <v>0</v>
      </c>
      <c r="Z96" s="91">
        <f t="shared" si="58"/>
        <v>0</v>
      </c>
      <c r="AA96" s="91">
        <f t="shared" si="58"/>
        <v>0</v>
      </c>
      <c r="AB96" s="91">
        <f t="shared" si="58"/>
        <v>0</v>
      </c>
      <c r="AC96" s="127">
        <f t="shared" si="55"/>
        <v>0</v>
      </c>
      <c r="AE96" s="128" t="s">
        <v>4</v>
      </c>
      <c r="AF96" s="91">
        <f>SUM(AF84:AF95)</f>
        <v>0</v>
      </c>
      <c r="AG96" s="91">
        <f t="shared" ref="AG96:AQ96" si="59">SUM(AG84:AG95)</f>
        <v>0</v>
      </c>
      <c r="AH96" s="91">
        <f t="shared" si="59"/>
        <v>0</v>
      </c>
      <c r="AI96" s="91">
        <f t="shared" si="59"/>
        <v>0</v>
      </c>
      <c r="AJ96" s="91">
        <f t="shared" si="59"/>
        <v>0</v>
      </c>
      <c r="AK96" s="91">
        <f t="shared" si="59"/>
        <v>0</v>
      </c>
      <c r="AL96" s="91">
        <f t="shared" si="59"/>
        <v>0</v>
      </c>
      <c r="AM96" s="91">
        <f t="shared" si="59"/>
        <v>0</v>
      </c>
      <c r="AN96" s="91">
        <f t="shared" si="59"/>
        <v>0</v>
      </c>
      <c r="AO96" s="91">
        <f t="shared" si="59"/>
        <v>0</v>
      </c>
      <c r="AP96" s="91">
        <f t="shared" si="59"/>
        <v>0</v>
      </c>
      <c r="AQ96" s="91">
        <f t="shared" si="59"/>
        <v>0</v>
      </c>
      <c r="AR96" s="127">
        <f t="shared" si="56"/>
        <v>0</v>
      </c>
    </row>
    <row r="97" spans="1:49">
      <c r="P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</row>
    <row r="98" spans="1:49">
      <c r="P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</row>
    <row r="99" spans="1:49">
      <c r="A99" s="25" t="s">
        <v>7</v>
      </c>
      <c r="B99" s="16" t="s">
        <v>133</v>
      </c>
      <c r="C99" s="16" t="s">
        <v>19</v>
      </c>
      <c r="D99" s="159" t="s">
        <v>17</v>
      </c>
      <c r="E99" s="159" t="s">
        <v>134</v>
      </c>
      <c r="F99" s="156" t="s">
        <v>10</v>
      </c>
      <c r="G99" s="156" t="s">
        <v>11</v>
      </c>
      <c r="H99" s="156" t="s">
        <v>12</v>
      </c>
      <c r="I99" s="156" t="s">
        <v>13</v>
      </c>
      <c r="J99" s="156" t="s">
        <v>14</v>
      </c>
      <c r="K99" s="156" t="s">
        <v>18</v>
      </c>
      <c r="L99" s="156" t="s">
        <v>15</v>
      </c>
      <c r="M99" s="156" t="s">
        <v>16</v>
      </c>
      <c r="N99" s="27" t="s">
        <v>20</v>
      </c>
      <c r="P99" s="25" t="s">
        <v>7</v>
      </c>
      <c r="Q99" s="156" t="s">
        <v>133</v>
      </c>
      <c r="R99" s="156" t="s">
        <v>19</v>
      </c>
      <c r="S99" s="156" t="s">
        <v>17</v>
      </c>
      <c r="T99" s="156" t="s">
        <v>134</v>
      </c>
      <c r="U99" s="156" t="s">
        <v>10</v>
      </c>
      <c r="V99" s="156" t="s">
        <v>11</v>
      </c>
      <c r="W99" s="156" t="s">
        <v>12</v>
      </c>
      <c r="X99" s="156" t="s">
        <v>13</v>
      </c>
      <c r="Y99" s="156" t="s">
        <v>14</v>
      </c>
      <c r="Z99" s="156" t="s">
        <v>18</v>
      </c>
      <c r="AA99" s="156" t="s">
        <v>15</v>
      </c>
      <c r="AB99" s="156" t="s">
        <v>16</v>
      </c>
      <c r="AC99" s="27" t="s">
        <v>20</v>
      </c>
      <c r="AE99" s="25" t="s">
        <v>7</v>
      </c>
      <c r="AF99" s="156" t="s">
        <v>133</v>
      </c>
      <c r="AG99" s="156" t="s">
        <v>19</v>
      </c>
      <c r="AH99" s="156" t="s">
        <v>17</v>
      </c>
      <c r="AI99" s="156" t="s">
        <v>134</v>
      </c>
      <c r="AJ99" s="156" t="s">
        <v>10</v>
      </c>
      <c r="AK99" s="156" t="s">
        <v>11</v>
      </c>
      <c r="AL99" s="156" t="s">
        <v>12</v>
      </c>
      <c r="AM99" s="156" t="s">
        <v>13</v>
      </c>
      <c r="AN99" s="156" t="s">
        <v>14</v>
      </c>
      <c r="AO99" s="156" t="s">
        <v>18</v>
      </c>
      <c r="AP99" s="156" t="s">
        <v>15</v>
      </c>
      <c r="AQ99" s="156" t="s">
        <v>16</v>
      </c>
      <c r="AR99" s="27" t="s">
        <v>20</v>
      </c>
    </row>
    <row r="100" spans="1:49">
      <c r="A100" s="9">
        <f t="shared" ref="A100:A111" si="60">A4</f>
        <v>41365</v>
      </c>
      <c r="B100" s="43"/>
      <c r="C100" s="43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6">
        <f>SUM(B100:M100)</f>
        <v>0</v>
      </c>
      <c r="P100" s="9">
        <v>41365</v>
      </c>
      <c r="Q100" s="43"/>
      <c r="R100" s="43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6">
        <f>SUM(Q100:AB100)</f>
        <v>0</v>
      </c>
      <c r="AE100" s="9">
        <v>41365</v>
      </c>
      <c r="AF100" s="43"/>
      <c r="AG100" s="43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6">
        <f>SUM(AF100:AQ100)</f>
        <v>0</v>
      </c>
      <c r="AT100" s="89"/>
      <c r="AU100" s="92" t="e">
        <f t="shared" ref="AU100:AU111" si="61">+AK100/G100</f>
        <v>#DIV/0!</v>
      </c>
      <c r="AV100" s="92" t="e">
        <f t="shared" ref="AV100:AV111" si="62">+AL100/H100</f>
        <v>#DIV/0!</v>
      </c>
      <c r="AW100" s="92" t="e">
        <f t="shared" ref="AW100:AW111" si="63">+AM100/I100</f>
        <v>#DIV/0!</v>
      </c>
    </row>
    <row r="101" spans="1:49">
      <c r="A101" s="9">
        <f t="shared" si="60"/>
        <v>41395</v>
      </c>
      <c r="B101" s="43"/>
      <c r="C101" s="43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6">
        <f t="shared" ref="N101:N112" si="64">SUM(B101:M101)</f>
        <v>0</v>
      </c>
      <c r="P101" s="9">
        <v>41395</v>
      </c>
      <c r="Q101" s="43"/>
      <c r="R101" s="43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6">
        <f t="shared" ref="AC101:AC112" si="65">SUM(Q101:AB101)</f>
        <v>0</v>
      </c>
      <c r="AE101" s="9">
        <v>41395</v>
      </c>
      <c r="AF101" s="43"/>
      <c r="AG101" s="43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6">
        <f t="shared" ref="AR101:AR112" si="66">SUM(AF101:AQ101)</f>
        <v>0</v>
      </c>
      <c r="AT101" s="89"/>
      <c r="AU101" s="92" t="e">
        <f t="shared" si="61"/>
        <v>#DIV/0!</v>
      </c>
      <c r="AV101" s="92" t="e">
        <f t="shared" si="62"/>
        <v>#DIV/0!</v>
      </c>
      <c r="AW101" s="92" t="e">
        <f t="shared" si="63"/>
        <v>#DIV/0!</v>
      </c>
    </row>
    <row r="102" spans="1:49">
      <c r="A102" s="9">
        <f t="shared" si="60"/>
        <v>41426</v>
      </c>
      <c r="B102" s="43"/>
      <c r="C102" s="43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6">
        <f t="shared" si="64"/>
        <v>0</v>
      </c>
      <c r="P102" s="9">
        <v>41426</v>
      </c>
      <c r="Q102" s="43"/>
      <c r="R102" s="43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6">
        <f t="shared" si="65"/>
        <v>0</v>
      </c>
      <c r="AE102" s="9">
        <v>41426</v>
      </c>
      <c r="AF102" s="43"/>
      <c r="AG102" s="43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6">
        <f t="shared" si="66"/>
        <v>0</v>
      </c>
      <c r="AT102" s="89"/>
      <c r="AU102" s="92" t="e">
        <f t="shared" si="61"/>
        <v>#DIV/0!</v>
      </c>
      <c r="AV102" s="92" t="e">
        <f t="shared" si="62"/>
        <v>#DIV/0!</v>
      </c>
      <c r="AW102" s="92" t="e">
        <f t="shared" si="63"/>
        <v>#DIV/0!</v>
      </c>
    </row>
    <row r="103" spans="1:49">
      <c r="A103" s="9">
        <f t="shared" si="60"/>
        <v>41456</v>
      </c>
      <c r="B103" s="43"/>
      <c r="C103" s="43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6">
        <f t="shared" si="64"/>
        <v>0</v>
      </c>
      <c r="P103" s="9">
        <v>41456</v>
      </c>
      <c r="Q103" s="43"/>
      <c r="R103" s="43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6">
        <f t="shared" si="65"/>
        <v>0</v>
      </c>
      <c r="AE103" s="9">
        <v>41456</v>
      </c>
      <c r="AF103" s="43"/>
      <c r="AG103" s="43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6">
        <f t="shared" si="66"/>
        <v>0</v>
      </c>
      <c r="AT103" s="89"/>
      <c r="AU103" s="92" t="e">
        <f t="shared" si="61"/>
        <v>#DIV/0!</v>
      </c>
      <c r="AV103" s="92" t="e">
        <f t="shared" si="62"/>
        <v>#DIV/0!</v>
      </c>
      <c r="AW103" s="92" t="e">
        <f t="shared" si="63"/>
        <v>#DIV/0!</v>
      </c>
    </row>
    <row r="104" spans="1:49">
      <c r="A104" s="9">
        <f t="shared" si="60"/>
        <v>41487</v>
      </c>
      <c r="B104" s="43"/>
      <c r="C104" s="43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6">
        <f t="shared" si="64"/>
        <v>0</v>
      </c>
      <c r="P104" s="9">
        <v>41487</v>
      </c>
      <c r="Q104" s="43"/>
      <c r="R104" s="43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6">
        <f t="shared" si="65"/>
        <v>0</v>
      </c>
      <c r="AE104" s="9">
        <v>41487</v>
      </c>
      <c r="AF104" s="43"/>
      <c r="AG104" s="43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6">
        <f t="shared" si="66"/>
        <v>0</v>
      </c>
      <c r="AT104" s="89"/>
      <c r="AU104" s="92" t="e">
        <f t="shared" si="61"/>
        <v>#DIV/0!</v>
      </c>
      <c r="AV104" s="92" t="e">
        <f t="shared" si="62"/>
        <v>#DIV/0!</v>
      </c>
      <c r="AW104" s="92" t="e">
        <f t="shared" si="63"/>
        <v>#DIV/0!</v>
      </c>
    </row>
    <row r="105" spans="1:49">
      <c r="A105" s="9">
        <f t="shared" si="60"/>
        <v>41518</v>
      </c>
      <c r="B105" s="43"/>
      <c r="C105" s="43"/>
      <c r="D105" s="41"/>
      <c r="E105" s="41"/>
      <c r="F105" s="41"/>
      <c r="G105" s="41"/>
      <c r="H105" s="41"/>
      <c r="I105" s="41"/>
      <c r="J105" s="41"/>
      <c r="K105" s="41"/>
      <c r="L105" s="41">
        <v>13.74</v>
      </c>
      <c r="M105" s="41"/>
      <c r="N105" s="6">
        <f t="shared" si="64"/>
        <v>13.74</v>
      </c>
      <c r="P105" s="9">
        <v>41518</v>
      </c>
      <c r="Q105" s="43"/>
      <c r="R105" s="43"/>
      <c r="S105" s="41"/>
      <c r="T105" s="41"/>
      <c r="U105" s="41"/>
      <c r="V105" s="41"/>
      <c r="W105" s="41"/>
      <c r="X105" s="41"/>
      <c r="Y105" s="41"/>
      <c r="Z105" s="41"/>
      <c r="AA105" s="41">
        <v>893233.6</v>
      </c>
      <c r="AB105" s="41"/>
      <c r="AC105" s="6">
        <f t="shared" si="65"/>
        <v>893233.6</v>
      </c>
      <c r="AE105" s="9">
        <v>41518</v>
      </c>
      <c r="AF105" s="43"/>
      <c r="AG105" s="43"/>
      <c r="AH105" s="41"/>
      <c r="AI105" s="41"/>
      <c r="AJ105" s="41"/>
      <c r="AK105" s="41"/>
      <c r="AL105" s="41"/>
      <c r="AM105" s="41"/>
      <c r="AN105" s="41"/>
      <c r="AO105" s="41"/>
      <c r="AP105" s="41">
        <v>13331.844776119402</v>
      </c>
      <c r="AQ105" s="41"/>
      <c r="AR105" s="6">
        <f t="shared" si="66"/>
        <v>13331.844776119402</v>
      </c>
      <c r="AT105" s="89"/>
      <c r="AU105" s="92" t="e">
        <f t="shared" si="61"/>
        <v>#DIV/0!</v>
      </c>
      <c r="AV105" s="92" t="e">
        <f t="shared" si="62"/>
        <v>#DIV/0!</v>
      </c>
      <c r="AW105" s="92" t="e">
        <f t="shared" si="63"/>
        <v>#DIV/0!</v>
      </c>
    </row>
    <row r="106" spans="1:49">
      <c r="A106" s="9">
        <f t="shared" si="60"/>
        <v>41548</v>
      </c>
      <c r="B106" s="43"/>
      <c r="C106" s="43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6">
        <f t="shared" si="64"/>
        <v>0</v>
      </c>
      <c r="P106" s="9">
        <v>41548</v>
      </c>
      <c r="Q106" s="43"/>
      <c r="R106" s="43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6">
        <f t="shared" si="65"/>
        <v>0</v>
      </c>
      <c r="AE106" s="9">
        <v>41548</v>
      </c>
      <c r="AF106" s="43"/>
      <c r="AG106" s="43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6">
        <f t="shared" si="66"/>
        <v>0</v>
      </c>
      <c r="AT106" s="89"/>
      <c r="AU106" s="92" t="e">
        <f t="shared" si="61"/>
        <v>#DIV/0!</v>
      </c>
      <c r="AV106" s="92" t="e">
        <f t="shared" si="62"/>
        <v>#DIV/0!</v>
      </c>
      <c r="AW106" s="92" t="e">
        <f t="shared" si="63"/>
        <v>#DIV/0!</v>
      </c>
    </row>
    <row r="107" spans="1:49">
      <c r="A107" s="9">
        <f t="shared" si="60"/>
        <v>41579</v>
      </c>
      <c r="B107" s="43"/>
      <c r="C107" s="43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6">
        <f t="shared" si="64"/>
        <v>0</v>
      </c>
      <c r="P107" s="9">
        <v>41579</v>
      </c>
      <c r="Q107" s="43"/>
      <c r="R107" s="43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6">
        <f t="shared" si="65"/>
        <v>0</v>
      </c>
      <c r="AE107" s="9">
        <v>41579</v>
      </c>
      <c r="AF107" s="43"/>
      <c r="AG107" s="43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6">
        <f t="shared" si="66"/>
        <v>0</v>
      </c>
      <c r="AT107" s="89"/>
      <c r="AU107" s="92" t="e">
        <f t="shared" si="61"/>
        <v>#DIV/0!</v>
      </c>
      <c r="AV107" s="92" t="e">
        <f t="shared" si="62"/>
        <v>#DIV/0!</v>
      </c>
      <c r="AW107" s="92" t="e">
        <f t="shared" si="63"/>
        <v>#DIV/0!</v>
      </c>
    </row>
    <row r="108" spans="1:49">
      <c r="A108" s="9">
        <f t="shared" si="60"/>
        <v>41609</v>
      </c>
      <c r="B108" s="43"/>
      <c r="C108" s="43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6">
        <f t="shared" si="64"/>
        <v>0</v>
      </c>
      <c r="P108" s="9">
        <v>41609</v>
      </c>
      <c r="Q108" s="43"/>
      <c r="R108" s="43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6">
        <f t="shared" si="65"/>
        <v>0</v>
      </c>
      <c r="AE108" s="9">
        <v>41609</v>
      </c>
      <c r="AF108" s="43"/>
      <c r="AG108" s="43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6">
        <f t="shared" si="66"/>
        <v>0</v>
      </c>
      <c r="AT108" s="89"/>
      <c r="AU108" s="92" t="e">
        <f t="shared" si="61"/>
        <v>#DIV/0!</v>
      </c>
      <c r="AV108" s="92" t="e">
        <f t="shared" si="62"/>
        <v>#DIV/0!</v>
      </c>
      <c r="AW108" s="92" t="e">
        <f t="shared" si="63"/>
        <v>#DIV/0!</v>
      </c>
    </row>
    <row r="109" spans="1:49">
      <c r="A109" s="9">
        <f t="shared" si="60"/>
        <v>41640</v>
      </c>
      <c r="B109" s="43"/>
      <c r="C109" s="43"/>
      <c r="D109" s="41"/>
      <c r="E109" s="41">
        <v>37.049999999999997</v>
      </c>
      <c r="F109" s="41"/>
      <c r="G109" s="41"/>
      <c r="H109" s="41"/>
      <c r="I109" s="41"/>
      <c r="J109" s="41"/>
      <c r="K109" s="41"/>
      <c r="L109" s="41"/>
      <c r="M109" s="41"/>
      <c r="N109" s="6">
        <f t="shared" si="64"/>
        <v>37.049999999999997</v>
      </c>
      <c r="P109" s="9">
        <v>41640</v>
      </c>
      <c r="Q109" s="43"/>
      <c r="R109" s="43"/>
      <c r="S109" s="41"/>
      <c r="T109" s="41">
        <v>6214665.6699999999</v>
      </c>
      <c r="U109" s="41"/>
      <c r="V109" s="41"/>
      <c r="W109" s="41"/>
      <c r="X109" s="41"/>
      <c r="Y109" s="41"/>
      <c r="Z109" s="41"/>
      <c r="AA109" s="41"/>
      <c r="AB109" s="41"/>
      <c r="AC109" s="6">
        <f t="shared" si="65"/>
        <v>6214665.6699999999</v>
      </c>
      <c r="AE109" s="9">
        <v>41640</v>
      </c>
      <c r="AF109" s="43"/>
      <c r="AG109" s="43"/>
      <c r="AH109" s="41"/>
      <c r="AI109" s="41">
        <v>99673.868003207695</v>
      </c>
      <c r="AJ109" s="41"/>
      <c r="AK109" s="41"/>
      <c r="AL109" s="41"/>
      <c r="AM109" s="41"/>
      <c r="AN109" s="41"/>
      <c r="AO109" s="41"/>
      <c r="AP109" s="41"/>
      <c r="AQ109" s="41"/>
      <c r="AR109" s="6">
        <f t="shared" si="66"/>
        <v>99673.868003207695</v>
      </c>
      <c r="AT109" s="89"/>
      <c r="AU109" s="92" t="e">
        <f t="shared" si="61"/>
        <v>#DIV/0!</v>
      </c>
      <c r="AV109" s="92" t="e">
        <f t="shared" si="62"/>
        <v>#DIV/0!</v>
      </c>
      <c r="AW109" s="92" t="e">
        <f t="shared" si="63"/>
        <v>#DIV/0!</v>
      </c>
    </row>
    <row r="110" spans="1:49">
      <c r="A110" s="9">
        <f t="shared" si="60"/>
        <v>41671</v>
      </c>
      <c r="B110" s="43"/>
      <c r="C110" s="43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6">
        <f t="shared" si="64"/>
        <v>0</v>
      </c>
      <c r="P110" s="9">
        <v>41671</v>
      </c>
      <c r="Q110" s="43"/>
      <c r="R110" s="43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6">
        <f t="shared" si="65"/>
        <v>0</v>
      </c>
      <c r="AE110" s="9">
        <v>41671</v>
      </c>
      <c r="AF110" s="43"/>
      <c r="AG110" s="43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6">
        <f t="shared" si="66"/>
        <v>0</v>
      </c>
      <c r="AT110" s="89"/>
      <c r="AU110" s="92" t="e">
        <f t="shared" si="61"/>
        <v>#DIV/0!</v>
      </c>
      <c r="AV110" s="92" t="e">
        <f t="shared" si="62"/>
        <v>#DIV/0!</v>
      </c>
      <c r="AW110" s="92" t="e">
        <f t="shared" si="63"/>
        <v>#DIV/0!</v>
      </c>
    </row>
    <row r="111" spans="1:49">
      <c r="A111" s="9">
        <f t="shared" si="60"/>
        <v>41699</v>
      </c>
      <c r="B111" s="43"/>
      <c r="C111" s="43"/>
      <c r="D111" s="41">
        <v>18.8</v>
      </c>
      <c r="E111" s="41"/>
      <c r="F111" s="41"/>
      <c r="G111" s="41"/>
      <c r="H111" s="41"/>
      <c r="I111" s="41"/>
      <c r="J111" s="41"/>
      <c r="K111" s="41"/>
      <c r="L111" s="41"/>
      <c r="M111" s="41">
        <v>2.1639999999999997</v>
      </c>
      <c r="N111" s="6">
        <f t="shared" si="64"/>
        <v>20.963999999999999</v>
      </c>
      <c r="P111" s="9">
        <v>41699</v>
      </c>
      <c r="Q111" s="43"/>
      <c r="R111" s="43"/>
      <c r="S111" s="41">
        <v>2641762.46</v>
      </c>
      <c r="T111" s="41"/>
      <c r="U111" s="41"/>
      <c r="V111" s="41"/>
      <c r="W111" s="41"/>
      <c r="X111" s="41"/>
      <c r="Y111" s="41"/>
      <c r="Z111" s="41"/>
      <c r="AA111" s="41"/>
      <c r="AB111" s="41">
        <v>146090.58000000002</v>
      </c>
      <c r="AC111" s="6">
        <f t="shared" si="65"/>
        <v>2787853.04</v>
      </c>
      <c r="AE111" s="9">
        <v>41699</v>
      </c>
      <c r="AF111" s="43"/>
      <c r="AG111" s="43"/>
      <c r="AH111" s="41">
        <v>42781.578299595138</v>
      </c>
      <c r="AI111" s="41"/>
      <c r="AJ111" s="41"/>
      <c r="AK111" s="41"/>
      <c r="AL111" s="41"/>
      <c r="AM111" s="41"/>
      <c r="AN111" s="41"/>
      <c r="AO111" s="41"/>
      <c r="AP111" s="41"/>
      <c r="AQ111" s="41">
        <v>2320.7399523431295</v>
      </c>
      <c r="AR111" s="6">
        <f t="shared" si="66"/>
        <v>45102.318251938268</v>
      </c>
      <c r="AT111" s="89"/>
      <c r="AU111" s="92" t="e">
        <f t="shared" si="61"/>
        <v>#DIV/0!</v>
      </c>
      <c r="AV111" s="92" t="e">
        <f t="shared" si="62"/>
        <v>#DIV/0!</v>
      </c>
      <c r="AW111" s="92" t="e">
        <f t="shared" si="63"/>
        <v>#DIV/0!</v>
      </c>
    </row>
    <row r="112" spans="1:49">
      <c r="A112" s="28" t="s">
        <v>4</v>
      </c>
      <c r="B112" s="91">
        <f>SUM(B100:B111)</f>
        <v>0</v>
      </c>
      <c r="C112" s="91">
        <f t="shared" ref="C112:M112" si="67">SUM(C100:C111)</f>
        <v>0</v>
      </c>
      <c r="D112" s="91">
        <f t="shared" si="67"/>
        <v>18.8</v>
      </c>
      <c r="E112" s="91">
        <f t="shared" si="67"/>
        <v>37.049999999999997</v>
      </c>
      <c r="F112" s="91">
        <f t="shared" si="67"/>
        <v>0</v>
      </c>
      <c r="G112" s="91">
        <f t="shared" si="67"/>
        <v>0</v>
      </c>
      <c r="H112" s="91">
        <f t="shared" si="67"/>
        <v>0</v>
      </c>
      <c r="I112" s="91">
        <f t="shared" si="67"/>
        <v>0</v>
      </c>
      <c r="J112" s="91">
        <f t="shared" si="67"/>
        <v>0</v>
      </c>
      <c r="K112" s="91">
        <f t="shared" si="67"/>
        <v>0</v>
      </c>
      <c r="L112" s="91">
        <f t="shared" si="67"/>
        <v>13.74</v>
      </c>
      <c r="M112" s="91">
        <f t="shared" si="67"/>
        <v>2.1639999999999997</v>
      </c>
      <c r="N112" s="127">
        <f t="shared" si="64"/>
        <v>71.753999999999991</v>
      </c>
      <c r="P112" s="128" t="s">
        <v>4</v>
      </c>
      <c r="Q112" s="91">
        <f>SUM(Q100:Q111)</f>
        <v>0</v>
      </c>
      <c r="R112" s="91">
        <f t="shared" ref="R112:AB112" si="68">SUM(R100:R111)</f>
        <v>0</v>
      </c>
      <c r="S112" s="91">
        <f t="shared" si="68"/>
        <v>2641762.46</v>
      </c>
      <c r="T112" s="91">
        <f t="shared" si="68"/>
        <v>6214665.6699999999</v>
      </c>
      <c r="U112" s="91">
        <f t="shared" si="68"/>
        <v>0</v>
      </c>
      <c r="V112" s="91">
        <f t="shared" si="68"/>
        <v>0</v>
      </c>
      <c r="W112" s="91">
        <f t="shared" si="68"/>
        <v>0</v>
      </c>
      <c r="X112" s="91">
        <f t="shared" si="68"/>
        <v>0</v>
      </c>
      <c r="Y112" s="91">
        <f t="shared" si="68"/>
        <v>0</v>
      </c>
      <c r="Z112" s="91">
        <f t="shared" si="68"/>
        <v>0</v>
      </c>
      <c r="AA112" s="91">
        <f t="shared" si="68"/>
        <v>893233.6</v>
      </c>
      <c r="AB112" s="91">
        <f t="shared" si="68"/>
        <v>146090.58000000002</v>
      </c>
      <c r="AC112" s="127">
        <f t="shared" si="65"/>
        <v>9895752.3099999987</v>
      </c>
      <c r="AE112" s="128" t="s">
        <v>4</v>
      </c>
      <c r="AF112" s="91">
        <f>SUM(AF100:AF111)</f>
        <v>0</v>
      </c>
      <c r="AG112" s="91">
        <f t="shared" ref="AG112:AQ112" si="69">SUM(AG100:AG111)</f>
        <v>0</v>
      </c>
      <c r="AH112" s="91">
        <f t="shared" si="69"/>
        <v>42781.578299595138</v>
      </c>
      <c r="AI112" s="91">
        <f t="shared" si="69"/>
        <v>99673.868003207695</v>
      </c>
      <c r="AJ112" s="91">
        <f t="shared" si="69"/>
        <v>0</v>
      </c>
      <c r="AK112" s="91">
        <f t="shared" si="69"/>
        <v>0</v>
      </c>
      <c r="AL112" s="91">
        <f t="shared" si="69"/>
        <v>0</v>
      </c>
      <c r="AM112" s="91">
        <f t="shared" si="69"/>
        <v>0</v>
      </c>
      <c r="AN112" s="91">
        <f t="shared" si="69"/>
        <v>0</v>
      </c>
      <c r="AO112" s="91">
        <f t="shared" si="69"/>
        <v>0</v>
      </c>
      <c r="AP112" s="91">
        <f t="shared" si="69"/>
        <v>13331.844776119402</v>
      </c>
      <c r="AQ112" s="91">
        <f t="shared" si="69"/>
        <v>2320.7399523431295</v>
      </c>
      <c r="AR112" s="127">
        <f t="shared" si="66"/>
        <v>158108.03103126536</v>
      </c>
    </row>
    <row r="115" spans="1:35">
      <c r="A115" s="31"/>
      <c r="B115" s="31"/>
      <c r="C115" s="31"/>
      <c r="D115" s="42"/>
    </row>
    <row r="116" spans="1:35">
      <c r="A116" s="160" t="s">
        <v>52</v>
      </c>
      <c r="B116" s="157" t="s">
        <v>21</v>
      </c>
      <c r="C116" s="157"/>
      <c r="D116" s="157" t="s">
        <v>84</v>
      </c>
      <c r="E116" s="157"/>
      <c r="F116" s="422" t="s">
        <v>85</v>
      </c>
      <c r="G116" s="423"/>
      <c r="AH116" s="421" t="s">
        <v>84</v>
      </c>
      <c r="AI116" s="421"/>
    </row>
    <row r="117" spans="1:35">
      <c r="A117" s="140" t="s">
        <v>32</v>
      </c>
      <c r="B117" s="156" t="s">
        <v>109</v>
      </c>
      <c r="C117" s="156" t="s">
        <v>110</v>
      </c>
      <c r="D117" s="156" t="s">
        <v>109</v>
      </c>
      <c r="E117" s="156" t="s">
        <v>110</v>
      </c>
      <c r="F117" s="27" t="s">
        <v>109</v>
      </c>
      <c r="G117" s="139" t="s">
        <v>110</v>
      </c>
    </row>
    <row r="118" spans="1:35">
      <c r="A118" s="9">
        <v>41365</v>
      </c>
      <c r="B118" s="42">
        <f>G20+G36+G52+G68</f>
        <v>3426.1799999999994</v>
      </c>
      <c r="C118" s="42">
        <f t="shared" ref="C118:C129" si="70">G84+G100</f>
        <v>0</v>
      </c>
      <c r="D118" s="42">
        <f>AK20+AK36+AK52+AK68</f>
        <v>4879212.3485843847</v>
      </c>
      <c r="E118" s="42">
        <f t="shared" ref="E118:E129" si="71">AK84+AK100</f>
        <v>0</v>
      </c>
      <c r="F118" s="88">
        <f>IF(B118&lt;=0,0,D118/B118)</f>
        <v>1424.0969092646578</v>
      </c>
      <c r="G118" s="43">
        <f>IF(C118&lt;=0,0,E118/C118)</f>
        <v>0</v>
      </c>
    </row>
    <row r="119" spans="1:35">
      <c r="A119" s="9">
        <v>41395</v>
      </c>
      <c r="B119" s="42">
        <f t="shared" ref="B119:B130" si="72">G21+G37+G53+G69</f>
        <v>3400.0699999999997</v>
      </c>
      <c r="C119" s="42">
        <f t="shared" si="70"/>
        <v>0</v>
      </c>
      <c r="D119" s="42">
        <f t="shared" ref="D119:D130" si="73">AK21+AK37+AK53+AK69</f>
        <v>4715693.0481751775</v>
      </c>
      <c r="E119" s="42">
        <f t="shared" si="71"/>
        <v>0</v>
      </c>
      <c r="F119" s="88">
        <f t="shared" ref="F119:F129" si="74">IF(B119&lt;=0,0,D119/B119)</f>
        <v>1386.9399889341037</v>
      </c>
      <c r="G119" s="43">
        <f t="shared" ref="G119:G129" si="75">IF(C119&lt;=0,0,E119/C119)</f>
        <v>0</v>
      </c>
    </row>
    <row r="120" spans="1:35">
      <c r="A120" s="9">
        <v>41426</v>
      </c>
      <c r="B120" s="42">
        <f t="shared" si="72"/>
        <v>2534</v>
      </c>
      <c r="C120" s="42">
        <f t="shared" si="70"/>
        <v>0</v>
      </c>
      <c r="D120" s="42">
        <f t="shared" si="73"/>
        <v>3538104.1493778196</v>
      </c>
      <c r="E120" s="42">
        <f t="shared" si="71"/>
        <v>0</v>
      </c>
      <c r="F120" s="88">
        <f t="shared" si="74"/>
        <v>1396.2526240638595</v>
      </c>
      <c r="G120" s="43">
        <f t="shared" si="75"/>
        <v>0</v>
      </c>
    </row>
    <row r="121" spans="1:35">
      <c r="A121" s="9">
        <v>41456</v>
      </c>
      <c r="B121" s="42">
        <f t="shared" si="72"/>
        <v>3982.8900000000003</v>
      </c>
      <c r="C121" s="42">
        <f t="shared" si="70"/>
        <v>0</v>
      </c>
      <c r="D121" s="42">
        <f t="shared" si="73"/>
        <v>5631945.3774325801</v>
      </c>
      <c r="E121" s="42">
        <f t="shared" si="71"/>
        <v>0</v>
      </c>
      <c r="F121" s="88">
        <f t="shared" si="74"/>
        <v>1414.0348785511474</v>
      </c>
      <c r="G121" s="43">
        <f t="shared" si="75"/>
        <v>0</v>
      </c>
    </row>
    <row r="122" spans="1:35">
      <c r="A122" s="9">
        <v>41487</v>
      </c>
      <c r="B122" s="42">
        <f t="shared" si="72"/>
        <v>3252.4500000000007</v>
      </c>
      <c r="C122" s="42">
        <f t="shared" si="70"/>
        <v>0</v>
      </c>
      <c r="D122" s="42">
        <f t="shared" si="73"/>
        <v>4791260.8754753657</v>
      </c>
      <c r="E122" s="42">
        <f t="shared" si="71"/>
        <v>0</v>
      </c>
      <c r="F122" s="88">
        <f t="shared" si="74"/>
        <v>1473.1236069656304</v>
      </c>
      <c r="G122" s="43">
        <f t="shared" si="75"/>
        <v>0</v>
      </c>
    </row>
    <row r="123" spans="1:35">
      <c r="A123" s="9">
        <v>41518</v>
      </c>
      <c r="B123" s="42">
        <f t="shared" si="72"/>
        <v>2585.4199999999996</v>
      </c>
      <c r="C123" s="42">
        <f t="shared" si="70"/>
        <v>0</v>
      </c>
      <c r="D123" s="42">
        <f t="shared" si="73"/>
        <v>3791754.9462760855</v>
      </c>
      <c r="E123" s="42">
        <f t="shared" si="71"/>
        <v>0</v>
      </c>
      <c r="F123" s="88">
        <f t="shared" si="74"/>
        <v>1466.5914807946431</v>
      </c>
      <c r="G123" s="43">
        <f t="shared" si="75"/>
        <v>0</v>
      </c>
    </row>
    <row r="124" spans="1:35">
      <c r="A124" s="9">
        <v>41548</v>
      </c>
      <c r="B124" s="42">
        <f t="shared" si="72"/>
        <v>3324.2399999999993</v>
      </c>
      <c r="C124" s="42">
        <f t="shared" si="70"/>
        <v>0</v>
      </c>
      <c r="D124" s="42">
        <f t="shared" si="73"/>
        <v>5038233.9208727805</v>
      </c>
      <c r="E124" s="42">
        <f t="shared" si="71"/>
        <v>0</v>
      </c>
      <c r="F124" s="88">
        <f t="shared" si="74"/>
        <v>1515.6047460089469</v>
      </c>
      <c r="G124" s="43">
        <f t="shared" si="75"/>
        <v>0</v>
      </c>
    </row>
    <row r="125" spans="1:35">
      <c r="A125" s="9">
        <v>41579</v>
      </c>
      <c r="B125" s="42">
        <f t="shared" si="72"/>
        <v>3121.4800000000005</v>
      </c>
      <c r="C125" s="42">
        <f t="shared" si="70"/>
        <v>0</v>
      </c>
      <c r="D125" s="42">
        <f t="shared" si="73"/>
        <v>4726112.9621948879</v>
      </c>
      <c r="E125" s="42">
        <f t="shared" si="71"/>
        <v>0</v>
      </c>
      <c r="F125" s="88">
        <f t="shared" si="74"/>
        <v>1514.0615868738187</v>
      </c>
      <c r="G125" s="43">
        <f t="shared" si="75"/>
        <v>0</v>
      </c>
    </row>
    <row r="126" spans="1:35">
      <c r="A126" s="9">
        <v>41609</v>
      </c>
      <c r="B126" s="42">
        <f t="shared" si="72"/>
        <v>3139.0799999999995</v>
      </c>
      <c r="C126" s="42">
        <f t="shared" si="70"/>
        <v>0</v>
      </c>
      <c r="D126" s="42">
        <f t="shared" si="73"/>
        <v>4968698.6572545869</v>
      </c>
      <c r="E126" s="42">
        <f t="shared" si="71"/>
        <v>0</v>
      </c>
      <c r="F126" s="88">
        <f t="shared" si="74"/>
        <v>1582.8518729228269</v>
      </c>
      <c r="G126" s="43">
        <f t="shared" si="75"/>
        <v>0</v>
      </c>
    </row>
    <row r="127" spans="1:35">
      <c r="A127" s="9">
        <v>41640</v>
      </c>
      <c r="B127" s="42">
        <f t="shared" si="72"/>
        <v>3433.3</v>
      </c>
      <c r="C127" s="42">
        <f t="shared" si="70"/>
        <v>0</v>
      </c>
      <c r="D127" s="42">
        <f t="shared" si="73"/>
        <v>5486522.2607256528</v>
      </c>
      <c r="E127" s="42">
        <f t="shared" si="71"/>
        <v>0</v>
      </c>
      <c r="F127" s="88">
        <f t="shared" si="74"/>
        <v>1598.0317073153096</v>
      </c>
      <c r="G127" s="43">
        <f t="shared" si="75"/>
        <v>0</v>
      </c>
    </row>
    <row r="128" spans="1:35">
      <c r="A128" s="9">
        <v>41671</v>
      </c>
      <c r="B128" s="42">
        <f t="shared" si="72"/>
        <v>4852.369999999999</v>
      </c>
      <c r="C128" s="42">
        <f t="shared" si="70"/>
        <v>0</v>
      </c>
      <c r="D128" s="42">
        <f t="shared" si="73"/>
        <v>7735813.2092185142</v>
      </c>
      <c r="E128" s="42">
        <f t="shared" si="71"/>
        <v>0</v>
      </c>
      <c r="F128" s="88">
        <f t="shared" si="74"/>
        <v>1594.2339947733819</v>
      </c>
      <c r="G128" s="43">
        <f t="shared" si="75"/>
        <v>0</v>
      </c>
    </row>
    <row r="129" spans="1:49">
      <c r="A129" s="9">
        <v>41699</v>
      </c>
      <c r="B129" s="42">
        <f t="shared" si="72"/>
        <v>5995.94</v>
      </c>
      <c r="C129" s="42">
        <f t="shared" si="70"/>
        <v>0</v>
      </c>
      <c r="D129" s="42">
        <f t="shared" si="73"/>
        <v>9644234.6690907292</v>
      </c>
      <c r="E129" s="42">
        <f t="shared" si="71"/>
        <v>0</v>
      </c>
      <c r="F129" s="88">
        <f t="shared" si="74"/>
        <v>1608.4608366812761</v>
      </c>
      <c r="G129" s="43">
        <f t="shared" si="75"/>
        <v>0</v>
      </c>
    </row>
    <row r="130" spans="1:49">
      <c r="A130" s="141" t="s">
        <v>20</v>
      </c>
      <c r="B130" s="131">
        <f t="shared" si="72"/>
        <v>43047.42</v>
      </c>
      <c r="C130" s="93"/>
      <c r="D130" s="131">
        <f t="shared" si="73"/>
        <v>64947586.424678557</v>
      </c>
      <c r="E130" s="93"/>
      <c r="F130" s="130">
        <f t="shared" ref="F130" si="76">IF(B130&lt;=0,0,D130/B130)</f>
        <v>1508.7451564966857</v>
      </c>
      <c r="G130" s="129">
        <f t="shared" ref="G130" si="77">IF(C130&lt;=0,0,E130/C130)</f>
        <v>0</v>
      </c>
    </row>
    <row r="134" spans="1:49" s="40" customFormat="1">
      <c r="A134" s="25" t="s">
        <v>22</v>
      </c>
      <c r="B134" s="16" t="s">
        <v>133</v>
      </c>
      <c r="C134" s="16" t="s">
        <v>19</v>
      </c>
      <c r="D134" s="150" t="s">
        <v>17</v>
      </c>
      <c r="E134" s="150" t="s">
        <v>24</v>
      </c>
      <c r="F134" s="150" t="s">
        <v>10</v>
      </c>
      <c r="G134" s="150" t="s">
        <v>11</v>
      </c>
      <c r="H134" s="150" t="s">
        <v>12</v>
      </c>
      <c r="I134" s="150" t="s">
        <v>13</v>
      </c>
      <c r="J134" s="150" t="s">
        <v>14</v>
      </c>
      <c r="K134" s="150" t="s">
        <v>18</v>
      </c>
      <c r="L134" s="150" t="s">
        <v>15</v>
      </c>
      <c r="M134" s="150" t="s">
        <v>16</v>
      </c>
      <c r="N134" s="27" t="s">
        <v>20</v>
      </c>
      <c r="P134" s="25" t="s">
        <v>22</v>
      </c>
      <c r="Q134" s="156" t="s">
        <v>133</v>
      </c>
      <c r="R134" s="156" t="s">
        <v>19</v>
      </c>
      <c r="S134" s="150" t="s">
        <v>17</v>
      </c>
      <c r="T134" s="150" t="s">
        <v>24</v>
      </c>
      <c r="U134" s="150" t="s">
        <v>10</v>
      </c>
      <c r="V134" s="150" t="s">
        <v>11</v>
      </c>
      <c r="W134" s="150" t="s">
        <v>12</v>
      </c>
      <c r="X134" s="150" t="s">
        <v>13</v>
      </c>
      <c r="Y134" s="150" t="s">
        <v>14</v>
      </c>
      <c r="Z134" s="150" t="s">
        <v>18</v>
      </c>
      <c r="AA134" s="150" t="s">
        <v>15</v>
      </c>
      <c r="AB134" s="150" t="s">
        <v>16</v>
      </c>
      <c r="AC134" s="27" t="s">
        <v>20</v>
      </c>
      <c r="AE134" s="25" t="s">
        <v>22</v>
      </c>
      <c r="AF134" s="156" t="s">
        <v>133</v>
      </c>
      <c r="AG134" s="156" t="s">
        <v>19</v>
      </c>
      <c r="AH134" s="150" t="s">
        <v>17</v>
      </c>
      <c r="AI134" s="150" t="s">
        <v>24</v>
      </c>
      <c r="AJ134" s="150" t="s">
        <v>10</v>
      </c>
      <c r="AK134" s="150" t="s">
        <v>11</v>
      </c>
      <c r="AL134" s="150" t="s">
        <v>12</v>
      </c>
      <c r="AM134" s="150" t="s">
        <v>13</v>
      </c>
      <c r="AN134" s="150" t="s">
        <v>14</v>
      </c>
      <c r="AO134" s="150" t="s">
        <v>18</v>
      </c>
      <c r="AP134" s="150" t="s">
        <v>15</v>
      </c>
      <c r="AQ134" s="150" t="s">
        <v>16</v>
      </c>
      <c r="AR134" s="27" t="s">
        <v>20</v>
      </c>
      <c r="AU134" s="150" t="s">
        <v>11</v>
      </c>
      <c r="AV134" s="150" t="s">
        <v>12</v>
      </c>
      <c r="AW134" s="150" t="s">
        <v>13</v>
      </c>
    </row>
    <row r="135" spans="1:49" s="40" customFormat="1">
      <c r="A135" s="9" t="s">
        <v>119</v>
      </c>
      <c r="B135" s="41">
        <f t="shared" ref="B135" si="78">SUM(B4:B9)</f>
        <v>0</v>
      </c>
      <c r="C135" s="41">
        <f t="shared" ref="C135:N135" si="79">SUM(C4:C9)</f>
        <v>0</v>
      </c>
      <c r="D135" s="41">
        <f t="shared" si="79"/>
        <v>19.760000000000002</v>
      </c>
      <c r="E135" s="41">
        <f t="shared" si="79"/>
        <v>20.09</v>
      </c>
      <c r="F135" s="41">
        <f t="shared" si="79"/>
        <v>251.29000000000002</v>
      </c>
      <c r="G135" s="41">
        <f t="shared" si="79"/>
        <v>19181.009999999998</v>
      </c>
      <c r="H135" s="41">
        <f t="shared" si="79"/>
        <v>5544.6700049999999</v>
      </c>
      <c r="I135" s="41">
        <f t="shared" si="79"/>
        <v>813.17</v>
      </c>
      <c r="J135" s="41">
        <f t="shared" si="79"/>
        <v>0</v>
      </c>
      <c r="K135" s="41">
        <f t="shared" si="79"/>
        <v>128.19999999999999</v>
      </c>
      <c r="L135" s="41">
        <f t="shared" si="79"/>
        <v>68.94</v>
      </c>
      <c r="M135" s="41">
        <f t="shared" si="79"/>
        <v>180.4</v>
      </c>
      <c r="N135" s="6">
        <f t="shared" si="79"/>
        <v>26207.530005000001</v>
      </c>
      <c r="P135" s="9" t="s">
        <v>119</v>
      </c>
      <c r="Q135" s="41">
        <f t="shared" ref="Q135:AC135" si="80">SUM(Q4:Q9)</f>
        <v>0</v>
      </c>
      <c r="R135" s="41">
        <f t="shared" si="80"/>
        <v>0</v>
      </c>
      <c r="S135" s="41">
        <f t="shared" si="80"/>
        <v>2999857.49</v>
      </c>
      <c r="T135" s="41">
        <f t="shared" si="80"/>
        <v>2282320.4300000002</v>
      </c>
      <c r="U135" s="41">
        <f t="shared" si="80"/>
        <v>22654663.590000004</v>
      </c>
      <c r="V135" s="41">
        <f t="shared" si="80"/>
        <v>1605732813.4899998</v>
      </c>
      <c r="W135" s="41">
        <f t="shared" si="80"/>
        <v>469989318.16000003</v>
      </c>
      <c r="X135" s="41">
        <f t="shared" si="80"/>
        <v>70697823.280000001</v>
      </c>
      <c r="Y135" s="41">
        <f t="shared" si="80"/>
        <v>0</v>
      </c>
      <c r="Z135" s="41">
        <f t="shared" si="80"/>
        <v>11259469.16</v>
      </c>
      <c r="AA135" s="41">
        <f t="shared" si="80"/>
        <v>5379912.1000000006</v>
      </c>
      <c r="AB135" s="41">
        <f t="shared" si="80"/>
        <v>15384433.48</v>
      </c>
      <c r="AC135" s="6">
        <f t="shared" si="80"/>
        <v>2206380611.1799998</v>
      </c>
      <c r="AE135" s="9" t="s">
        <v>119</v>
      </c>
      <c r="AF135" s="41">
        <f t="shared" ref="AF135:AR135" si="81">SUM(AF4:AF9)</f>
        <v>0</v>
      </c>
      <c r="AG135" s="41">
        <f t="shared" si="81"/>
        <v>0</v>
      </c>
      <c r="AH135" s="41">
        <f t="shared" si="81"/>
        <v>47503.681551860653</v>
      </c>
      <c r="AI135" s="41">
        <f t="shared" si="81"/>
        <v>38552.709966216215</v>
      </c>
      <c r="AJ135" s="41">
        <f t="shared" si="81"/>
        <v>389468.87740165245</v>
      </c>
      <c r="AK135" s="41">
        <f t="shared" si="81"/>
        <v>27347970.745321415</v>
      </c>
      <c r="AL135" s="41">
        <f t="shared" si="81"/>
        <v>7813659.6898418982</v>
      </c>
      <c r="AM135" s="41">
        <f t="shared" si="81"/>
        <v>1205140.8150059963</v>
      </c>
      <c r="AN135" s="41">
        <f t="shared" si="81"/>
        <v>0</v>
      </c>
      <c r="AO135" s="41">
        <f t="shared" si="81"/>
        <v>196623.66051331878</v>
      </c>
      <c r="AP135" s="41">
        <f t="shared" si="81"/>
        <v>91807.033075807543</v>
      </c>
      <c r="AQ135" s="41">
        <f t="shared" si="81"/>
        <v>251230.15538357999</v>
      </c>
      <c r="AR135" s="6">
        <f t="shared" si="81"/>
        <v>37381957.368061744</v>
      </c>
      <c r="AU135" s="92">
        <f t="shared" ref="AU135:AW141" si="82">+AK135/G135</f>
        <v>1425.7836654754581</v>
      </c>
      <c r="AV135" s="92">
        <f t="shared" si="82"/>
        <v>1409.2199685095413</v>
      </c>
      <c r="AW135" s="92">
        <f t="shared" si="82"/>
        <v>1482.0281306565619</v>
      </c>
    </row>
    <row r="136" spans="1:49" s="40" customFormat="1">
      <c r="A136" s="151" t="s">
        <v>117</v>
      </c>
      <c r="B136" s="41">
        <f>SUM(B20:B25)+SUM(B36:B41)+SUM(B52:B57)+SUM(B68:B73)</f>
        <v>0</v>
      </c>
      <c r="C136" s="41">
        <f t="shared" ref="C136:N136" si="83">SUM(C20:C25)+SUM(C36:C41)+SUM(C52:C57)+SUM(C68:C73)</f>
        <v>0</v>
      </c>
      <c r="D136" s="41">
        <f t="shared" si="83"/>
        <v>19.760000000000002</v>
      </c>
      <c r="E136" s="41">
        <f t="shared" si="83"/>
        <v>20.09</v>
      </c>
      <c r="F136" s="41">
        <f t="shared" si="83"/>
        <v>251.29000000000002</v>
      </c>
      <c r="G136" s="41">
        <f t="shared" si="83"/>
        <v>19181.009999999998</v>
      </c>
      <c r="H136" s="41">
        <f t="shared" si="83"/>
        <v>5544.6700049999999</v>
      </c>
      <c r="I136" s="41">
        <f t="shared" si="83"/>
        <v>813.17000000000007</v>
      </c>
      <c r="J136" s="41">
        <f t="shared" si="83"/>
        <v>0</v>
      </c>
      <c r="K136" s="41">
        <f t="shared" si="83"/>
        <v>128.19999999999999</v>
      </c>
      <c r="L136" s="41">
        <f t="shared" si="83"/>
        <v>55.2</v>
      </c>
      <c r="M136" s="41">
        <f t="shared" si="83"/>
        <v>180.39999999999998</v>
      </c>
      <c r="N136" s="6">
        <f t="shared" si="83"/>
        <v>26193.790005000003</v>
      </c>
      <c r="P136" s="151" t="s">
        <v>117</v>
      </c>
      <c r="Q136" s="41">
        <f>SUM(Q20:Q25)+SUM(Q36:Q41)+SUM(Q52:Q57)+SUM(Q68:Q73)</f>
        <v>0</v>
      </c>
      <c r="R136" s="41">
        <f t="shared" ref="R136:AC136" si="84">SUM(R20:R25)+SUM(R36:R41)+SUM(R52:R57)+SUM(R68:R73)</f>
        <v>0</v>
      </c>
      <c r="S136" s="41">
        <f t="shared" si="84"/>
        <v>2999857.49</v>
      </c>
      <c r="T136" s="41">
        <f t="shared" si="84"/>
        <v>2282320.4300000002</v>
      </c>
      <c r="U136" s="41">
        <f t="shared" si="84"/>
        <v>22654663.59</v>
      </c>
      <c r="V136" s="41">
        <f t="shared" si="84"/>
        <v>1605732813.49</v>
      </c>
      <c r="W136" s="41">
        <f t="shared" si="84"/>
        <v>469989318.15999997</v>
      </c>
      <c r="X136" s="41">
        <f t="shared" si="84"/>
        <v>70697823.280000001</v>
      </c>
      <c r="Y136" s="41">
        <f t="shared" si="84"/>
        <v>0</v>
      </c>
      <c r="Z136" s="41">
        <f t="shared" si="84"/>
        <v>11259469.160000002</v>
      </c>
      <c r="AA136" s="41">
        <f t="shared" si="84"/>
        <v>4486678.5</v>
      </c>
      <c r="AB136" s="41">
        <f t="shared" si="84"/>
        <v>15384433.479999999</v>
      </c>
      <c r="AC136" s="6">
        <f t="shared" si="84"/>
        <v>2205487377.5799999</v>
      </c>
      <c r="AE136" s="151" t="s">
        <v>117</v>
      </c>
      <c r="AF136" s="41">
        <f>SUM(AF20:AF25)+SUM(AF36:AF41)+SUM(AF52:AF57)+SUM(AF68:AF73)</f>
        <v>0</v>
      </c>
      <c r="AG136" s="41">
        <f t="shared" ref="AG136:AR136" si="85">SUM(AG20:AG25)+SUM(AG36:AG41)+SUM(AG52:AG57)+SUM(AG68:AG73)</f>
        <v>0</v>
      </c>
      <c r="AH136" s="41">
        <f t="shared" si="85"/>
        <v>47503.681551860653</v>
      </c>
      <c r="AI136" s="41">
        <f t="shared" si="85"/>
        <v>38552.709966216215</v>
      </c>
      <c r="AJ136" s="41">
        <f t="shared" si="85"/>
        <v>389468.8774016524</v>
      </c>
      <c r="AK136" s="41">
        <f t="shared" si="85"/>
        <v>27347970.745321412</v>
      </c>
      <c r="AL136" s="41">
        <f t="shared" si="85"/>
        <v>7813659.6898418982</v>
      </c>
      <c r="AM136" s="41">
        <f t="shared" si="85"/>
        <v>1205140.8150059963</v>
      </c>
      <c r="AN136" s="41">
        <f t="shared" si="85"/>
        <v>0</v>
      </c>
      <c r="AO136" s="41">
        <f t="shared" si="85"/>
        <v>196623.66051331878</v>
      </c>
      <c r="AP136" s="41">
        <f t="shared" si="85"/>
        <v>78475.188299688132</v>
      </c>
      <c r="AQ136" s="41">
        <f t="shared" si="85"/>
        <v>251230.15538357999</v>
      </c>
      <c r="AR136" s="6">
        <f t="shared" si="85"/>
        <v>37368625.52328562</v>
      </c>
      <c r="AU136" s="92">
        <f t="shared" si="82"/>
        <v>1425.7836654754581</v>
      </c>
      <c r="AV136" s="92">
        <f t="shared" si="82"/>
        <v>1409.2199685095413</v>
      </c>
      <c r="AW136" s="92">
        <f t="shared" si="82"/>
        <v>1482.0281306565616</v>
      </c>
    </row>
    <row r="137" spans="1:49" s="40" customFormat="1">
      <c r="A137" s="151" t="s">
        <v>120</v>
      </c>
      <c r="B137" s="41">
        <f t="shared" ref="B137" si="86">SUM(B84:B89)+SUM(B100:B105)</f>
        <v>0</v>
      </c>
      <c r="C137" s="41">
        <f t="shared" ref="C137:N137" si="87">SUM(C84:C89)+SUM(C100:C105)</f>
        <v>0</v>
      </c>
      <c r="D137" s="41">
        <f t="shared" si="87"/>
        <v>0</v>
      </c>
      <c r="E137" s="41">
        <f t="shared" si="87"/>
        <v>0</v>
      </c>
      <c r="F137" s="41">
        <f t="shared" si="87"/>
        <v>0</v>
      </c>
      <c r="G137" s="41">
        <f t="shared" si="87"/>
        <v>0</v>
      </c>
      <c r="H137" s="41">
        <f t="shared" si="87"/>
        <v>0</v>
      </c>
      <c r="I137" s="41">
        <f t="shared" si="87"/>
        <v>0</v>
      </c>
      <c r="J137" s="41">
        <f t="shared" si="87"/>
        <v>0</v>
      </c>
      <c r="K137" s="41">
        <f t="shared" si="87"/>
        <v>0</v>
      </c>
      <c r="L137" s="41">
        <f t="shared" si="87"/>
        <v>13.74</v>
      </c>
      <c r="M137" s="41">
        <f t="shared" si="87"/>
        <v>0</v>
      </c>
      <c r="N137" s="6">
        <f t="shared" si="87"/>
        <v>13.74</v>
      </c>
      <c r="P137" s="151" t="s">
        <v>120</v>
      </c>
      <c r="Q137" s="41">
        <f t="shared" ref="Q137" si="88">SUM(Q84:Q89)+SUM(Q100:Q105)</f>
        <v>0</v>
      </c>
      <c r="R137" s="41">
        <f t="shared" ref="R137:AC137" si="89">SUM(R84:R89)+SUM(R100:R105)</f>
        <v>0</v>
      </c>
      <c r="S137" s="41">
        <f t="shared" si="89"/>
        <v>0</v>
      </c>
      <c r="T137" s="41">
        <f t="shared" si="89"/>
        <v>0</v>
      </c>
      <c r="U137" s="41">
        <f t="shared" si="89"/>
        <v>0</v>
      </c>
      <c r="V137" s="41">
        <f t="shared" si="89"/>
        <v>0</v>
      </c>
      <c r="W137" s="41">
        <f t="shared" si="89"/>
        <v>0</v>
      </c>
      <c r="X137" s="41">
        <f t="shared" si="89"/>
        <v>0</v>
      </c>
      <c r="Y137" s="41">
        <f t="shared" si="89"/>
        <v>0</v>
      </c>
      <c r="Z137" s="41">
        <f t="shared" si="89"/>
        <v>0</v>
      </c>
      <c r="AA137" s="41">
        <f t="shared" si="89"/>
        <v>893233.6</v>
      </c>
      <c r="AB137" s="41">
        <f t="shared" si="89"/>
        <v>0</v>
      </c>
      <c r="AC137" s="6">
        <f t="shared" si="89"/>
        <v>893233.6</v>
      </c>
      <c r="AE137" s="151" t="s">
        <v>120</v>
      </c>
      <c r="AF137" s="41">
        <f t="shared" ref="AF137" si="90">SUM(AF84:AF89)+SUM(AF100:AF105)</f>
        <v>0</v>
      </c>
      <c r="AG137" s="41">
        <f t="shared" ref="AG137:AR137" si="91">SUM(AG84:AG89)+SUM(AG100:AG105)</f>
        <v>0</v>
      </c>
      <c r="AH137" s="41">
        <f t="shared" si="91"/>
        <v>0</v>
      </c>
      <c r="AI137" s="41">
        <f t="shared" si="91"/>
        <v>0</v>
      </c>
      <c r="AJ137" s="41">
        <f t="shared" si="91"/>
        <v>0</v>
      </c>
      <c r="AK137" s="41">
        <f t="shared" si="91"/>
        <v>0</v>
      </c>
      <c r="AL137" s="41">
        <f t="shared" si="91"/>
        <v>0</v>
      </c>
      <c r="AM137" s="41">
        <f t="shared" si="91"/>
        <v>0</v>
      </c>
      <c r="AN137" s="41">
        <f t="shared" si="91"/>
        <v>0</v>
      </c>
      <c r="AO137" s="41">
        <f t="shared" si="91"/>
        <v>0</v>
      </c>
      <c r="AP137" s="41">
        <f t="shared" si="91"/>
        <v>13331.844776119402</v>
      </c>
      <c r="AQ137" s="41">
        <f t="shared" si="91"/>
        <v>0</v>
      </c>
      <c r="AR137" s="6">
        <f t="shared" si="91"/>
        <v>13331.844776119402</v>
      </c>
      <c r="AU137" s="92" t="e">
        <f t="shared" si="82"/>
        <v>#DIV/0!</v>
      </c>
      <c r="AV137" s="92" t="e">
        <f t="shared" si="82"/>
        <v>#DIV/0!</v>
      </c>
      <c r="AW137" s="92" t="e">
        <f t="shared" si="82"/>
        <v>#DIV/0!</v>
      </c>
    </row>
    <row r="138" spans="1:49" s="40" customFormat="1">
      <c r="A138" s="9" t="s">
        <v>118</v>
      </c>
      <c r="B138" s="41">
        <f t="shared" ref="B138" si="92">SUM(B10:B15)</f>
        <v>0</v>
      </c>
      <c r="C138" s="41">
        <f t="shared" ref="C138:N138" si="93">SUM(C10:C15)</f>
        <v>0</v>
      </c>
      <c r="D138" s="41">
        <f t="shared" si="93"/>
        <v>38.299999999999997</v>
      </c>
      <c r="E138" s="41">
        <f t="shared" si="93"/>
        <v>37.049999999999997</v>
      </c>
      <c r="F138" s="41">
        <f t="shared" si="93"/>
        <v>426.48</v>
      </c>
      <c r="G138" s="41">
        <f t="shared" si="93"/>
        <v>23866.409999999996</v>
      </c>
      <c r="H138" s="41">
        <f t="shared" si="93"/>
        <v>5209.6499999999996</v>
      </c>
      <c r="I138" s="41">
        <f t="shared" si="93"/>
        <v>1509.6400699999999</v>
      </c>
      <c r="J138" s="41">
        <f t="shared" si="93"/>
        <v>0</v>
      </c>
      <c r="K138" s="41">
        <f t="shared" si="93"/>
        <v>106.8</v>
      </c>
      <c r="L138" s="41">
        <f t="shared" si="93"/>
        <v>62</v>
      </c>
      <c r="M138" s="41">
        <f t="shared" si="93"/>
        <v>3.3639999999999999</v>
      </c>
      <c r="N138" s="6">
        <f t="shared" si="93"/>
        <v>31259.694069999998</v>
      </c>
      <c r="P138" s="9" t="s">
        <v>118</v>
      </c>
      <c r="Q138" s="41">
        <f t="shared" ref="Q138:AC138" si="94">SUM(Q10:Q15)</f>
        <v>0</v>
      </c>
      <c r="R138" s="41">
        <f t="shared" si="94"/>
        <v>0</v>
      </c>
      <c r="S138" s="41">
        <f t="shared" si="94"/>
        <v>6098057.71</v>
      </c>
      <c r="T138" s="41">
        <f t="shared" si="94"/>
        <v>6214665.6699999999</v>
      </c>
      <c r="U138" s="41">
        <f t="shared" si="94"/>
        <v>46792797.969999999</v>
      </c>
      <c r="V138" s="41">
        <f t="shared" si="94"/>
        <v>2350346653.7200003</v>
      </c>
      <c r="W138" s="41">
        <f t="shared" si="94"/>
        <v>531775641.62</v>
      </c>
      <c r="X138" s="41">
        <f t="shared" si="94"/>
        <v>152365199.41</v>
      </c>
      <c r="Y138" s="41">
        <f t="shared" si="94"/>
        <v>0</v>
      </c>
      <c r="Z138" s="41">
        <f t="shared" si="94"/>
        <v>11519792.959999999</v>
      </c>
      <c r="AA138" s="41">
        <f t="shared" si="94"/>
        <v>6480289.5599999996</v>
      </c>
      <c r="AB138" s="41">
        <f t="shared" si="94"/>
        <v>276313.92000000004</v>
      </c>
      <c r="AC138" s="6">
        <f t="shared" si="94"/>
        <v>3111869412.54</v>
      </c>
      <c r="AE138" s="9" t="s">
        <v>118</v>
      </c>
      <c r="AF138" s="41">
        <f t="shared" ref="AF138:AR138" si="95">SUM(AF10:AF15)</f>
        <v>0</v>
      </c>
      <c r="AG138" s="41">
        <f t="shared" si="95"/>
        <v>0</v>
      </c>
      <c r="AH138" s="41">
        <f t="shared" si="95"/>
        <v>98528.275880240297</v>
      </c>
      <c r="AI138" s="41">
        <f t="shared" si="95"/>
        <v>99673.868003207695</v>
      </c>
      <c r="AJ138" s="41">
        <f t="shared" si="95"/>
        <v>748585.36403344176</v>
      </c>
      <c r="AK138" s="41">
        <f t="shared" si="95"/>
        <v>37599615.679357149</v>
      </c>
      <c r="AL138" s="41">
        <f t="shared" si="95"/>
        <v>8501780.114961639</v>
      </c>
      <c r="AM138" s="41">
        <f t="shared" si="95"/>
        <v>2426154.0859441897</v>
      </c>
      <c r="AN138" s="41">
        <f t="shared" si="95"/>
        <v>0</v>
      </c>
      <c r="AO138" s="41">
        <f t="shared" si="95"/>
        <v>185073.00326943374</v>
      </c>
      <c r="AP138" s="41">
        <f t="shared" si="95"/>
        <v>103359.55145686911</v>
      </c>
      <c r="AQ138" s="41">
        <f t="shared" si="95"/>
        <v>4429.6199523431296</v>
      </c>
      <c r="AR138" s="6">
        <f t="shared" si="95"/>
        <v>49767199.562858507</v>
      </c>
      <c r="AU138" s="92">
        <f t="shared" si="82"/>
        <v>1575.4198339573129</v>
      </c>
      <c r="AV138" s="92">
        <f t="shared" si="82"/>
        <v>1631.9292303631989</v>
      </c>
      <c r="AW138" s="92">
        <f t="shared" si="82"/>
        <v>1607.1076372159291</v>
      </c>
    </row>
    <row r="139" spans="1:49" s="40" customFormat="1">
      <c r="A139" s="151" t="s">
        <v>117</v>
      </c>
      <c r="B139" s="41">
        <f>SUM(B26:B31)+SUM(B42:B47)+SUM(B58:B63)+SUM(B74:B79)</f>
        <v>0</v>
      </c>
      <c r="C139" s="41">
        <f t="shared" ref="C139:N139" si="96">SUM(C26:C31)+SUM(C42:C47)+SUM(C58:C63)+SUM(C74:C79)</f>
        <v>0</v>
      </c>
      <c r="D139" s="41">
        <f t="shared" si="96"/>
        <v>19.5</v>
      </c>
      <c r="E139" s="41">
        <f t="shared" si="96"/>
        <v>0</v>
      </c>
      <c r="F139" s="41">
        <f t="shared" si="96"/>
        <v>426.47999999999996</v>
      </c>
      <c r="G139" s="41">
        <f t="shared" si="96"/>
        <v>23866.41</v>
      </c>
      <c r="H139" s="41">
        <f t="shared" si="96"/>
        <v>5209.6499999999996</v>
      </c>
      <c r="I139" s="41">
        <f t="shared" si="96"/>
        <v>1509.6400699999997</v>
      </c>
      <c r="J139" s="41">
        <f t="shared" si="96"/>
        <v>0</v>
      </c>
      <c r="K139" s="41">
        <f t="shared" si="96"/>
        <v>106.8</v>
      </c>
      <c r="L139" s="41">
        <f t="shared" si="96"/>
        <v>62</v>
      </c>
      <c r="M139" s="41">
        <f t="shared" si="96"/>
        <v>1.2</v>
      </c>
      <c r="N139" s="6">
        <f t="shared" si="96"/>
        <v>31201.680069999995</v>
      </c>
      <c r="P139" s="151" t="s">
        <v>117</v>
      </c>
      <c r="Q139" s="41">
        <f>SUM(Q26:Q31)+SUM(Q42:Q47)+SUM(Q58:Q63)+SUM(Q74:Q79)</f>
        <v>0</v>
      </c>
      <c r="R139" s="41">
        <f t="shared" ref="R139:AC139" si="97">SUM(R26:R31)+SUM(R42:R47)+SUM(R58:R63)+SUM(R74:R79)</f>
        <v>0</v>
      </c>
      <c r="S139" s="41">
        <f t="shared" si="97"/>
        <v>3456295.25</v>
      </c>
      <c r="T139" s="41">
        <f t="shared" si="97"/>
        <v>0</v>
      </c>
      <c r="U139" s="41">
        <f t="shared" si="97"/>
        <v>46792797.969999999</v>
      </c>
      <c r="V139" s="41">
        <f t="shared" si="97"/>
        <v>2350346653.7200003</v>
      </c>
      <c r="W139" s="41">
        <f t="shared" si="97"/>
        <v>531775641.62</v>
      </c>
      <c r="X139" s="41">
        <f t="shared" si="97"/>
        <v>152365199.41</v>
      </c>
      <c r="Y139" s="41">
        <f t="shared" si="97"/>
        <v>0</v>
      </c>
      <c r="Z139" s="41">
        <f t="shared" si="97"/>
        <v>11519792.959999999</v>
      </c>
      <c r="AA139" s="41">
        <f t="shared" si="97"/>
        <v>6480289.5600000005</v>
      </c>
      <c r="AB139" s="41">
        <f t="shared" si="97"/>
        <v>130223.34</v>
      </c>
      <c r="AC139" s="6">
        <f t="shared" si="97"/>
        <v>3102866893.8299999</v>
      </c>
      <c r="AE139" s="151" t="s">
        <v>117</v>
      </c>
      <c r="AF139" s="41">
        <f>SUM(AF26:AF31)+SUM(AF42:AF47)+SUM(AF58:AF63)+SUM(AF74:AF79)</f>
        <v>0</v>
      </c>
      <c r="AG139" s="41">
        <f t="shared" ref="AG139:AR139" si="98">SUM(AG26:AG31)+SUM(AG42:AG47)+SUM(AG58:AG63)+SUM(AG74:AG79)</f>
        <v>0</v>
      </c>
      <c r="AH139" s="41">
        <f t="shared" si="98"/>
        <v>55746.697580645159</v>
      </c>
      <c r="AI139" s="41">
        <f t="shared" si="98"/>
        <v>0</v>
      </c>
      <c r="AJ139" s="41">
        <f t="shared" si="98"/>
        <v>748585.36403344199</v>
      </c>
      <c r="AK139" s="41">
        <f t="shared" si="98"/>
        <v>37599615.679357156</v>
      </c>
      <c r="AL139" s="41">
        <f t="shared" si="98"/>
        <v>8501780.1149616372</v>
      </c>
      <c r="AM139" s="41">
        <f t="shared" si="98"/>
        <v>2426154.0859441902</v>
      </c>
      <c r="AN139" s="41">
        <f t="shared" si="98"/>
        <v>0</v>
      </c>
      <c r="AO139" s="41">
        <f t="shared" si="98"/>
        <v>185073.00326943374</v>
      </c>
      <c r="AP139" s="41">
        <f t="shared" si="98"/>
        <v>103359.5514568691</v>
      </c>
      <c r="AQ139" s="41">
        <f t="shared" si="98"/>
        <v>2108.88</v>
      </c>
      <c r="AR139" s="6">
        <f t="shared" si="98"/>
        <v>49622423.376603365</v>
      </c>
      <c r="AU139" s="92">
        <f t="shared" si="82"/>
        <v>1575.4198339573131</v>
      </c>
      <c r="AV139" s="92">
        <f t="shared" si="82"/>
        <v>1631.9292303631987</v>
      </c>
      <c r="AW139" s="92">
        <f t="shared" si="82"/>
        <v>1607.1076372159296</v>
      </c>
    </row>
    <row r="140" spans="1:49" s="40" customFormat="1">
      <c r="A140" s="151" t="s">
        <v>120</v>
      </c>
      <c r="B140" s="41">
        <f t="shared" ref="B140" si="99">SUM(B90:B95)+SUM(B106:B111)</f>
        <v>0</v>
      </c>
      <c r="C140" s="41">
        <f t="shared" ref="C140:N140" si="100">SUM(C90:C95)+SUM(C106:C111)</f>
        <v>0</v>
      </c>
      <c r="D140" s="41">
        <f t="shared" si="100"/>
        <v>18.8</v>
      </c>
      <c r="E140" s="41">
        <f t="shared" si="100"/>
        <v>37.049999999999997</v>
      </c>
      <c r="F140" s="41">
        <f t="shared" si="100"/>
        <v>0</v>
      </c>
      <c r="G140" s="41">
        <f t="shared" si="100"/>
        <v>0</v>
      </c>
      <c r="H140" s="41">
        <f t="shared" si="100"/>
        <v>0</v>
      </c>
      <c r="I140" s="41">
        <f t="shared" si="100"/>
        <v>0</v>
      </c>
      <c r="J140" s="41">
        <f t="shared" si="100"/>
        <v>0</v>
      </c>
      <c r="K140" s="41">
        <f t="shared" si="100"/>
        <v>0</v>
      </c>
      <c r="L140" s="41">
        <f t="shared" si="100"/>
        <v>0</v>
      </c>
      <c r="M140" s="41">
        <f t="shared" si="100"/>
        <v>2.1639999999999997</v>
      </c>
      <c r="N140" s="6">
        <f t="shared" si="100"/>
        <v>58.013999999999996</v>
      </c>
      <c r="P140" s="151" t="s">
        <v>120</v>
      </c>
      <c r="Q140" s="41">
        <f t="shared" ref="Q140" si="101">SUM(Q90:Q95)+SUM(Q106:Q111)</f>
        <v>0</v>
      </c>
      <c r="R140" s="41">
        <f t="shared" ref="R140:AC140" si="102">SUM(R90:R95)+SUM(R106:R111)</f>
        <v>0</v>
      </c>
      <c r="S140" s="41">
        <f t="shared" si="102"/>
        <v>2641762.46</v>
      </c>
      <c r="T140" s="41">
        <f t="shared" si="102"/>
        <v>6214665.6699999999</v>
      </c>
      <c r="U140" s="41">
        <f t="shared" si="102"/>
        <v>0</v>
      </c>
      <c r="V140" s="41">
        <f t="shared" si="102"/>
        <v>0</v>
      </c>
      <c r="W140" s="41">
        <f t="shared" si="102"/>
        <v>0</v>
      </c>
      <c r="X140" s="41">
        <f t="shared" si="102"/>
        <v>0</v>
      </c>
      <c r="Y140" s="41">
        <f t="shared" si="102"/>
        <v>0</v>
      </c>
      <c r="Z140" s="41">
        <f t="shared" si="102"/>
        <v>0</v>
      </c>
      <c r="AA140" s="41">
        <f t="shared" si="102"/>
        <v>0</v>
      </c>
      <c r="AB140" s="41">
        <f t="shared" si="102"/>
        <v>146090.58000000002</v>
      </c>
      <c r="AC140" s="6">
        <f t="shared" si="102"/>
        <v>9002518.7100000009</v>
      </c>
      <c r="AE140" s="151" t="s">
        <v>120</v>
      </c>
      <c r="AF140" s="41">
        <f t="shared" ref="AF140" si="103">SUM(AF90:AF95)+SUM(AF106:AF111)</f>
        <v>0</v>
      </c>
      <c r="AG140" s="41">
        <f t="shared" ref="AG140:AR140" si="104">SUM(AG90:AG95)+SUM(AG106:AG111)</f>
        <v>0</v>
      </c>
      <c r="AH140" s="41">
        <f t="shared" si="104"/>
        <v>42781.578299595138</v>
      </c>
      <c r="AI140" s="41">
        <f t="shared" si="104"/>
        <v>99673.868003207695</v>
      </c>
      <c r="AJ140" s="41">
        <f t="shared" si="104"/>
        <v>0</v>
      </c>
      <c r="AK140" s="41">
        <f t="shared" si="104"/>
        <v>0</v>
      </c>
      <c r="AL140" s="41">
        <f t="shared" si="104"/>
        <v>0</v>
      </c>
      <c r="AM140" s="41">
        <f t="shared" si="104"/>
        <v>0</v>
      </c>
      <c r="AN140" s="41">
        <f t="shared" si="104"/>
        <v>0</v>
      </c>
      <c r="AO140" s="41">
        <f t="shared" si="104"/>
        <v>0</v>
      </c>
      <c r="AP140" s="41">
        <f t="shared" si="104"/>
        <v>0</v>
      </c>
      <c r="AQ140" s="41">
        <f t="shared" si="104"/>
        <v>2320.7399523431295</v>
      </c>
      <c r="AR140" s="6">
        <f t="shared" si="104"/>
        <v>144776.18625514596</v>
      </c>
      <c r="AU140" s="92" t="e">
        <f t="shared" si="82"/>
        <v>#DIV/0!</v>
      </c>
      <c r="AV140" s="92" t="e">
        <f t="shared" si="82"/>
        <v>#DIV/0!</v>
      </c>
      <c r="AW140" s="92" t="e">
        <f t="shared" si="82"/>
        <v>#DIV/0!</v>
      </c>
    </row>
    <row r="141" spans="1:49" s="40" customFormat="1">
      <c r="A141" s="28" t="s">
        <v>4</v>
      </c>
      <c r="B141" s="4">
        <f t="shared" ref="B141" si="105">B135+B138</f>
        <v>0</v>
      </c>
      <c r="C141" s="4">
        <f t="shared" ref="C141:N141" si="106">C135+C138</f>
        <v>0</v>
      </c>
      <c r="D141" s="4">
        <f t="shared" si="106"/>
        <v>58.06</v>
      </c>
      <c r="E141" s="4">
        <f t="shared" si="106"/>
        <v>57.14</v>
      </c>
      <c r="F141" s="4">
        <f t="shared" si="106"/>
        <v>677.77</v>
      </c>
      <c r="G141" s="4">
        <f t="shared" si="106"/>
        <v>43047.42</v>
      </c>
      <c r="H141" s="4">
        <f t="shared" si="106"/>
        <v>10754.320005</v>
      </c>
      <c r="I141" s="4">
        <f t="shared" si="106"/>
        <v>2322.81007</v>
      </c>
      <c r="J141" s="4">
        <f t="shared" si="106"/>
        <v>0</v>
      </c>
      <c r="K141" s="4">
        <f t="shared" si="106"/>
        <v>235</v>
      </c>
      <c r="L141" s="4">
        <f t="shared" si="106"/>
        <v>130.94</v>
      </c>
      <c r="M141" s="4">
        <f t="shared" si="106"/>
        <v>183.76400000000001</v>
      </c>
      <c r="N141" s="7">
        <f t="shared" si="106"/>
        <v>57467.224074999998</v>
      </c>
      <c r="P141" s="28" t="s">
        <v>4</v>
      </c>
      <c r="Q141" s="4">
        <f t="shared" ref="Q141:AC141" si="107">Q135+Q138</f>
        <v>0</v>
      </c>
      <c r="R141" s="4">
        <f t="shared" si="107"/>
        <v>0</v>
      </c>
      <c r="S141" s="4">
        <f t="shared" si="107"/>
        <v>9097915.1999999993</v>
      </c>
      <c r="T141" s="4">
        <f t="shared" si="107"/>
        <v>8496986.0999999996</v>
      </c>
      <c r="U141" s="4">
        <f t="shared" si="107"/>
        <v>69447461.560000002</v>
      </c>
      <c r="V141" s="4">
        <f t="shared" si="107"/>
        <v>3956079467.21</v>
      </c>
      <c r="W141" s="4">
        <f t="shared" si="107"/>
        <v>1001764959.78</v>
      </c>
      <c r="X141" s="4">
        <f t="shared" si="107"/>
        <v>223063022.69</v>
      </c>
      <c r="Y141" s="4">
        <f t="shared" si="107"/>
        <v>0</v>
      </c>
      <c r="Z141" s="4">
        <f t="shared" si="107"/>
        <v>22779262.119999997</v>
      </c>
      <c r="AA141" s="4">
        <f t="shared" si="107"/>
        <v>11860201.66</v>
      </c>
      <c r="AB141" s="4">
        <f t="shared" si="107"/>
        <v>15660747.4</v>
      </c>
      <c r="AC141" s="7">
        <f t="shared" si="107"/>
        <v>5318250023.7199993</v>
      </c>
      <c r="AE141" s="28" t="s">
        <v>4</v>
      </c>
      <c r="AF141" s="4">
        <f t="shared" ref="AF141:AR141" si="108">AF135+AF138</f>
        <v>0</v>
      </c>
      <c r="AG141" s="4">
        <f t="shared" si="108"/>
        <v>0</v>
      </c>
      <c r="AH141" s="4">
        <f t="shared" si="108"/>
        <v>146031.95743210096</v>
      </c>
      <c r="AI141" s="4">
        <f t="shared" si="108"/>
        <v>138226.5779694239</v>
      </c>
      <c r="AJ141" s="4">
        <f t="shared" si="108"/>
        <v>1138054.2414350943</v>
      </c>
      <c r="AK141" s="4">
        <f t="shared" si="108"/>
        <v>64947586.424678564</v>
      </c>
      <c r="AL141" s="4">
        <f t="shared" si="108"/>
        <v>16315439.804803537</v>
      </c>
      <c r="AM141" s="4">
        <f t="shared" si="108"/>
        <v>3631294.900950186</v>
      </c>
      <c r="AN141" s="4">
        <f t="shared" si="108"/>
        <v>0</v>
      </c>
      <c r="AO141" s="4">
        <f t="shared" si="108"/>
        <v>381696.66378275253</v>
      </c>
      <c r="AP141" s="4">
        <f t="shared" si="108"/>
        <v>195166.58453267667</v>
      </c>
      <c r="AQ141" s="4">
        <f t="shared" si="108"/>
        <v>255659.77533592313</v>
      </c>
      <c r="AR141" s="7">
        <f t="shared" si="108"/>
        <v>87149156.930920243</v>
      </c>
      <c r="AU141" s="92">
        <f t="shared" si="82"/>
        <v>1508.7451564966859</v>
      </c>
      <c r="AV141" s="92">
        <f t="shared" si="82"/>
        <v>1517.1056651855263</v>
      </c>
      <c r="AW141" s="92">
        <f t="shared" si="82"/>
        <v>1563.3197685208011</v>
      </c>
    </row>
    <row r="144" spans="1:49">
      <c r="P144" s="40"/>
    </row>
    <row r="150" spans="1:49" s="40" customFormat="1">
      <c r="A150" s="25" t="s">
        <v>109</v>
      </c>
      <c r="B150" s="16" t="s">
        <v>133</v>
      </c>
      <c r="C150" s="16" t="s">
        <v>19</v>
      </c>
      <c r="D150" s="159" t="s">
        <v>17</v>
      </c>
      <c r="E150" s="159" t="s">
        <v>134</v>
      </c>
      <c r="F150" s="387" t="s">
        <v>10</v>
      </c>
      <c r="G150" s="387" t="s">
        <v>11</v>
      </c>
      <c r="H150" s="387" t="s">
        <v>12</v>
      </c>
      <c r="I150" s="387" t="s">
        <v>13</v>
      </c>
      <c r="J150" s="387" t="s">
        <v>14</v>
      </c>
      <c r="K150" s="387" t="s">
        <v>18</v>
      </c>
      <c r="L150" s="387" t="s">
        <v>15</v>
      </c>
      <c r="M150" s="387" t="s">
        <v>16</v>
      </c>
      <c r="N150" s="27" t="s">
        <v>20</v>
      </c>
      <c r="P150" s="25" t="s">
        <v>109</v>
      </c>
      <c r="Q150" s="387" t="s">
        <v>133</v>
      </c>
      <c r="R150" s="387" t="s">
        <v>19</v>
      </c>
      <c r="S150" s="387" t="s">
        <v>17</v>
      </c>
      <c r="T150" s="387" t="s">
        <v>134</v>
      </c>
      <c r="U150" s="387" t="s">
        <v>10</v>
      </c>
      <c r="V150" s="387" t="s">
        <v>11</v>
      </c>
      <c r="W150" s="387" t="s">
        <v>12</v>
      </c>
      <c r="X150" s="387" t="s">
        <v>13</v>
      </c>
      <c r="Y150" s="387" t="s">
        <v>14</v>
      </c>
      <c r="Z150" s="387" t="s">
        <v>18</v>
      </c>
      <c r="AA150" s="387" t="s">
        <v>15</v>
      </c>
      <c r="AB150" s="387" t="s">
        <v>16</v>
      </c>
      <c r="AC150" s="27" t="s">
        <v>20</v>
      </c>
      <c r="AE150" s="25" t="s">
        <v>22</v>
      </c>
      <c r="AF150" s="387" t="s">
        <v>133</v>
      </c>
      <c r="AG150" s="387" t="s">
        <v>19</v>
      </c>
      <c r="AH150" s="387" t="s">
        <v>17</v>
      </c>
      <c r="AI150" s="387" t="s">
        <v>134</v>
      </c>
      <c r="AJ150" s="387" t="s">
        <v>10</v>
      </c>
      <c r="AK150" s="387" t="s">
        <v>11</v>
      </c>
      <c r="AL150" s="387" t="s">
        <v>12</v>
      </c>
      <c r="AM150" s="387" t="s">
        <v>13</v>
      </c>
      <c r="AN150" s="387" t="s">
        <v>14</v>
      </c>
      <c r="AO150" s="387" t="s">
        <v>18</v>
      </c>
      <c r="AP150" s="387" t="s">
        <v>15</v>
      </c>
      <c r="AQ150" s="387" t="s">
        <v>16</v>
      </c>
      <c r="AR150" s="27" t="s">
        <v>20</v>
      </c>
      <c r="AU150" s="387" t="s">
        <v>11</v>
      </c>
      <c r="AV150" s="387" t="s">
        <v>12</v>
      </c>
      <c r="AW150" s="387" t="s">
        <v>13</v>
      </c>
    </row>
    <row r="151" spans="1:49" s="40" customFormat="1">
      <c r="A151" s="9">
        <v>41365</v>
      </c>
      <c r="B151" s="41">
        <f>B20+B36+B52</f>
        <v>0</v>
      </c>
      <c r="C151" s="41">
        <f t="shared" ref="C151:M151" si="109">C20+C36+C52</f>
        <v>0</v>
      </c>
      <c r="D151" s="41">
        <f t="shared" si="109"/>
        <v>0</v>
      </c>
      <c r="E151" s="41">
        <f t="shared" si="109"/>
        <v>0</v>
      </c>
      <c r="F151" s="41">
        <f t="shared" si="109"/>
        <v>0</v>
      </c>
      <c r="G151" s="41">
        <f t="shared" si="109"/>
        <v>3426.1799999999994</v>
      </c>
      <c r="H151" s="41">
        <f t="shared" si="109"/>
        <v>746.82999999999993</v>
      </c>
      <c r="I151" s="41">
        <f t="shared" si="109"/>
        <v>118.99000000000001</v>
      </c>
      <c r="J151" s="41">
        <f t="shared" si="109"/>
        <v>0</v>
      </c>
      <c r="K151" s="41">
        <f t="shared" si="109"/>
        <v>28.2</v>
      </c>
      <c r="L151" s="41">
        <f t="shared" si="109"/>
        <v>28</v>
      </c>
      <c r="M151" s="41">
        <f t="shared" si="109"/>
        <v>16.2</v>
      </c>
      <c r="N151" s="6">
        <f>SUM(B151:M151)</f>
        <v>4364.3999999999987</v>
      </c>
      <c r="P151" s="9">
        <v>41365</v>
      </c>
      <c r="Q151" s="41">
        <f>Q20+Q36+Q52</f>
        <v>0</v>
      </c>
      <c r="R151" s="41">
        <f t="shared" ref="R151:AB151" si="110">R20+R36+R52</f>
        <v>0</v>
      </c>
      <c r="S151" s="41">
        <f t="shared" si="110"/>
        <v>0</v>
      </c>
      <c r="T151" s="41">
        <f t="shared" si="110"/>
        <v>0</v>
      </c>
      <c r="U151" s="41">
        <f t="shared" si="110"/>
        <v>0</v>
      </c>
      <c r="V151" s="41">
        <f t="shared" si="110"/>
        <v>267673110.77999997</v>
      </c>
      <c r="W151" s="41">
        <f t="shared" si="110"/>
        <v>54351268.100000009</v>
      </c>
      <c r="X151" s="41">
        <f t="shared" si="110"/>
        <v>9045694.7400000002</v>
      </c>
      <c r="Y151" s="41">
        <f t="shared" si="110"/>
        <v>0</v>
      </c>
      <c r="Z151" s="41">
        <f t="shared" si="110"/>
        <v>2511571.61</v>
      </c>
      <c r="AA151" s="41">
        <f t="shared" si="110"/>
        <v>2180174.2800000003</v>
      </c>
      <c r="AB151" s="41">
        <f t="shared" si="110"/>
        <v>1208178.26</v>
      </c>
      <c r="AC151" s="6">
        <f>SUM(Q151:AB151)</f>
        <v>336969997.76999998</v>
      </c>
      <c r="AE151" s="9">
        <v>41365</v>
      </c>
      <c r="AF151" s="41">
        <f>AF20+AF36+AF52</f>
        <v>0</v>
      </c>
      <c r="AG151" s="41">
        <f t="shared" ref="AG151:AQ151" si="111">AG20+AG36+AG52</f>
        <v>0</v>
      </c>
      <c r="AH151" s="41">
        <f t="shared" si="111"/>
        <v>0</v>
      </c>
      <c r="AI151" s="41">
        <f t="shared" si="111"/>
        <v>0</v>
      </c>
      <c r="AJ151" s="41">
        <f t="shared" si="111"/>
        <v>0</v>
      </c>
      <c r="AK151" s="41">
        <f t="shared" si="111"/>
        <v>4879212.3485843847</v>
      </c>
      <c r="AL151" s="41">
        <f t="shared" si="111"/>
        <v>990963.18835915183</v>
      </c>
      <c r="AM151" s="41">
        <f t="shared" si="111"/>
        <v>164965.3605835464</v>
      </c>
      <c r="AN151" s="41">
        <f t="shared" si="111"/>
        <v>0</v>
      </c>
      <c r="AO151" s="41">
        <f t="shared" si="111"/>
        <v>45748.116757741343</v>
      </c>
      <c r="AP151" s="41">
        <f t="shared" si="111"/>
        <v>39711.735519125687</v>
      </c>
      <c r="AQ151" s="41">
        <f t="shared" si="111"/>
        <v>22006.889981785065</v>
      </c>
      <c r="AR151" s="6">
        <f>SUM(AF151:AQ151)</f>
        <v>6142607.6397857349</v>
      </c>
      <c r="AU151" s="92">
        <f t="shared" ref="AU151:AU162" si="112">+AK151/G151</f>
        <v>1424.0969092646578</v>
      </c>
      <c r="AV151" s="92">
        <f t="shared" ref="AV151:AV162" si="113">+AL151/H151</f>
        <v>1326.8925837997294</v>
      </c>
      <c r="AW151" s="92">
        <f t="shared" ref="AW151:AW162" si="114">+AM151/I151</f>
        <v>1386.3800368396201</v>
      </c>
    </row>
    <row r="152" spans="1:49" s="40" customFormat="1">
      <c r="A152" s="9">
        <v>41395</v>
      </c>
      <c r="B152" s="41">
        <f t="shared" ref="B152:M162" si="115">B21+B37+B53</f>
        <v>0</v>
      </c>
      <c r="C152" s="41">
        <f t="shared" si="115"/>
        <v>0</v>
      </c>
      <c r="D152" s="41">
        <f t="shared" si="115"/>
        <v>0</v>
      </c>
      <c r="E152" s="41">
        <f t="shared" si="115"/>
        <v>0</v>
      </c>
      <c r="F152" s="41">
        <f t="shared" si="115"/>
        <v>24.54</v>
      </c>
      <c r="G152" s="41">
        <f t="shared" si="115"/>
        <v>3400.0699999999997</v>
      </c>
      <c r="H152" s="41">
        <f t="shared" si="115"/>
        <v>539.86</v>
      </c>
      <c r="I152" s="41">
        <f t="shared" si="115"/>
        <v>249.42000000000002</v>
      </c>
      <c r="J152" s="41">
        <f t="shared" si="115"/>
        <v>0</v>
      </c>
      <c r="K152" s="41">
        <f t="shared" si="115"/>
        <v>34.4</v>
      </c>
      <c r="L152" s="41">
        <f t="shared" si="115"/>
        <v>12</v>
      </c>
      <c r="M152" s="41">
        <f t="shared" si="115"/>
        <v>17.2</v>
      </c>
      <c r="N152" s="6">
        <f t="shared" ref="N152:N163" si="116">SUM(B152:M152)</f>
        <v>4277.4899999999989</v>
      </c>
      <c r="P152" s="9">
        <v>41395</v>
      </c>
      <c r="Q152" s="41">
        <f t="shared" ref="Q152:AB152" si="117">Q21+Q37+Q53</f>
        <v>0</v>
      </c>
      <c r="R152" s="41">
        <f t="shared" si="117"/>
        <v>0</v>
      </c>
      <c r="S152" s="41">
        <f t="shared" si="117"/>
        <v>0</v>
      </c>
      <c r="T152" s="41">
        <f t="shared" si="117"/>
        <v>0</v>
      </c>
      <c r="U152" s="41">
        <f t="shared" si="117"/>
        <v>2407925.2399999998</v>
      </c>
      <c r="V152" s="41">
        <f t="shared" si="117"/>
        <v>259037984.00999996</v>
      </c>
      <c r="W152" s="41">
        <f t="shared" si="117"/>
        <v>39443237.799999997</v>
      </c>
      <c r="X152" s="41">
        <f t="shared" si="117"/>
        <v>20278265.649999999</v>
      </c>
      <c r="Y152" s="41">
        <f t="shared" si="117"/>
        <v>0</v>
      </c>
      <c r="Z152" s="41">
        <f t="shared" si="117"/>
        <v>2770660.29</v>
      </c>
      <c r="AA152" s="41">
        <f t="shared" si="117"/>
        <v>940548.36</v>
      </c>
      <c r="AB152" s="41">
        <f t="shared" si="117"/>
        <v>1290990.94</v>
      </c>
      <c r="AC152" s="6">
        <f t="shared" ref="AC152:AC163" si="118">SUM(Q152:AB152)</f>
        <v>326169612.28999996</v>
      </c>
      <c r="AE152" s="9">
        <v>41395</v>
      </c>
      <c r="AF152" s="41">
        <f t="shared" ref="AF152:AQ152" si="119">AF21+AF37+AF53</f>
        <v>0</v>
      </c>
      <c r="AG152" s="41">
        <f t="shared" si="119"/>
        <v>0</v>
      </c>
      <c r="AH152" s="41">
        <f t="shared" si="119"/>
        <v>0</v>
      </c>
      <c r="AI152" s="41">
        <f t="shared" si="119"/>
        <v>0</v>
      </c>
      <c r="AJ152" s="41">
        <f t="shared" si="119"/>
        <v>43638.169329565593</v>
      </c>
      <c r="AK152" s="41">
        <f t="shared" si="119"/>
        <v>4715693.0481751775</v>
      </c>
      <c r="AL152" s="41">
        <f t="shared" si="119"/>
        <v>721475.66827529459</v>
      </c>
      <c r="AM152" s="41">
        <f t="shared" si="119"/>
        <v>369285.8658065265</v>
      </c>
      <c r="AN152" s="41">
        <f t="shared" si="119"/>
        <v>0</v>
      </c>
      <c r="AO152" s="41">
        <f t="shared" si="119"/>
        <v>50446.756927186158</v>
      </c>
      <c r="AP152" s="41">
        <f t="shared" si="119"/>
        <v>17008.107775768534</v>
      </c>
      <c r="AQ152" s="41">
        <f t="shared" si="119"/>
        <v>23603.895452402183</v>
      </c>
      <c r="AR152" s="6">
        <f t="shared" ref="AR152:AR163" si="120">SUM(AF152:AQ152)</f>
        <v>5941151.5117419213</v>
      </c>
      <c r="AU152" s="92">
        <f t="shared" si="112"/>
        <v>1386.9399889341037</v>
      </c>
      <c r="AV152" s="92">
        <f t="shared" si="113"/>
        <v>1336.4125296841673</v>
      </c>
      <c r="AW152" s="92">
        <f t="shared" si="114"/>
        <v>1480.5784051259982</v>
      </c>
    </row>
    <row r="153" spans="1:49" s="40" customFormat="1">
      <c r="A153" s="9">
        <v>41426</v>
      </c>
      <c r="B153" s="41">
        <f t="shared" si="115"/>
        <v>0</v>
      </c>
      <c r="C153" s="41">
        <f t="shared" si="115"/>
        <v>0</v>
      </c>
      <c r="D153" s="41">
        <f t="shared" si="115"/>
        <v>0</v>
      </c>
      <c r="E153" s="41">
        <f t="shared" si="115"/>
        <v>20.09</v>
      </c>
      <c r="F153" s="41">
        <f t="shared" si="115"/>
        <v>119.11000000000001</v>
      </c>
      <c r="G153" s="41">
        <f t="shared" si="115"/>
        <v>2534</v>
      </c>
      <c r="H153" s="41">
        <f t="shared" si="115"/>
        <v>890.37999999999988</v>
      </c>
      <c r="I153" s="41">
        <f t="shared" si="115"/>
        <v>137.62</v>
      </c>
      <c r="J153" s="41">
        <f t="shared" si="115"/>
        <v>0</v>
      </c>
      <c r="K153" s="41">
        <f t="shared" si="115"/>
        <v>16.2</v>
      </c>
      <c r="L153" s="41">
        <f t="shared" si="115"/>
        <v>0</v>
      </c>
      <c r="M153" s="41">
        <f t="shared" si="115"/>
        <v>0</v>
      </c>
      <c r="N153" s="6">
        <f t="shared" si="116"/>
        <v>3717.3999999999996</v>
      </c>
      <c r="O153" s="42">
        <f>N151+N152+N153</f>
        <v>12359.289999999997</v>
      </c>
      <c r="P153" s="9">
        <v>41426</v>
      </c>
      <c r="Q153" s="41">
        <f t="shared" ref="Q153:AB153" si="121">Q22+Q38+Q54</f>
        <v>0</v>
      </c>
      <c r="R153" s="41">
        <f t="shared" si="121"/>
        <v>0</v>
      </c>
      <c r="S153" s="41">
        <f t="shared" si="121"/>
        <v>0</v>
      </c>
      <c r="T153" s="41">
        <f t="shared" si="121"/>
        <v>2282320.4300000002</v>
      </c>
      <c r="U153" s="41">
        <f t="shared" si="121"/>
        <v>10289896.75</v>
      </c>
      <c r="V153" s="41">
        <f t="shared" si="121"/>
        <v>201683462.64999998</v>
      </c>
      <c r="W153" s="41">
        <f t="shared" si="121"/>
        <v>69829099.450000003</v>
      </c>
      <c r="X153" s="41">
        <f t="shared" si="121"/>
        <v>10344421.76</v>
      </c>
      <c r="Y153" s="41">
        <f t="shared" si="121"/>
        <v>0</v>
      </c>
      <c r="Z153" s="41">
        <f t="shared" si="121"/>
        <v>1348760.57</v>
      </c>
      <c r="AA153" s="41">
        <f t="shared" si="121"/>
        <v>0</v>
      </c>
      <c r="AB153" s="41">
        <f t="shared" si="121"/>
        <v>0</v>
      </c>
      <c r="AC153" s="6">
        <f t="shared" si="118"/>
        <v>295777961.60999995</v>
      </c>
      <c r="AE153" s="9">
        <v>41426</v>
      </c>
      <c r="AF153" s="41">
        <f t="shared" ref="AF153:AQ153" si="122">AF22+AF38+AF54</f>
        <v>0</v>
      </c>
      <c r="AG153" s="41">
        <f t="shared" si="122"/>
        <v>0</v>
      </c>
      <c r="AH153" s="41">
        <f t="shared" si="122"/>
        <v>0</v>
      </c>
      <c r="AI153" s="41">
        <f t="shared" si="122"/>
        <v>38552.709966216215</v>
      </c>
      <c r="AJ153" s="41">
        <f t="shared" si="122"/>
        <v>183428.20926122961</v>
      </c>
      <c r="AK153" s="41">
        <f t="shared" si="122"/>
        <v>3538104.1493778196</v>
      </c>
      <c r="AL153" s="41">
        <f t="shared" si="122"/>
        <v>1207288.139971545</v>
      </c>
      <c r="AM153" s="41">
        <f t="shared" si="122"/>
        <v>181959.92541776603</v>
      </c>
      <c r="AN153" s="41">
        <f t="shared" si="122"/>
        <v>0</v>
      </c>
      <c r="AO153" s="41">
        <f t="shared" si="122"/>
        <v>23724.900087950748</v>
      </c>
      <c r="AP153" s="41">
        <f t="shared" si="122"/>
        <v>0</v>
      </c>
      <c r="AQ153" s="41">
        <f t="shared" si="122"/>
        <v>0</v>
      </c>
      <c r="AR153" s="6">
        <f t="shared" si="120"/>
        <v>5173058.0340825273</v>
      </c>
      <c r="AU153" s="92">
        <f t="shared" si="112"/>
        <v>1396.2526240638595</v>
      </c>
      <c r="AV153" s="92">
        <f t="shared" si="113"/>
        <v>1355.9245939616176</v>
      </c>
      <c r="AW153" s="92">
        <f t="shared" si="114"/>
        <v>1322.1909999837671</v>
      </c>
    </row>
    <row r="154" spans="1:49" s="40" customFormat="1">
      <c r="A154" s="9">
        <v>41456</v>
      </c>
      <c r="B154" s="41">
        <f t="shared" si="115"/>
        <v>0</v>
      </c>
      <c r="C154" s="41">
        <f t="shared" si="115"/>
        <v>0</v>
      </c>
      <c r="D154" s="41">
        <f t="shared" si="115"/>
        <v>0</v>
      </c>
      <c r="E154" s="41">
        <f t="shared" si="115"/>
        <v>0</v>
      </c>
      <c r="F154" s="41">
        <f t="shared" si="115"/>
        <v>59.72</v>
      </c>
      <c r="G154" s="41">
        <f t="shared" si="115"/>
        <v>3982.8900000000003</v>
      </c>
      <c r="H154" s="41">
        <f t="shared" si="115"/>
        <v>897.92</v>
      </c>
      <c r="I154" s="41">
        <f t="shared" si="115"/>
        <v>76.98</v>
      </c>
      <c r="J154" s="41">
        <f t="shared" si="115"/>
        <v>0</v>
      </c>
      <c r="K154" s="41">
        <f t="shared" si="115"/>
        <v>33.200000000000003</v>
      </c>
      <c r="L154" s="41">
        <f t="shared" si="115"/>
        <v>9.1999999999999993</v>
      </c>
      <c r="M154" s="41">
        <f t="shared" si="115"/>
        <v>34</v>
      </c>
      <c r="N154" s="6">
        <f t="shared" si="116"/>
        <v>5093.9099999999989</v>
      </c>
      <c r="P154" s="9">
        <v>41456</v>
      </c>
      <c r="Q154" s="41">
        <f t="shared" ref="Q154:AB154" si="123">Q23+Q39+Q55</f>
        <v>0</v>
      </c>
      <c r="R154" s="41">
        <f t="shared" si="123"/>
        <v>0</v>
      </c>
      <c r="S154" s="41">
        <f t="shared" si="123"/>
        <v>0</v>
      </c>
      <c r="T154" s="41">
        <f t="shared" si="123"/>
        <v>0</v>
      </c>
      <c r="U154" s="41">
        <f t="shared" si="123"/>
        <v>5357293.7</v>
      </c>
      <c r="V154" s="41">
        <f t="shared" si="123"/>
        <v>337016266.70000005</v>
      </c>
      <c r="W154" s="41">
        <f t="shared" si="123"/>
        <v>73579664.650000006</v>
      </c>
      <c r="X154" s="41">
        <f t="shared" si="123"/>
        <v>6411767.8499999996</v>
      </c>
      <c r="Y154" s="41">
        <f t="shared" si="123"/>
        <v>0</v>
      </c>
      <c r="Z154" s="41">
        <f t="shared" si="123"/>
        <v>3213286.4000000004</v>
      </c>
      <c r="AA154" s="41">
        <f t="shared" si="123"/>
        <v>790339.34000000008</v>
      </c>
      <c r="AB154" s="41">
        <f t="shared" si="123"/>
        <v>2913443.02</v>
      </c>
      <c r="AC154" s="6">
        <f t="shared" si="118"/>
        <v>429282061.66000003</v>
      </c>
      <c r="AE154" s="9">
        <v>41456</v>
      </c>
      <c r="AF154" s="41">
        <f t="shared" ref="AF154:AQ154" si="124">AF23+AF39+AF55</f>
        <v>0</v>
      </c>
      <c r="AG154" s="41">
        <f t="shared" si="124"/>
        <v>0</v>
      </c>
      <c r="AH154" s="41">
        <f t="shared" si="124"/>
        <v>0</v>
      </c>
      <c r="AI154" s="41">
        <f t="shared" si="124"/>
        <v>0</v>
      </c>
      <c r="AJ154" s="41">
        <f t="shared" si="124"/>
        <v>88967.870010183367</v>
      </c>
      <c r="AK154" s="41">
        <f t="shared" si="124"/>
        <v>5631945.3774325801</v>
      </c>
      <c r="AL154" s="41">
        <f t="shared" si="124"/>
        <v>1238955.5811942129</v>
      </c>
      <c r="AM154" s="41">
        <f t="shared" si="124"/>
        <v>107118.2318572705</v>
      </c>
      <c r="AN154" s="41">
        <f t="shared" si="124"/>
        <v>0</v>
      </c>
      <c r="AO154" s="41">
        <f t="shared" si="124"/>
        <v>53711.355627524194</v>
      </c>
      <c r="AP154" s="41">
        <f t="shared" si="124"/>
        <v>13164.053661510326</v>
      </c>
      <c r="AQ154" s="41">
        <f t="shared" si="124"/>
        <v>48803.769361357234</v>
      </c>
      <c r="AR154" s="6">
        <f t="shared" si="120"/>
        <v>7182666.2391446382</v>
      </c>
      <c r="AU154" s="92">
        <f t="shared" si="112"/>
        <v>1414.0348785511474</v>
      </c>
      <c r="AV154" s="92">
        <f t="shared" si="113"/>
        <v>1379.8061978730989</v>
      </c>
      <c r="AW154" s="92">
        <f t="shared" si="114"/>
        <v>1391.5072987434462</v>
      </c>
    </row>
    <row r="155" spans="1:49" s="40" customFormat="1">
      <c r="A155" s="9">
        <v>41487</v>
      </c>
      <c r="B155" s="41">
        <f t="shared" si="115"/>
        <v>0</v>
      </c>
      <c r="C155" s="41">
        <f t="shared" si="115"/>
        <v>0</v>
      </c>
      <c r="D155" s="41">
        <f t="shared" si="115"/>
        <v>0</v>
      </c>
      <c r="E155" s="41">
        <f t="shared" si="115"/>
        <v>0</v>
      </c>
      <c r="F155" s="41">
        <f t="shared" si="115"/>
        <v>39.590000000000003</v>
      </c>
      <c r="G155" s="41">
        <f t="shared" si="115"/>
        <v>3252.4500000000007</v>
      </c>
      <c r="H155" s="41">
        <f t="shared" si="115"/>
        <v>1094.5899999999999</v>
      </c>
      <c r="I155" s="41">
        <f t="shared" si="115"/>
        <v>0</v>
      </c>
      <c r="J155" s="41">
        <f t="shared" si="115"/>
        <v>0</v>
      </c>
      <c r="K155" s="41">
        <f t="shared" si="115"/>
        <v>16.2</v>
      </c>
      <c r="L155" s="41">
        <f t="shared" si="115"/>
        <v>0</v>
      </c>
      <c r="M155" s="41">
        <f t="shared" si="115"/>
        <v>48.599999999999994</v>
      </c>
      <c r="N155" s="6">
        <f t="shared" si="116"/>
        <v>4451.4300000000012</v>
      </c>
      <c r="P155" s="9">
        <v>41487</v>
      </c>
      <c r="Q155" s="41">
        <f t="shared" ref="Q155:AB155" si="125">Q24+Q40+Q56</f>
        <v>0</v>
      </c>
      <c r="R155" s="41">
        <f t="shared" si="125"/>
        <v>0</v>
      </c>
      <c r="S155" s="41">
        <f t="shared" si="125"/>
        <v>0</v>
      </c>
      <c r="T155" s="41">
        <f t="shared" si="125"/>
        <v>0</v>
      </c>
      <c r="U155" s="41">
        <f t="shared" si="125"/>
        <v>3574153.83</v>
      </c>
      <c r="V155" s="41">
        <f t="shared" si="125"/>
        <v>296432558.26999998</v>
      </c>
      <c r="W155" s="41">
        <f t="shared" si="125"/>
        <v>99324228.420000002</v>
      </c>
      <c r="X155" s="41">
        <f t="shared" si="125"/>
        <v>0</v>
      </c>
      <c r="Y155" s="41">
        <f t="shared" si="125"/>
        <v>0</v>
      </c>
      <c r="Z155" s="41">
        <f t="shared" si="125"/>
        <v>1415190.29</v>
      </c>
      <c r="AA155" s="41">
        <f t="shared" si="125"/>
        <v>0</v>
      </c>
      <c r="AB155" s="41">
        <f t="shared" si="125"/>
        <v>4043430.62</v>
      </c>
      <c r="AC155" s="6">
        <f t="shared" si="118"/>
        <v>404789561.43000001</v>
      </c>
      <c r="AE155" s="9">
        <v>41487</v>
      </c>
      <c r="AF155" s="41">
        <f t="shared" ref="AF155:AQ155" si="126">AF24+AF40+AF56</f>
        <v>0</v>
      </c>
      <c r="AG155" s="41">
        <f t="shared" si="126"/>
        <v>0</v>
      </c>
      <c r="AH155" s="41">
        <f t="shared" si="126"/>
        <v>0</v>
      </c>
      <c r="AI155" s="41">
        <f t="shared" si="126"/>
        <v>0</v>
      </c>
      <c r="AJ155" s="41">
        <f t="shared" si="126"/>
        <v>57902.327166533898</v>
      </c>
      <c r="AK155" s="41">
        <f t="shared" si="126"/>
        <v>4791260.8754753657</v>
      </c>
      <c r="AL155" s="41">
        <f t="shared" si="126"/>
        <v>1609561.3216035678</v>
      </c>
      <c r="AM155" s="41">
        <f t="shared" si="126"/>
        <v>0</v>
      </c>
      <c r="AN155" s="41">
        <f t="shared" si="126"/>
        <v>0</v>
      </c>
      <c r="AO155" s="41">
        <f t="shared" si="126"/>
        <v>22992.531112916331</v>
      </c>
      <c r="AP155" s="41">
        <f t="shared" si="126"/>
        <v>0</v>
      </c>
      <c r="AQ155" s="41">
        <f t="shared" si="126"/>
        <v>65567.146607890667</v>
      </c>
      <c r="AR155" s="6">
        <f t="shared" si="120"/>
        <v>6547284.2019662745</v>
      </c>
      <c r="AU155" s="92">
        <f t="shared" si="112"/>
        <v>1473.1236069656304</v>
      </c>
      <c r="AV155" s="92">
        <f t="shared" si="113"/>
        <v>1470.4696019546752</v>
      </c>
      <c r="AW155" s="92" t="e">
        <f t="shared" si="114"/>
        <v>#DIV/0!</v>
      </c>
    </row>
    <row r="156" spans="1:49" s="40" customFormat="1">
      <c r="A156" s="9">
        <v>41518</v>
      </c>
      <c r="B156" s="41">
        <f t="shared" si="115"/>
        <v>0</v>
      </c>
      <c r="C156" s="41">
        <f t="shared" si="115"/>
        <v>0</v>
      </c>
      <c r="D156" s="41">
        <f t="shared" si="115"/>
        <v>19.760000000000002</v>
      </c>
      <c r="E156" s="41">
        <f t="shared" si="115"/>
        <v>0</v>
      </c>
      <c r="F156" s="41">
        <f t="shared" si="115"/>
        <v>8.33</v>
      </c>
      <c r="G156" s="41">
        <f t="shared" si="115"/>
        <v>2585.4199999999996</v>
      </c>
      <c r="H156" s="41">
        <f t="shared" si="115"/>
        <v>1375.090005</v>
      </c>
      <c r="I156" s="41">
        <f t="shared" si="115"/>
        <v>230.16</v>
      </c>
      <c r="J156" s="41">
        <f t="shared" si="115"/>
        <v>0</v>
      </c>
      <c r="K156" s="41">
        <f t="shared" si="115"/>
        <v>0</v>
      </c>
      <c r="L156" s="41">
        <f t="shared" si="115"/>
        <v>6</v>
      </c>
      <c r="M156" s="41">
        <f t="shared" si="115"/>
        <v>64.400000000000006</v>
      </c>
      <c r="N156" s="6">
        <f t="shared" si="116"/>
        <v>4289.1600049999997</v>
      </c>
      <c r="O156" s="42">
        <f>N154+N155+N156</f>
        <v>13834.500005</v>
      </c>
      <c r="P156" s="9">
        <v>41518</v>
      </c>
      <c r="Q156" s="41">
        <f t="shared" ref="Q156:AB156" si="127">Q25+Q41+Q57</f>
        <v>0</v>
      </c>
      <c r="R156" s="41">
        <f t="shared" si="127"/>
        <v>0</v>
      </c>
      <c r="S156" s="41">
        <f t="shared" si="127"/>
        <v>2999857.49</v>
      </c>
      <c r="T156" s="41">
        <f t="shared" si="127"/>
        <v>0</v>
      </c>
      <c r="U156" s="41">
        <f t="shared" si="127"/>
        <v>1025394.07</v>
      </c>
      <c r="V156" s="41">
        <f t="shared" si="127"/>
        <v>243889431.08000001</v>
      </c>
      <c r="W156" s="41">
        <f t="shared" si="127"/>
        <v>133461819.73999999</v>
      </c>
      <c r="X156" s="41">
        <f t="shared" si="127"/>
        <v>24617673.280000001</v>
      </c>
      <c r="Y156" s="41">
        <f t="shared" si="127"/>
        <v>0</v>
      </c>
      <c r="Z156" s="41">
        <f t="shared" si="127"/>
        <v>0</v>
      </c>
      <c r="AA156" s="41">
        <f t="shared" si="127"/>
        <v>575616.52</v>
      </c>
      <c r="AB156" s="41">
        <f t="shared" si="127"/>
        <v>5928390.6400000006</v>
      </c>
      <c r="AC156" s="6">
        <f t="shared" si="118"/>
        <v>412498182.81999993</v>
      </c>
      <c r="AE156" s="9">
        <v>41518</v>
      </c>
      <c r="AF156" s="41">
        <f t="shared" ref="AF156:AQ156" si="128">AF25+AF41+AF57</f>
        <v>0</v>
      </c>
      <c r="AG156" s="41">
        <f t="shared" si="128"/>
        <v>0</v>
      </c>
      <c r="AH156" s="41">
        <f t="shared" si="128"/>
        <v>47503.681551860653</v>
      </c>
      <c r="AI156" s="41">
        <f t="shared" si="128"/>
        <v>0</v>
      </c>
      <c r="AJ156" s="41">
        <f t="shared" si="128"/>
        <v>15532.301634139936</v>
      </c>
      <c r="AK156" s="41">
        <f t="shared" si="128"/>
        <v>3791754.9462760855</v>
      </c>
      <c r="AL156" s="41">
        <f t="shared" si="128"/>
        <v>2045415.7904381263</v>
      </c>
      <c r="AM156" s="41">
        <f t="shared" si="128"/>
        <v>381811.43134088698</v>
      </c>
      <c r="AN156" s="41">
        <f t="shared" si="128"/>
        <v>0</v>
      </c>
      <c r="AO156" s="41">
        <f t="shared" si="128"/>
        <v>0</v>
      </c>
      <c r="AP156" s="41">
        <f t="shared" si="128"/>
        <v>8591.291343283583</v>
      </c>
      <c r="AQ156" s="41">
        <f t="shared" si="128"/>
        <v>91248.453980144841</v>
      </c>
      <c r="AR156" s="6">
        <f t="shared" si="120"/>
        <v>6381857.8965645283</v>
      </c>
      <c r="AU156" s="92">
        <f t="shared" si="112"/>
        <v>1466.5914807946431</v>
      </c>
      <c r="AV156" s="92">
        <f t="shared" si="113"/>
        <v>1487.4777527294486</v>
      </c>
      <c r="AW156" s="92">
        <f t="shared" si="114"/>
        <v>1658.8956870910974</v>
      </c>
    </row>
    <row r="157" spans="1:49" s="40" customFormat="1">
      <c r="A157" s="9">
        <v>41548</v>
      </c>
      <c r="B157" s="41">
        <f t="shared" si="115"/>
        <v>0</v>
      </c>
      <c r="C157" s="41">
        <f t="shared" si="115"/>
        <v>0</v>
      </c>
      <c r="D157" s="41">
        <f t="shared" si="115"/>
        <v>0</v>
      </c>
      <c r="E157" s="41">
        <f t="shared" si="115"/>
        <v>0</v>
      </c>
      <c r="F157" s="41">
        <f t="shared" si="115"/>
        <v>38.53</v>
      </c>
      <c r="G157" s="41">
        <f t="shared" si="115"/>
        <v>3324.2399999999993</v>
      </c>
      <c r="H157" s="41">
        <f t="shared" si="115"/>
        <v>934.08</v>
      </c>
      <c r="I157" s="41">
        <f t="shared" si="115"/>
        <v>190.01007000000001</v>
      </c>
      <c r="J157" s="41">
        <f t="shared" si="115"/>
        <v>0</v>
      </c>
      <c r="K157" s="41">
        <f t="shared" si="115"/>
        <v>0</v>
      </c>
      <c r="L157" s="41">
        <f t="shared" si="115"/>
        <v>0</v>
      </c>
      <c r="M157" s="41">
        <f t="shared" si="115"/>
        <v>0</v>
      </c>
      <c r="N157" s="6">
        <f t="shared" si="116"/>
        <v>4486.8600699999997</v>
      </c>
      <c r="P157" s="9">
        <v>41548</v>
      </c>
      <c r="Q157" s="41">
        <f t="shared" ref="Q157:AB157" si="129">Q26+Q42+Q58</f>
        <v>0</v>
      </c>
      <c r="R157" s="41">
        <f t="shared" si="129"/>
        <v>0</v>
      </c>
      <c r="S157" s="41">
        <f t="shared" si="129"/>
        <v>0</v>
      </c>
      <c r="T157" s="41">
        <f t="shared" si="129"/>
        <v>0</v>
      </c>
      <c r="U157" s="41">
        <f t="shared" si="129"/>
        <v>3994945.21</v>
      </c>
      <c r="V157" s="41">
        <f t="shared" si="129"/>
        <v>314776114.61000001</v>
      </c>
      <c r="W157" s="41">
        <f t="shared" si="129"/>
        <v>84505923.640000001</v>
      </c>
      <c r="X157" s="41">
        <f t="shared" si="129"/>
        <v>17723355.780000001</v>
      </c>
      <c r="Y157" s="41">
        <f t="shared" si="129"/>
        <v>0</v>
      </c>
      <c r="Z157" s="41">
        <f t="shared" si="129"/>
        <v>0</v>
      </c>
      <c r="AA157" s="41">
        <f t="shared" si="129"/>
        <v>0</v>
      </c>
      <c r="AB157" s="41">
        <f t="shared" si="129"/>
        <v>0</v>
      </c>
      <c r="AC157" s="6">
        <f t="shared" si="118"/>
        <v>421000339.24000001</v>
      </c>
      <c r="AE157" s="9">
        <v>41548</v>
      </c>
      <c r="AF157" s="41">
        <f t="shared" ref="AF157:AQ157" si="130">AF26+AF42+AF58</f>
        <v>0</v>
      </c>
      <c r="AG157" s="41">
        <f t="shared" si="130"/>
        <v>0</v>
      </c>
      <c r="AH157" s="41">
        <f t="shared" si="130"/>
        <v>0</v>
      </c>
      <c r="AI157" s="41">
        <f t="shared" si="130"/>
        <v>0</v>
      </c>
      <c r="AJ157" s="41">
        <f t="shared" si="130"/>
        <v>64048.946902927812</v>
      </c>
      <c r="AK157" s="41">
        <f t="shared" si="130"/>
        <v>5038233.9208727805</v>
      </c>
      <c r="AL157" s="41">
        <f t="shared" si="130"/>
        <v>1351013.9670663471</v>
      </c>
      <c r="AM157" s="41">
        <f t="shared" si="130"/>
        <v>283939.826971606</v>
      </c>
      <c r="AN157" s="41">
        <f t="shared" si="130"/>
        <v>0</v>
      </c>
      <c r="AO157" s="41">
        <f t="shared" si="130"/>
        <v>0</v>
      </c>
      <c r="AP157" s="41">
        <f t="shared" si="130"/>
        <v>0</v>
      </c>
      <c r="AQ157" s="41">
        <f t="shared" si="130"/>
        <v>0</v>
      </c>
      <c r="AR157" s="6">
        <f t="shared" si="120"/>
        <v>6737236.6618136624</v>
      </c>
      <c r="AU157" s="92">
        <f t="shared" si="112"/>
        <v>1515.6047460089469</v>
      </c>
      <c r="AV157" s="92">
        <f t="shared" si="113"/>
        <v>1446.3578784112144</v>
      </c>
      <c r="AW157" s="92">
        <f t="shared" si="114"/>
        <v>1494.340941885901</v>
      </c>
    </row>
    <row r="158" spans="1:49" s="40" customFormat="1">
      <c r="A158" s="9">
        <v>41579</v>
      </c>
      <c r="B158" s="41">
        <f t="shared" si="115"/>
        <v>0</v>
      </c>
      <c r="C158" s="41">
        <f t="shared" si="115"/>
        <v>0</v>
      </c>
      <c r="D158" s="41">
        <f t="shared" si="115"/>
        <v>0</v>
      </c>
      <c r="E158" s="41">
        <f t="shared" si="115"/>
        <v>0</v>
      </c>
      <c r="F158" s="41">
        <f t="shared" si="115"/>
        <v>59.730000000000004</v>
      </c>
      <c r="G158" s="41">
        <f t="shared" si="115"/>
        <v>3121.4800000000005</v>
      </c>
      <c r="H158" s="41">
        <f t="shared" si="115"/>
        <v>537.07999999999993</v>
      </c>
      <c r="I158" s="41">
        <f t="shared" si="115"/>
        <v>616.41999999999996</v>
      </c>
      <c r="J158" s="41">
        <f t="shared" si="115"/>
        <v>0</v>
      </c>
      <c r="K158" s="41">
        <f t="shared" si="115"/>
        <v>4</v>
      </c>
      <c r="L158" s="41">
        <f t="shared" si="115"/>
        <v>8</v>
      </c>
      <c r="M158" s="41">
        <f t="shared" si="115"/>
        <v>0</v>
      </c>
      <c r="N158" s="6">
        <f t="shared" si="116"/>
        <v>4346.71</v>
      </c>
      <c r="P158" s="9">
        <v>41579</v>
      </c>
      <c r="Q158" s="41">
        <f t="shared" ref="Q158:AB158" si="131">Q27+Q43+Q59</f>
        <v>0</v>
      </c>
      <c r="R158" s="41">
        <f t="shared" si="131"/>
        <v>0</v>
      </c>
      <c r="S158" s="41">
        <f t="shared" si="131"/>
        <v>0</v>
      </c>
      <c r="T158" s="41">
        <f t="shared" si="131"/>
        <v>0</v>
      </c>
      <c r="U158" s="41">
        <f t="shared" si="131"/>
        <v>6188503.5399999991</v>
      </c>
      <c r="V158" s="41">
        <f t="shared" si="131"/>
        <v>297657583.50999999</v>
      </c>
      <c r="W158" s="41">
        <f t="shared" si="131"/>
        <v>46173835.61999999</v>
      </c>
      <c r="X158" s="41">
        <f t="shared" si="131"/>
        <v>62152287.219999999</v>
      </c>
      <c r="Y158" s="41">
        <f t="shared" si="131"/>
        <v>0</v>
      </c>
      <c r="Z158" s="41">
        <f t="shared" si="131"/>
        <v>457043.08</v>
      </c>
      <c r="AA158" s="41">
        <f t="shared" si="131"/>
        <v>775667.41</v>
      </c>
      <c r="AB158" s="41">
        <f t="shared" si="131"/>
        <v>0</v>
      </c>
      <c r="AC158" s="6">
        <f t="shared" si="118"/>
        <v>413404920.38</v>
      </c>
      <c r="AE158" s="9">
        <v>41579</v>
      </c>
      <c r="AF158" s="41">
        <f t="shared" ref="AF158:AQ158" si="132">AF27+AF43+AF59</f>
        <v>0</v>
      </c>
      <c r="AG158" s="41">
        <f t="shared" si="132"/>
        <v>0</v>
      </c>
      <c r="AH158" s="41">
        <f t="shared" si="132"/>
        <v>0</v>
      </c>
      <c r="AI158" s="41">
        <f t="shared" si="132"/>
        <v>0</v>
      </c>
      <c r="AJ158" s="41">
        <f t="shared" si="132"/>
        <v>98074.541045958787</v>
      </c>
      <c r="AK158" s="41">
        <f t="shared" si="132"/>
        <v>4726112.9621948879</v>
      </c>
      <c r="AL158" s="41">
        <f t="shared" si="132"/>
        <v>730913.93464272202</v>
      </c>
      <c r="AM158" s="41">
        <f t="shared" si="132"/>
        <v>982433.17435400549</v>
      </c>
      <c r="AN158" s="41">
        <f t="shared" si="132"/>
        <v>0</v>
      </c>
      <c r="AO158" s="41">
        <f t="shared" si="132"/>
        <v>7243.1549920760699</v>
      </c>
      <c r="AP158" s="41">
        <f t="shared" si="132"/>
        <v>12292.668938193345</v>
      </c>
      <c r="AQ158" s="41">
        <f t="shared" si="132"/>
        <v>0</v>
      </c>
      <c r="AR158" s="6">
        <f t="shared" si="120"/>
        <v>6557070.4361678436</v>
      </c>
      <c r="AU158" s="92">
        <f t="shared" si="112"/>
        <v>1514.0615868738187</v>
      </c>
      <c r="AV158" s="92">
        <f t="shared" si="113"/>
        <v>1360.9032818997582</v>
      </c>
      <c r="AW158" s="92">
        <f t="shared" si="114"/>
        <v>1593.7723862853341</v>
      </c>
    </row>
    <row r="159" spans="1:49" s="40" customFormat="1">
      <c r="A159" s="9">
        <v>41609</v>
      </c>
      <c r="B159" s="41">
        <f t="shared" si="115"/>
        <v>0</v>
      </c>
      <c r="C159" s="41">
        <f t="shared" si="115"/>
        <v>0</v>
      </c>
      <c r="D159" s="41">
        <f t="shared" si="115"/>
        <v>0</v>
      </c>
      <c r="E159" s="41">
        <f t="shared" si="115"/>
        <v>0</v>
      </c>
      <c r="F159" s="41">
        <f t="shared" si="115"/>
        <v>118.91</v>
      </c>
      <c r="G159" s="41">
        <f t="shared" si="115"/>
        <v>3139.0799999999995</v>
      </c>
      <c r="H159" s="41">
        <f t="shared" si="115"/>
        <v>896.13</v>
      </c>
      <c r="I159" s="41">
        <f t="shared" si="115"/>
        <v>118.38</v>
      </c>
      <c r="J159" s="41">
        <f t="shared" si="115"/>
        <v>0</v>
      </c>
      <c r="K159" s="41">
        <f t="shared" si="115"/>
        <v>6</v>
      </c>
      <c r="L159" s="41">
        <f t="shared" si="115"/>
        <v>12</v>
      </c>
      <c r="M159" s="41">
        <f t="shared" si="115"/>
        <v>0</v>
      </c>
      <c r="N159" s="6">
        <f t="shared" si="116"/>
        <v>4290.4999999999991</v>
      </c>
      <c r="O159" s="42">
        <f>N157+N158+N159</f>
        <v>13124.070069999998</v>
      </c>
      <c r="P159" s="9">
        <v>41609</v>
      </c>
      <c r="Q159" s="41">
        <f t="shared" ref="Q159:AB159" si="133">Q28+Q44+Q60</f>
        <v>0</v>
      </c>
      <c r="R159" s="41">
        <f t="shared" si="133"/>
        <v>0</v>
      </c>
      <c r="S159" s="41">
        <f t="shared" si="133"/>
        <v>0</v>
      </c>
      <c r="T159" s="41">
        <f t="shared" si="133"/>
        <v>0</v>
      </c>
      <c r="U159" s="41">
        <f t="shared" si="133"/>
        <v>12326582.719999999</v>
      </c>
      <c r="V159" s="41">
        <f t="shared" si="133"/>
        <v>311151449.38</v>
      </c>
      <c r="W159" s="41">
        <f t="shared" si="133"/>
        <v>87408440.870000005</v>
      </c>
      <c r="X159" s="41">
        <f t="shared" si="133"/>
        <v>11642896.440000001</v>
      </c>
      <c r="Y159" s="41">
        <f t="shared" si="133"/>
        <v>0</v>
      </c>
      <c r="Z159" s="41">
        <f t="shared" si="133"/>
        <v>683441.7</v>
      </c>
      <c r="AA159" s="41">
        <f t="shared" si="133"/>
        <v>1176611.6499999999</v>
      </c>
      <c r="AB159" s="41">
        <f t="shared" si="133"/>
        <v>0</v>
      </c>
      <c r="AC159" s="6">
        <f t="shared" si="118"/>
        <v>424389422.75999999</v>
      </c>
      <c r="AE159" s="9">
        <v>41609</v>
      </c>
      <c r="AF159" s="41">
        <f t="shared" ref="AF159:AQ159" si="134">AF28+AF44+AF60</f>
        <v>0</v>
      </c>
      <c r="AG159" s="41">
        <f t="shared" si="134"/>
        <v>0</v>
      </c>
      <c r="AH159" s="41">
        <f t="shared" si="134"/>
        <v>0</v>
      </c>
      <c r="AI159" s="41">
        <f t="shared" si="134"/>
        <v>0</v>
      </c>
      <c r="AJ159" s="41">
        <f t="shared" si="134"/>
        <v>197231.21823577897</v>
      </c>
      <c r="AK159" s="41">
        <f t="shared" si="134"/>
        <v>4968698.6572545869</v>
      </c>
      <c r="AL159" s="41">
        <f t="shared" si="134"/>
        <v>1391956.2811058343</v>
      </c>
      <c r="AM159" s="41">
        <f t="shared" si="134"/>
        <v>185013.99380877329</v>
      </c>
      <c r="AN159" s="41">
        <f t="shared" si="134"/>
        <v>0</v>
      </c>
      <c r="AO159" s="41">
        <f t="shared" si="134"/>
        <v>10970.171749598716</v>
      </c>
      <c r="AP159" s="41">
        <f t="shared" si="134"/>
        <v>18886.222311396472</v>
      </c>
      <c r="AQ159" s="41">
        <f t="shared" si="134"/>
        <v>0</v>
      </c>
      <c r="AR159" s="6">
        <f t="shared" si="120"/>
        <v>6772756.5444659675</v>
      </c>
      <c r="AU159" s="92">
        <f t="shared" si="112"/>
        <v>1582.8518729228269</v>
      </c>
      <c r="AV159" s="92">
        <f t="shared" si="113"/>
        <v>1553.2972683715916</v>
      </c>
      <c r="AW159" s="92">
        <f t="shared" si="114"/>
        <v>1562.8821913226329</v>
      </c>
    </row>
    <row r="160" spans="1:49" s="40" customFormat="1">
      <c r="A160" s="9">
        <v>41640</v>
      </c>
      <c r="B160" s="41">
        <f t="shared" si="115"/>
        <v>0</v>
      </c>
      <c r="C160" s="41">
        <f t="shared" si="115"/>
        <v>0</v>
      </c>
      <c r="D160" s="41">
        <f t="shared" si="115"/>
        <v>0</v>
      </c>
      <c r="E160" s="41">
        <f t="shared" si="115"/>
        <v>0</v>
      </c>
      <c r="F160" s="41">
        <f t="shared" si="115"/>
        <v>65.27</v>
      </c>
      <c r="G160" s="41">
        <f t="shared" si="115"/>
        <v>3433.3</v>
      </c>
      <c r="H160" s="41">
        <f t="shared" si="115"/>
        <v>797.24</v>
      </c>
      <c r="I160" s="41">
        <f t="shared" si="115"/>
        <v>252.07999999999998</v>
      </c>
      <c r="J160" s="41">
        <f t="shared" si="115"/>
        <v>0</v>
      </c>
      <c r="K160" s="41">
        <f t="shared" si="115"/>
        <v>12</v>
      </c>
      <c r="L160" s="41">
        <f t="shared" si="115"/>
        <v>0</v>
      </c>
      <c r="M160" s="41">
        <f t="shared" si="115"/>
        <v>0</v>
      </c>
      <c r="N160" s="6">
        <f t="shared" si="116"/>
        <v>4559.8900000000003</v>
      </c>
      <c r="P160" s="9">
        <v>41640</v>
      </c>
      <c r="Q160" s="41">
        <f t="shared" ref="Q160:AB160" si="135">Q29+Q45+Q61</f>
        <v>0</v>
      </c>
      <c r="R160" s="41">
        <f t="shared" si="135"/>
        <v>0</v>
      </c>
      <c r="S160" s="41">
        <f t="shared" si="135"/>
        <v>0</v>
      </c>
      <c r="T160" s="41">
        <f t="shared" si="135"/>
        <v>0</v>
      </c>
      <c r="U160" s="41">
        <f t="shared" si="135"/>
        <v>7708664.2599999998</v>
      </c>
      <c r="V160" s="41">
        <f t="shared" si="135"/>
        <v>342077914.16000003</v>
      </c>
      <c r="W160" s="41">
        <f t="shared" si="135"/>
        <v>80736323.159999996</v>
      </c>
      <c r="X160" s="41">
        <f t="shared" si="135"/>
        <v>25067769.199999999</v>
      </c>
      <c r="Y160" s="41">
        <f t="shared" si="135"/>
        <v>0</v>
      </c>
      <c r="Z160" s="41">
        <f t="shared" si="135"/>
        <v>1369997.05</v>
      </c>
      <c r="AA160" s="41">
        <f t="shared" si="135"/>
        <v>0</v>
      </c>
      <c r="AB160" s="41">
        <f t="shared" si="135"/>
        <v>0</v>
      </c>
      <c r="AC160" s="6">
        <f t="shared" si="118"/>
        <v>456960667.83000004</v>
      </c>
      <c r="AE160" s="9">
        <v>41640</v>
      </c>
      <c r="AF160" s="41">
        <f t="shared" ref="AF160:AQ160" si="136">AF29+AF45+AF61</f>
        <v>0</v>
      </c>
      <c r="AG160" s="41">
        <f t="shared" si="136"/>
        <v>0</v>
      </c>
      <c r="AH160" s="41">
        <f t="shared" si="136"/>
        <v>0</v>
      </c>
      <c r="AI160" s="41">
        <f t="shared" si="136"/>
        <v>0</v>
      </c>
      <c r="AJ160" s="41">
        <f t="shared" si="136"/>
        <v>123716.03699915166</v>
      </c>
      <c r="AK160" s="41">
        <f t="shared" si="136"/>
        <v>5486522.2607256528</v>
      </c>
      <c r="AL160" s="41">
        <f t="shared" si="136"/>
        <v>1296450.2267967882</v>
      </c>
      <c r="AM160" s="41">
        <f t="shared" si="136"/>
        <v>402269.38152773282</v>
      </c>
      <c r="AN160" s="41">
        <f t="shared" si="136"/>
        <v>0</v>
      </c>
      <c r="AO160" s="41">
        <f t="shared" si="136"/>
        <v>22025.676045016076</v>
      </c>
      <c r="AP160" s="41">
        <f t="shared" si="136"/>
        <v>0</v>
      </c>
      <c r="AQ160" s="41">
        <f t="shared" si="136"/>
        <v>0</v>
      </c>
      <c r="AR160" s="6">
        <f t="shared" si="120"/>
        <v>7330983.5820943424</v>
      </c>
      <c r="AU160" s="92">
        <f t="shared" si="112"/>
        <v>1598.0317073153096</v>
      </c>
      <c r="AV160" s="92">
        <f t="shared" si="113"/>
        <v>1626.1730806241385</v>
      </c>
      <c r="AW160" s="92">
        <f t="shared" si="114"/>
        <v>1595.8004662318822</v>
      </c>
    </row>
    <row r="161" spans="1:49" s="40" customFormat="1">
      <c r="A161" s="9">
        <v>41671</v>
      </c>
      <c r="B161" s="41">
        <f t="shared" si="115"/>
        <v>0</v>
      </c>
      <c r="C161" s="41">
        <f t="shared" si="115"/>
        <v>0</v>
      </c>
      <c r="D161" s="41">
        <f t="shared" si="115"/>
        <v>0</v>
      </c>
      <c r="E161" s="41">
        <f t="shared" si="115"/>
        <v>0</v>
      </c>
      <c r="F161" s="41">
        <f t="shared" si="115"/>
        <v>65.23</v>
      </c>
      <c r="G161" s="41">
        <f t="shared" si="115"/>
        <v>4852.369999999999</v>
      </c>
      <c r="H161" s="41">
        <f t="shared" si="115"/>
        <v>797.47</v>
      </c>
      <c r="I161" s="41">
        <f t="shared" si="115"/>
        <v>156.51</v>
      </c>
      <c r="J161" s="41">
        <f t="shared" si="115"/>
        <v>0</v>
      </c>
      <c r="K161" s="41">
        <f t="shared" si="115"/>
        <v>30</v>
      </c>
      <c r="L161" s="41">
        <f t="shared" si="115"/>
        <v>28</v>
      </c>
      <c r="M161" s="41">
        <f t="shared" si="115"/>
        <v>0</v>
      </c>
      <c r="N161" s="6">
        <f t="shared" si="116"/>
        <v>5929.579999999999</v>
      </c>
      <c r="P161" s="9">
        <v>41671</v>
      </c>
      <c r="Q161" s="41">
        <f t="shared" ref="Q161:AB161" si="137">Q30+Q46+Q62</f>
        <v>0</v>
      </c>
      <c r="R161" s="41">
        <f t="shared" si="137"/>
        <v>0</v>
      </c>
      <c r="S161" s="41">
        <f t="shared" si="137"/>
        <v>0</v>
      </c>
      <c r="T161" s="41">
        <f t="shared" si="137"/>
        <v>0</v>
      </c>
      <c r="U161" s="41">
        <f t="shared" si="137"/>
        <v>7434444.5199999996</v>
      </c>
      <c r="V161" s="41">
        <f t="shared" si="137"/>
        <v>486128267.54000002</v>
      </c>
      <c r="W161" s="41">
        <f t="shared" si="137"/>
        <v>95056498.120000005</v>
      </c>
      <c r="X161" s="41">
        <f t="shared" si="137"/>
        <v>16817334.490000002</v>
      </c>
      <c r="Y161" s="41">
        <f t="shared" si="137"/>
        <v>0</v>
      </c>
      <c r="Z161" s="41">
        <f t="shared" si="137"/>
        <v>3452366.86</v>
      </c>
      <c r="AA161" s="41">
        <f t="shared" si="137"/>
        <v>3019268.96</v>
      </c>
      <c r="AB161" s="41">
        <f t="shared" si="137"/>
        <v>0</v>
      </c>
      <c r="AC161" s="6">
        <f t="shared" si="118"/>
        <v>611908180.49000013</v>
      </c>
      <c r="AE161" s="9">
        <v>41671</v>
      </c>
      <c r="AF161" s="41">
        <f t="shared" ref="AF161:AQ161" si="138">AF30+AF46+AF62</f>
        <v>0</v>
      </c>
      <c r="AG161" s="41">
        <f t="shared" si="138"/>
        <v>0</v>
      </c>
      <c r="AH161" s="41">
        <f t="shared" si="138"/>
        <v>0</v>
      </c>
      <c r="AI161" s="41">
        <f t="shared" si="138"/>
        <v>0</v>
      </c>
      <c r="AJ161" s="41">
        <f t="shared" si="138"/>
        <v>118100.78665607625</v>
      </c>
      <c r="AK161" s="41">
        <f t="shared" si="138"/>
        <v>7735813.2092185142</v>
      </c>
      <c r="AL161" s="41">
        <f t="shared" si="138"/>
        <v>1510031.7413820492</v>
      </c>
      <c r="AM161" s="41">
        <f t="shared" si="138"/>
        <v>267153.84416203335</v>
      </c>
      <c r="AN161" s="41">
        <f t="shared" si="138"/>
        <v>0</v>
      </c>
      <c r="AO161" s="41">
        <f t="shared" si="138"/>
        <v>54843.00015885623</v>
      </c>
      <c r="AP161" s="41">
        <f t="shared" si="138"/>
        <v>48213.360127851178</v>
      </c>
      <c r="AQ161" s="41">
        <f t="shared" si="138"/>
        <v>0</v>
      </c>
      <c r="AR161" s="6">
        <f t="shared" si="120"/>
        <v>9734155.9417053796</v>
      </c>
      <c r="AU161" s="92">
        <f t="shared" si="112"/>
        <v>1594.2339947733819</v>
      </c>
      <c r="AV161" s="92">
        <f t="shared" si="113"/>
        <v>1893.527958897575</v>
      </c>
      <c r="AW161" s="92">
        <f t="shared" si="114"/>
        <v>1706.9442474093244</v>
      </c>
    </row>
    <row r="162" spans="1:49" s="40" customFormat="1">
      <c r="A162" s="9">
        <v>41699</v>
      </c>
      <c r="B162" s="41">
        <f t="shared" si="115"/>
        <v>0</v>
      </c>
      <c r="C162" s="41">
        <f t="shared" si="115"/>
        <v>0</v>
      </c>
      <c r="D162" s="41">
        <f t="shared" si="115"/>
        <v>19.5</v>
      </c>
      <c r="E162" s="41">
        <f t="shared" si="115"/>
        <v>0</v>
      </c>
      <c r="F162" s="41">
        <f t="shared" si="115"/>
        <v>78.81</v>
      </c>
      <c r="G162" s="41">
        <f t="shared" si="115"/>
        <v>5995.94</v>
      </c>
      <c r="H162" s="41">
        <f t="shared" si="115"/>
        <v>1247.6499999999999</v>
      </c>
      <c r="I162" s="41">
        <f t="shared" si="115"/>
        <v>176.24</v>
      </c>
      <c r="J162" s="41">
        <f t="shared" si="115"/>
        <v>0</v>
      </c>
      <c r="K162" s="41">
        <f t="shared" si="115"/>
        <v>54.8</v>
      </c>
      <c r="L162" s="41">
        <f t="shared" si="115"/>
        <v>14</v>
      </c>
      <c r="M162" s="41">
        <f t="shared" si="115"/>
        <v>1.2</v>
      </c>
      <c r="N162" s="6">
        <f t="shared" si="116"/>
        <v>7588.1399999999994</v>
      </c>
      <c r="O162" s="42">
        <f>N160+N161+N162</f>
        <v>18077.61</v>
      </c>
      <c r="P162" s="9">
        <v>41699</v>
      </c>
      <c r="Q162" s="41">
        <f t="shared" ref="Q162:AB162" si="139">Q31+Q47+Q63</f>
        <v>0</v>
      </c>
      <c r="R162" s="41">
        <f t="shared" si="139"/>
        <v>0</v>
      </c>
      <c r="S162" s="41">
        <f t="shared" si="139"/>
        <v>3456295.25</v>
      </c>
      <c r="T162" s="41">
        <f t="shared" si="139"/>
        <v>0</v>
      </c>
      <c r="U162" s="41">
        <f t="shared" si="139"/>
        <v>9139657.7199999988</v>
      </c>
      <c r="V162" s="41">
        <f t="shared" si="139"/>
        <v>598555324.51999998</v>
      </c>
      <c r="W162" s="41">
        <f t="shared" si="139"/>
        <v>137894620.21000001</v>
      </c>
      <c r="X162" s="41">
        <f t="shared" si="139"/>
        <v>18961556.280000001</v>
      </c>
      <c r="Y162" s="41">
        <f t="shared" si="139"/>
        <v>0</v>
      </c>
      <c r="Z162" s="41">
        <f t="shared" si="139"/>
        <v>5556944.2699999996</v>
      </c>
      <c r="AA162" s="41">
        <f t="shared" si="139"/>
        <v>1508741.54</v>
      </c>
      <c r="AB162" s="41">
        <f t="shared" si="139"/>
        <v>130223.34</v>
      </c>
      <c r="AC162" s="6">
        <f t="shared" si="118"/>
        <v>775203363.13</v>
      </c>
      <c r="AE162" s="9">
        <v>41699</v>
      </c>
      <c r="AF162" s="41">
        <f t="shared" ref="AF162:AQ162" si="140">AF31+AF47+AF63</f>
        <v>0</v>
      </c>
      <c r="AG162" s="41">
        <f t="shared" si="140"/>
        <v>0</v>
      </c>
      <c r="AH162" s="41">
        <f t="shared" si="140"/>
        <v>55746.697580645159</v>
      </c>
      <c r="AI162" s="41">
        <f t="shared" si="140"/>
        <v>0</v>
      </c>
      <c r="AJ162" s="41">
        <f t="shared" si="140"/>
        <v>147413.83419354836</v>
      </c>
      <c r="AK162" s="41">
        <f t="shared" si="140"/>
        <v>9644234.6690907292</v>
      </c>
      <c r="AL162" s="41">
        <f t="shared" si="140"/>
        <v>2221413.963967897</v>
      </c>
      <c r="AM162" s="41">
        <f t="shared" si="140"/>
        <v>305343.86512003897</v>
      </c>
      <c r="AN162" s="41">
        <f t="shared" si="140"/>
        <v>0</v>
      </c>
      <c r="AO162" s="41">
        <f t="shared" si="140"/>
        <v>89991.000323886634</v>
      </c>
      <c r="AP162" s="41">
        <f t="shared" si="140"/>
        <v>23967.300079428118</v>
      </c>
      <c r="AQ162" s="41">
        <f t="shared" si="140"/>
        <v>2108.88</v>
      </c>
      <c r="AR162" s="6">
        <f t="shared" si="120"/>
        <v>12490220.210356172</v>
      </c>
      <c r="AU162" s="92">
        <f t="shared" si="112"/>
        <v>1608.4608366812761</v>
      </c>
      <c r="AV162" s="92">
        <f t="shared" si="113"/>
        <v>1780.4784706992323</v>
      </c>
      <c r="AW162" s="92">
        <f t="shared" si="114"/>
        <v>1732.545762142754</v>
      </c>
    </row>
    <row r="163" spans="1:49" s="40" customFormat="1">
      <c r="A163" s="28" t="s">
        <v>4</v>
      </c>
      <c r="B163" s="91">
        <f>SUM(B151:B162)</f>
        <v>0</v>
      </c>
      <c r="C163" s="91">
        <f t="shared" ref="C163:M163" si="141">SUM(C151:C162)</f>
        <v>0</v>
      </c>
      <c r="D163" s="91">
        <f t="shared" si="141"/>
        <v>39.260000000000005</v>
      </c>
      <c r="E163" s="91">
        <f t="shared" si="141"/>
        <v>20.09</v>
      </c>
      <c r="F163" s="91">
        <f t="shared" si="141"/>
        <v>677.77</v>
      </c>
      <c r="G163" s="91">
        <f t="shared" si="141"/>
        <v>43047.42</v>
      </c>
      <c r="H163" s="91">
        <f t="shared" si="141"/>
        <v>10754.320005</v>
      </c>
      <c r="I163" s="91">
        <f t="shared" si="141"/>
        <v>2322.8100699999995</v>
      </c>
      <c r="J163" s="91">
        <f t="shared" si="141"/>
        <v>0</v>
      </c>
      <c r="K163" s="91">
        <f t="shared" si="141"/>
        <v>235</v>
      </c>
      <c r="L163" s="91">
        <f t="shared" si="141"/>
        <v>117.2</v>
      </c>
      <c r="M163" s="91">
        <f t="shared" si="141"/>
        <v>181.6</v>
      </c>
      <c r="N163" s="127">
        <f t="shared" si="116"/>
        <v>57395.470074999997</v>
      </c>
      <c r="P163" s="128" t="s">
        <v>4</v>
      </c>
      <c r="Q163" s="91">
        <f>SUM(Q151:Q162)</f>
        <v>0</v>
      </c>
      <c r="R163" s="91">
        <f t="shared" ref="R163:AB163" si="142">SUM(R151:R162)</f>
        <v>0</v>
      </c>
      <c r="S163" s="91">
        <f t="shared" si="142"/>
        <v>6456152.7400000002</v>
      </c>
      <c r="T163" s="91">
        <f t="shared" si="142"/>
        <v>2282320.4300000002</v>
      </c>
      <c r="U163" s="91">
        <f t="shared" si="142"/>
        <v>69447461.560000002</v>
      </c>
      <c r="V163" s="91">
        <f t="shared" si="142"/>
        <v>3956079467.2099996</v>
      </c>
      <c r="W163" s="91">
        <f t="shared" si="142"/>
        <v>1001764959.7800001</v>
      </c>
      <c r="X163" s="91">
        <f t="shared" si="142"/>
        <v>223063022.69</v>
      </c>
      <c r="Y163" s="91">
        <f t="shared" si="142"/>
        <v>0</v>
      </c>
      <c r="Z163" s="91">
        <f t="shared" si="142"/>
        <v>22779262.120000001</v>
      </c>
      <c r="AA163" s="91">
        <f t="shared" si="142"/>
        <v>10966968.059999999</v>
      </c>
      <c r="AB163" s="91">
        <f t="shared" si="142"/>
        <v>15514656.82</v>
      </c>
      <c r="AC163" s="127">
        <f t="shared" si="118"/>
        <v>5308354271.4099989</v>
      </c>
      <c r="AE163" s="128" t="s">
        <v>4</v>
      </c>
      <c r="AF163" s="91">
        <f>SUM(AF151:AF162)</f>
        <v>0</v>
      </c>
      <c r="AG163" s="91">
        <f t="shared" ref="AG163:AQ163" si="143">SUM(AG151:AG162)</f>
        <v>0</v>
      </c>
      <c r="AH163" s="91">
        <f t="shared" si="143"/>
        <v>103250.37913250581</v>
      </c>
      <c r="AI163" s="91">
        <f t="shared" si="143"/>
        <v>38552.709966216215</v>
      </c>
      <c r="AJ163" s="91">
        <f t="shared" si="143"/>
        <v>1138054.2414350943</v>
      </c>
      <c r="AK163" s="91">
        <f t="shared" si="143"/>
        <v>64947586.424678564</v>
      </c>
      <c r="AL163" s="91">
        <f t="shared" si="143"/>
        <v>16315439.804803537</v>
      </c>
      <c r="AM163" s="91">
        <f t="shared" si="143"/>
        <v>3631294.900950186</v>
      </c>
      <c r="AN163" s="91">
        <f t="shared" si="143"/>
        <v>0</v>
      </c>
      <c r="AO163" s="91">
        <f t="shared" si="143"/>
        <v>381696.66378275253</v>
      </c>
      <c r="AP163" s="91">
        <f t="shared" si="143"/>
        <v>181834.73975655725</v>
      </c>
      <c r="AQ163" s="91">
        <f t="shared" si="143"/>
        <v>253339.03538357999</v>
      </c>
      <c r="AR163" s="127">
        <f t="shared" si="120"/>
        <v>86991048.899888992</v>
      </c>
    </row>
  </sheetData>
  <mergeCells count="6">
    <mergeCell ref="AH116:AI116"/>
    <mergeCell ref="F116:G116"/>
    <mergeCell ref="AU2:AW2"/>
    <mergeCell ref="D1:M1"/>
    <mergeCell ref="S1:AB1"/>
    <mergeCell ref="AH1:AQ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2014-15</vt:lpstr>
      <vt:lpstr>2015-16 (till Feb)</vt:lpstr>
      <vt:lpstr>Table 1</vt:lpstr>
      <vt:lpstr>Tables 2 onwards</vt:lpstr>
      <vt:lpstr>Summary</vt:lpstr>
      <vt:lpstr>VVF - Prodtn &amp; Sales</vt:lpstr>
      <vt:lpstr> VVF Sales - PUC &amp; Non PUC</vt:lpstr>
      <vt:lpstr>Import Summary</vt:lpstr>
      <vt:lpstr>Imports 2013-14</vt:lpstr>
      <vt:lpstr>Imports 2014-15</vt:lpstr>
      <vt:lpstr>Imports 2015-16</vt:lpstr>
      <vt:lpstr>Imports 2016-17</vt:lpstr>
      <vt:lpstr>Imports Safeguard format</vt:lpstr>
      <vt:lpstr>Exchange Rates</vt:lpstr>
      <vt:lpstr>TradeData-MAL</vt:lpstr>
      <vt:lpstr>COP</vt:lpstr>
      <vt:lpstr>Dutywise</vt:lpstr>
      <vt:lpstr>V1214 HUL Others and V1618TA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2017-03-22T05:28:28Z</dcterms:modified>
</cp:coreProperties>
</file>