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0515" windowHeight="4380"/>
  </bookViews>
  <sheets>
    <sheet name="Wrapper" sheetId="2" r:id="rId1"/>
    <sheet name="Stiffener" sheetId="3" r:id="rId2"/>
    <sheet name="CFB" sheetId="9" r:id="rId3"/>
    <sheet name="Carton DOY (2)" sheetId="10" r:id="rId4"/>
    <sheet name="CO-EX Tube" sheetId="6" r:id="rId5"/>
    <sheet name="BOPP Film" sheetId="8" r:id="rId6"/>
    <sheet name="Benefit Analysis" sheetId="7" r:id="rId7"/>
    <sheet name="Laminate" sheetId="5" r:id="rId8"/>
    <sheet name="123" sheetId="1" r:id="rId9"/>
    <sheet name="Carton DOY" sheetId="4" r:id="rId10"/>
  </sheets>
  <calcPr calcId="145621"/>
</workbook>
</file>

<file path=xl/calcChain.xml><?xml version="1.0" encoding="utf-8"?>
<calcChain xmlns="http://schemas.openxmlformats.org/spreadsheetml/2006/main">
  <c r="J68" i="2" l="1"/>
  <c r="J66" i="2"/>
  <c r="M33" i="10" l="1"/>
  <c r="O29" i="10" l="1"/>
  <c r="N29" i="10"/>
  <c r="N30" i="10"/>
  <c r="O27" i="10"/>
  <c r="N27" i="10"/>
  <c r="N26" i="10"/>
  <c r="L31" i="10"/>
  <c r="L30" i="10"/>
  <c r="L25" i="10"/>
  <c r="I30" i="10"/>
  <c r="L28" i="10" s="1"/>
  <c r="I29" i="10"/>
  <c r="L27" i="10" s="1"/>
  <c r="I25" i="10"/>
  <c r="L32" i="10" s="1"/>
  <c r="L33" i="10" s="1"/>
  <c r="I23" i="10"/>
  <c r="C71" i="10"/>
  <c r="C70" i="10"/>
  <c r="A75" i="10"/>
  <c r="A76" i="10" s="1"/>
  <c r="C76" i="10" s="1"/>
  <c r="C74" i="10"/>
  <c r="C69" i="10"/>
  <c r="C68" i="10"/>
  <c r="E68" i="10" s="1"/>
  <c r="H71" i="10"/>
  <c r="H70" i="10"/>
  <c r="H69" i="10"/>
  <c r="H68" i="10"/>
  <c r="D68" i="10"/>
  <c r="O30" i="10" l="1"/>
  <c r="L35" i="10"/>
  <c r="L36" i="10" s="1"/>
  <c r="L39" i="10" s="1"/>
  <c r="L41" i="10" s="1"/>
  <c r="A77" i="10"/>
  <c r="C77" i="10" s="1"/>
  <c r="C75" i="10"/>
  <c r="G68" i="10"/>
  <c r="E69" i="10"/>
  <c r="G69" i="10" s="1"/>
  <c r="E70" i="10"/>
  <c r="G70" i="10" s="1"/>
  <c r="E71" i="10"/>
  <c r="G71" i="10" s="1"/>
  <c r="C63" i="10"/>
  <c r="B63" i="10"/>
  <c r="C62" i="10"/>
  <c r="B62" i="10"/>
  <c r="G58" i="10"/>
  <c r="D58" i="10"/>
  <c r="F58" i="10" s="1"/>
  <c r="G57" i="10"/>
  <c r="D57" i="10"/>
  <c r="F57" i="10" s="1"/>
  <c r="G52" i="10"/>
  <c r="D52" i="10"/>
  <c r="F52" i="10" s="1"/>
  <c r="G51" i="10"/>
  <c r="D51" i="10"/>
  <c r="F51" i="10" s="1"/>
  <c r="D46" i="10"/>
  <c r="F46" i="10" s="1"/>
  <c r="G46" i="10" s="1"/>
  <c r="G45" i="10"/>
  <c r="D45" i="10"/>
  <c r="F45" i="10" s="1"/>
  <c r="I35" i="10"/>
  <c r="F35" i="10"/>
  <c r="I34" i="10"/>
  <c r="F34" i="10"/>
  <c r="K33" i="10"/>
  <c r="K36" i="10" s="1"/>
  <c r="K39" i="10" s="1"/>
  <c r="K41" i="10" s="1"/>
  <c r="M32" i="10"/>
  <c r="N32" i="10" s="1"/>
  <c r="N35" i="10" s="1"/>
  <c r="K32" i="10"/>
  <c r="B24" i="10"/>
  <c r="C19" i="10"/>
  <c r="B19" i="10"/>
  <c r="D15" i="10"/>
  <c r="C21" i="10" s="1"/>
  <c r="C11" i="10"/>
  <c r="C10" i="10"/>
  <c r="C7" i="10"/>
  <c r="B7" i="10"/>
  <c r="C6" i="10"/>
  <c r="B6" i="10"/>
  <c r="B13" i="10" l="1"/>
  <c r="C14" i="10"/>
  <c r="D19" i="10"/>
  <c r="F25" i="10" s="1"/>
  <c r="D62" i="10"/>
  <c r="D64" i="10" s="1"/>
  <c r="C78" i="10"/>
  <c r="G59" i="10"/>
  <c r="C13" i="10"/>
  <c r="G47" i="10"/>
  <c r="G53" i="10"/>
  <c r="D63" i="10"/>
  <c r="B64" i="10"/>
  <c r="C22" i="10"/>
  <c r="F23" i="10" s="1"/>
  <c r="B14" i="10"/>
  <c r="F31" i="10"/>
  <c r="D58" i="4"/>
  <c r="D57" i="4"/>
  <c r="G58" i="4"/>
  <c r="F58" i="4"/>
  <c r="G57" i="4"/>
  <c r="G59" i="4" s="1"/>
  <c r="F57" i="4"/>
  <c r="F20" i="8"/>
  <c r="E20" i="8"/>
  <c r="F19" i="8"/>
  <c r="F18" i="8"/>
  <c r="C20" i="8"/>
  <c r="C19" i="8"/>
  <c r="K17" i="8"/>
  <c r="I17" i="8"/>
  <c r="H17" i="8"/>
  <c r="I16" i="8"/>
  <c r="K5" i="8"/>
  <c r="H50" i="3"/>
  <c r="F50" i="3"/>
  <c r="O49" i="3"/>
  <c r="Q49" i="3" s="1"/>
  <c r="N47" i="3"/>
  <c r="O46" i="3"/>
  <c r="P46" i="3" s="1"/>
  <c r="R46" i="3" s="1"/>
  <c r="T45" i="3"/>
  <c r="F49" i="3"/>
  <c r="H49" i="3" s="1"/>
  <c r="K47" i="3"/>
  <c r="F47" i="3"/>
  <c r="E47" i="3"/>
  <c r="AL42" i="3"/>
  <c r="AK42" i="3"/>
  <c r="AJ42" i="3"/>
  <c r="AG42" i="3"/>
  <c r="AF42" i="3"/>
  <c r="AB35" i="3"/>
  <c r="AB36" i="3" s="1"/>
  <c r="AA35" i="3"/>
  <c r="AA36" i="3" s="1"/>
  <c r="Z35" i="3"/>
  <c r="Z36" i="3" s="1"/>
  <c r="Y35" i="3"/>
  <c r="Y36" i="3" s="1"/>
  <c r="AB30" i="3"/>
  <c r="AA30" i="3"/>
  <c r="Z30" i="3"/>
  <c r="AH27" i="3"/>
  <c r="AH30" i="3" s="1"/>
  <c r="AH31" i="3" s="1"/>
  <c r="AH33" i="3" s="1"/>
  <c r="AH34" i="3" s="1"/>
  <c r="F26" i="10" l="1"/>
  <c r="F32" i="10" s="1"/>
  <c r="B27" i="10"/>
  <c r="F33" i="10"/>
  <c r="F62" i="10"/>
  <c r="E62" i="10"/>
  <c r="O47" i="3"/>
  <c r="I47" i="3"/>
  <c r="J47" i="3" s="1"/>
  <c r="Y38" i="3"/>
  <c r="Y37" i="3"/>
  <c r="Z38" i="3"/>
  <c r="Z37" i="3"/>
  <c r="Z40" i="3" s="1"/>
  <c r="AA38" i="3"/>
  <c r="AA37" i="3"/>
  <c r="AA40" i="3" s="1"/>
  <c r="AB38" i="3"/>
  <c r="AB37" i="3"/>
  <c r="AB40" i="3" s="1"/>
  <c r="AH29" i="3"/>
  <c r="F36" i="10" l="1"/>
  <c r="I32" i="10"/>
  <c r="F37" i="10"/>
  <c r="S47" i="3"/>
  <c r="R47" i="3"/>
  <c r="T47" i="3" s="1"/>
  <c r="AH42" i="3"/>
  <c r="AI44" i="3" s="1"/>
  <c r="AD42" i="3"/>
  <c r="Y40" i="3"/>
  <c r="AB41" i="3"/>
  <c r="AB43" i="3" s="1"/>
  <c r="Z41" i="3"/>
  <c r="Z43" i="3" s="1"/>
  <c r="AA41" i="3"/>
  <c r="AA43" i="3" s="1"/>
  <c r="AI42" i="3"/>
  <c r="AE42" i="3"/>
  <c r="F38" i="10" l="1"/>
  <c r="I33" i="10"/>
  <c r="I36" i="10" s="1"/>
  <c r="Y41" i="3"/>
  <c r="Y43" i="3" s="1"/>
  <c r="AD44" i="3"/>
  <c r="AD45" i="3" s="1"/>
  <c r="I37" i="10" l="1"/>
  <c r="I38" i="10" s="1"/>
  <c r="F68" i="9"/>
  <c r="F69" i="9" s="1"/>
  <c r="D68" i="9"/>
  <c r="F67" i="9"/>
  <c r="D67" i="9"/>
  <c r="D63" i="9"/>
  <c r="C63" i="9"/>
  <c r="F63" i="9" s="1"/>
  <c r="F64" i="9" s="1"/>
  <c r="F62" i="9"/>
  <c r="D62" i="9"/>
  <c r="F57" i="9"/>
  <c r="F56" i="9"/>
  <c r="D56" i="9"/>
  <c r="F55" i="9"/>
  <c r="D55" i="9"/>
  <c r="C51" i="9"/>
  <c r="D51" i="9" s="1"/>
  <c r="F51" i="9" s="1"/>
  <c r="F52" i="9" s="1"/>
  <c r="F50" i="9"/>
  <c r="D50" i="9"/>
  <c r="G45" i="9"/>
  <c r="I45" i="9" s="1"/>
  <c r="F45" i="9"/>
  <c r="L44" i="9"/>
  <c r="B36" i="9" s="1"/>
  <c r="G44" i="9"/>
  <c r="I44" i="9" s="1"/>
  <c r="F44" i="9"/>
  <c r="M43" i="9"/>
  <c r="F43" i="9"/>
  <c r="G43" i="9" s="1"/>
  <c r="L43" i="9" s="1"/>
  <c r="B35" i="9" s="1"/>
  <c r="F42" i="9"/>
  <c r="G42" i="9" s="1"/>
  <c r="L42" i="9" s="1"/>
  <c r="B34" i="9" s="1"/>
  <c r="F41" i="9"/>
  <c r="G41" i="9" s="1"/>
  <c r="L41" i="9" s="1"/>
  <c r="B33" i="9" s="1"/>
  <c r="G40" i="9"/>
  <c r="L40" i="9" s="1"/>
  <c r="B32" i="9" s="1"/>
  <c r="F40" i="9"/>
  <c r="I40" i="9" s="1"/>
  <c r="B37" i="9"/>
  <c r="J35" i="9"/>
  <c r="I35" i="9"/>
  <c r="H35" i="9"/>
  <c r="G35" i="9"/>
  <c r="F35" i="9"/>
  <c r="J27" i="9"/>
  <c r="F27" i="9"/>
  <c r="G27" i="9" s="1"/>
  <c r="C27" i="9"/>
  <c r="B27" i="9"/>
  <c r="J26" i="9"/>
  <c r="F26" i="9"/>
  <c r="G26" i="9" s="1"/>
  <c r="I26" i="9" s="1"/>
  <c r="C26" i="9"/>
  <c r="B26" i="9"/>
  <c r="J25" i="9"/>
  <c r="F25" i="9"/>
  <c r="G25" i="9" s="1"/>
  <c r="C25" i="9"/>
  <c r="B25" i="9"/>
  <c r="J24" i="9"/>
  <c r="F24" i="9"/>
  <c r="G24" i="9" s="1"/>
  <c r="I24" i="9" s="1"/>
  <c r="C24" i="9"/>
  <c r="B24" i="9"/>
  <c r="J23" i="9"/>
  <c r="F23" i="9"/>
  <c r="G23" i="9" s="1"/>
  <c r="C23" i="9"/>
  <c r="B23" i="9"/>
  <c r="J22" i="9"/>
  <c r="F22" i="9"/>
  <c r="G22" i="9" s="1"/>
  <c r="I22" i="9" s="1"/>
  <c r="C22" i="9"/>
  <c r="B22" i="9"/>
  <c r="M20" i="9"/>
  <c r="E17" i="9"/>
  <c r="E14" i="9"/>
  <c r="D11" i="9"/>
  <c r="C11" i="9"/>
  <c r="F11" i="9" s="1"/>
  <c r="H11" i="9" s="1"/>
  <c r="B11" i="9"/>
  <c r="G9" i="9"/>
  <c r="I9" i="9" s="1"/>
  <c r="F9" i="9"/>
  <c r="E9" i="9"/>
  <c r="H9" i="9" s="1"/>
  <c r="N3" i="9"/>
  <c r="E11" i="9" l="1"/>
  <c r="G11" i="9" s="1"/>
  <c r="I11" i="9" s="1"/>
  <c r="I23" i="9"/>
  <c r="I25" i="9"/>
  <c r="I27" i="9"/>
  <c r="J40" i="9"/>
  <c r="I41" i="9"/>
  <c r="I42" i="9"/>
  <c r="I43" i="9"/>
  <c r="L12" i="9" l="1"/>
  <c r="N12" i="9" s="1"/>
  <c r="L11" i="9"/>
  <c r="N11" i="9" l="1"/>
  <c r="N14" i="9" s="1"/>
  <c r="L13" i="9"/>
  <c r="B16" i="1" l="1"/>
  <c r="C28" i="8" l="1"/>
  <c r="E28" i="8" s="1"/>
  <c r="U5" i="8"/>
  <c r="W5" i="8" s="1"/>
  <c r="I10" i="8"/>
  <c r="E19" i="8"/>
  <c r="E18" i="8"/>
  <c r="S5" i="8"/>
  <c r="Q5" i="8"/>
  <c r="G5" i="8"/>
  <c r="E5" i="8"/>
  <c r="U10" i="8" l="1"/>
  <c r="U9" i="8"/>
  <c r="I9" i="8"/>
  <c r="I11" i="8" l="1"/>
  <c r="I13" i="8" s="1"/>
  <c r="W10" i="8"/>
  <c r="W9" i="8"/>
  <c r="K10" i="8"/>
  <c r="K9" i="8"/>
  <c r="U11" i="8"/>
  <c r="U13" i="8" s="1"/>
  <c r="U14" i="8" l="1"/>
  <c r="U15" i="8"/>
  <c r="W11" i="8"/>
  <c r="W13" i="8" s="1"/>
  <c r="K11" i="8"/>
  <c r="K13" i="8" s="1"/>
  <c r="U17" i="8" l="1"/>
  <c r="C27" i="8"/>
  <c r="W14" i="8"/>
  <c r="W15" i="8"/>
  <c r="C29" i="8" l="1"/>
  <c r="E27" i="8"/>
  <c r="E29" i="8" s="1"/>
  <c r="W17" i="8"/>
  <c r="D16" i="7"/>
  <c r="E16" i="7" s="1"/>
  <c r="D11" i="7"/>
  <c r="E11" i="7" s="1"/>
  <c r="F61" i="6"/>
  <c r="E62" i="4"/>
  <c r="O61" i="3"/>
  <c r="J61" i="3"/>
  <c r="G81" i="2"/>
  <c r="G80" i="2"/>
  <c r="C61" i="6"/>
  <c r="C63" i="6" s="1"/>
  <c r="D62" i="6"/>
  <c r="D61" i="6"/>
  <c r="C62" i="6"/>
  <c r="F62" i="4"/>
  <c r="C63" i="4"/>
  <c r="D63" i="4"/>
  <c r="C62" i="4"/>
  <c r="D62" i="4" s="1"/>
  <c r="B63" i="4"/>
  <c r="B62" i="4"/>
  <c r="B64" i="4" s="1"/>
  <c r="J88" i="2"/>
  <c r="L88" i="2" s="1"/>
  <c r="J87" i="2"/>
  <c r="G27" i="8" l="1"/>
  <c r="F27" i="8"/>
  <c r="D13" i="7" s="1"/>
  <c r="E13" i="7" s="1"/>
  <c r="E62" i="6"/>
  <c r="E61" i="6"/>
  <c r="E63" i="6" s="1"/>
  <c r="G61" i="6" s="1"/>
  <c r="D64" i="4"/>
  <c r="J89" i="2"/>
  <c r="L87" i="2"/>
  <c r="L89" i="2" s="1"/>
  <c r="M87" i="2" l="1"/>
  <c r="N87" i="2"/>
  <c r="B61" i="1" l="1"/>
  <c r="D61" i="1" s="1"/>
  <c r="B60" i="1"/>
  <c r="D60" i="1"/>
  <c r="C68" i="3"/>
  <c r="E68" i="3" s="1"/>
  <c r="E88" i="2"/>
  <c r="E89" i="2" s="1"/>
  <c r="E87" i="2"/>
  <c r="C89" i="2"/>
  <c r="C87" i="2"/>
  <c r="G47" i="4"/>
  <c r="G53" i="4"/>
  <c r="G52" i="4"/>
  <c r="G51" i="4"/>
  <c r="D52" i="4"/>
  <c r="F52" i="4" s="1"/>
  <c r="D51" i="4"/>
  <c r="F51" i="4" s="1"/>
  <c r="H35" i="4"/>
  <c r="H34" i="4"/>
  <c r="G32" i="4"/>
  <c r="L32" i="4"/>
  <c r="M32" i="4" s="1"/>
  <c r="M35" i="4" s="1"/>
  <c r="G45" i="4"/>
  <c r="D46" i="4"/>
  <c r="F46" i="4" s="1"/>
  <c r="G46" i="4" s="1"/>
  <c r="D45" i="4"/>
  <c r="F45" i="4" s="1"/>
  <c r="H49" i="6"/>
  <c r="G49" i="6"/>
  <c r="E49" i="6"/>
  <c r="E48" i="6"/>
  <c r="G48" i="6" s="1"/>
  <c r="H48" i="6" s="1"/>
  <c r="H50" i="6" s="1"/>
  <c r="D48" i="6"/>
  <c r="D43" i="6"/>
  <c r="E43" i="6" s="1"/>
  <c r="E42" i="6"/>
  <c r="D42" i="6"/>
  <c r="D36" i="6"/>
  <c r="C36" i="6"/>
  <c r="M34" i="6"/>
  <c r="N34" i="6" s="1"/>
  <c r="C55" i="6" s="1"/>
  <c r="L34" i="6"/>
  <c r="K34" i="6"/>
  <c r="M33" i="6"/>
  <c r="N33" i="6" s="1"/>
  <c r="C54" i="6" s="1"/>
  <c r="L33" i="6"/>
  <c r="K33" i="6"/>
  <c r="E30" i="6"/>
  <c r="G30" i="6" s="1"/>
  <c r="G29" i="6"/>
  <c r="E29" i="6"/>
  <c r="D23" i="6"/>
  <c r="C23" i="6"/>
  <c r="D18" i="6"/>
  <c r="E18" i="6" s="1"/>
  <c r="G18" i="6" s="1"/>
  <c r="D35" i="6" s="1"/>
  <c r="D37" i="6" s="1"/>
  <c r="D39" i="6" s="1"/>
  <c r="E17" i="6"/>
  <c r="G17" i="6" s="1"/>
  <c r="C35" i="6" s="1"/>
  <c r="C37" i="6" s="1"/>
  <c r="C39" i="6" s="1"/>
  <c r="D17" i="6"/>
  <c r="F13" i="6"/>
  <c r="D13" i="6"/>
  <c r="G13" i="6" s="1"/>
  <c r="C13" i="6"/>
  <c r="D8" i="6"/>
  <c r="C8" i="6"/>
  <c r="G87" i="2" l="1"/>
  <c r="F87" i="2"/>
  <c r="D5" i="7" s="1"/>
  <c r="E5" i="7" s="1"/>
  <c r="D62" i="1"/>
  <c r="F60" i="1" s="1"/>
  <c r="B62" i="1"/>
  <c r="H54" i="6"/>
  <c r="H56" i="6" s="1"/>
  <c r="G54" i="6"/>
  <c r="D54" i="6"/>
  <c r="H55" i="6"/>
  <c r="G55" i="6"/>
  <c r="D55" i="6"/>
  <c r="D7" i="5"/>
  <c r="D6" i="5"/>
  <c r="D12" i="5" s="1"/>
  <c r="E60" i="1" l="1"/>
  <c r="D7" i="7" s="1"/>
  <c r="F8" i="5"/>
  <c r="F9" i="5"/>
  <c r="F6" i="5"/>
  <c r="F11" i="5"/>
  <c r="F10" i="5"/>
  <c r="F7" i="5"/>
  <c r="D12" i="7" l="1"/>
  <c r="E7" i="7"/>
  <c r="F12" i="5"/>
  <c r="E12" i="7" l="1"/>
  <c r="E14" i="7" s="1"/>
  <c r="D17" i="7"/>
  <c r="E17" i="7" s="1"/>
  <c r="E18" i="7" s="1"/>
  <c r="F13" i="5"/>
  <c r="F14" i="5" s="1"/>
  <c r="F18" i="5" l="1"/>
  <c r="F19" i="5" s="1"/>
  <c r="F20" i="5" s="1"/>
  <c r="F22" i="5" l="1"/>
  <c r="F23" i="5" s="1"/>
  <c r="F25" i="5" l="1"/>
  <c r="F26" i="5" s="1"/>
  <c r="J32" i="4" l="1"/>
  <c r="F35" i="4"/>
  <c r="F34" i="4"/>
  <c r="J33" i="4"/>
  <c r="J36" i="4" s="1"/>
  <c r="J39" i="4" s="1"/>
  <c r="B24" i="4"/>
  <c r="C19" i="4"/>
  <c r="B19" i="4"/>
  <c r="D15" i="4"/>
  <c r="D19" i="4" s="1"/>
  <c r="C13" i="4"/>
  <c r="B13" i="4"/>
  <c r="C11" i="4"/>
  <c r="C10" i="4"/>
  <c r="C7" i="4"/>
  <c r="B7" i="4"/>
  <c r="C6" i="4"/>
  <c r="B6" i="4"/>
  <c r="B14" i="4" s="1"/>
  <c r="C14" i="4" l="1"/>
  <c r="F31" i="4"/>
  <c r="F26" i="4"/>
  <c r="F25" i="4"/>
  <c r="C22" i="4"/>
  <c r="F23" i="4" s="1"/>
  <c r="C21" i="4"/>
  <c r="B27" i="4"/>
  <c r="F33" i="4" l="1"/>
  <c r="F32" i="4"/>
  <c r="H32" i="4" s="1"/>
  <c r="H33" i="4" l="1"/>
  <c r="H36" i="4" s="1"/>
  <c r="F37" i="4"/>
  <c r="F36" i="4"/>
  <c r="H37" i="4" l="1"/>
  <c r="H38" i="4" s="1"/>
  <c r="F38" i="4"/>
  <c r="J62" i="3" l="1"/>
  <c r="N61" i="3" s="1"/>
  <c r="G62" i="3"/>
  <c r="L61" i="3"/>
  <c r="K61" i="3"/>
  <c r="G61" i="3"/>
  <c r="H61" i="3" s="1"/>
  <c r="F46" i="3"/>
  <c r="G46" i="3" s="1"/>
  <c r="I46" i="3" s="1"/>
  <c r="K45" i="3"/>
  <c r="K41" i="3"/>
  <c r="L41" i="3" s="1"/>
  <c r="H41" i="3"/>
  <c r="H40" i="3"/>
  <c r="H39" i="3"/>
  <c r="L38" i="3"/>
  <c r="K38" i="3"/>
  <c r="H38" i="3"/>
  <c r="K37" i="3"/>
  <c r="L37" i="3" s="1"/>
  <c r="H37" i="3"/>
  <c r="H36" i="3"/>
  <c r="H35" i="3"/>
  <c r="L34" i="3"/>
  <c r="K34" i="3"/>
  <c r="H34" i="3"/>
  <c r="K33" i="3"/>
  <c r="L33" i="3" s="1"/>
  <c r="H33" i="3"/>
  <c r="H32" i="3"/>
  <c r="H31" i="3"/>
  <c r="L30" i="3"/>
  <c r="K30" i="3"/>
  <c r="H30" i="3"/>
  <c r="K29" i="3"/>
  <c r="L29" i="3" s="1"/>
  <c r="H29" i="3"/>
  <c r="H28" i="3"/>
  <c r="H27" i="3"/>
  <c r="L26" i="3"/>
  <c r="K26" i="3"/>
  <c r="H26" i="3"/>
  <c r="AG10" i="3"/>
  <c r="AA10" i="3"/>
  <c r="U10" i="3"/>
  <c r="O10" i="3"/>
  <c r="I10" i="3"/>
  <c r="C10" i="3"/>
  <c r="AH8" i="3"/>
  <c r="AB8" i="3"/>
  <c r="AD8" i="3" s="1"/>
  <c r="V8" i="3"/>
  <c r="P8" i="3"/>
  <c r="R8" i="3" s="1"/>
  <c r="J8" i="3"/>
  <c r="F8" i="3"/>
  <c r="AD6" i="3"/>
  <c r="X6" i="3"/>
  <c r="R6" i="3"/>
  <c r="F6" i="3"/>
  <c r="H62" i="3" l="1"/>
  <c r="M61" i="3" s="1"/>
  <c r="C69" i="3"/>
  <c r="AJ8" i="3"/>
  <c r="R10" i="3"/>
  <c r="R12" i="3" s="1"/>
  <c r="R14" i="3" s="1"/>
  <c r="F10" i="3"/>
  <c r="F12" i="3" s="1"/>
  <c r="F14" i="3" s="1"/>
  <c r="L8" i="3"/>
  <c r="AD10" i="3"/>
  <c r="AD12" i="3" s="1"/>
  <c r="AD14" i="3" s="1"/>
  <c r="X8" i="3"/>
  <c r="X10" i="3" s="1"/>
  <c r="L32" i="3"/>
  <c r="L31" i="3"/>
  <c r="L35" i="3"/>
  <c r="K28" i="3"/>
  <c r="L28" i="3" s="1"/>
  <c r="K32" i="3"/>
  <c r="K36" i="3"/>
  <c r="L36" i="3" s="1"/>
  <c r="K40" i="3"/>
  <c r="L40" i="3" s="1"/>
  <c r="L6" i="3"/>
  <c r="AJ6" i="3"/>
  <c r="AJ10" i="3" s="1"/>
  <c r="K27" i="3"/>
  <c r="L27" i="3" s="1"/>
  <c r="K31" i="3"/>
  <c r="K35" i="3"/>
  <c r="K39" i="3"/>
  <c r="L39" i="3" s="1"/>
  <c r="E69" i="3" l="1"/>
  <c r="E70" i="3" s="1"/>
  <c r="C70" i="3"/>
  <c r="L10" i="3"/>
  <c r="F18" i="3"/>
  <c r="F20" i="3" s="1"/>
  <c r="AD18" i="3"/>
  <c r="AD20" i="3" s="1"/>
  <c r="R18" i="3"/>
  <c r="R20" i="3" s="1"/>
  <c r="AJ12" i="3"/>
  <c r="AJ14" i="3" s="1"/>
  <c r="L12" i="3"/>
  <c r="L14" i="3" s="1"/>
  <c r="X12" i="3"/>
  <c r="X14" i="3" s="1"/>
  <c r="F68" i="3" l="1"/>
  <c r="D6" i="7" s="1"/>
  <c r="E6" i="7" s="1"/>
  <c r="E8" i="7" s="1"/>
  <c r="G68" i="3"/>
  <c r="L18" i="3"/>
  <c r="L20" i="3" s="1"/>
  <c r="X18" i="3"/>
  <c r="X20" i="3" s="1"/>
  <c r="AJ18" i="3"/>
  <c r="AJ20" i="3" s="1"/>
  <c r="I81" i="2" l="1"/>
  <c r="K80" i="2"/>
  <c r="J80" i="2"/>
  <c r="I80" i="2"/>
  <c r="M80" i="2" s="1"/>
  <c r="L80" i="2"/>
  <c r="U68" i="2"/>
  <c r="T68" i="2"/>
  <c r="N68" i="2"/>
  <c r="M68" i="2"/>
  <c r="I68" i="2"/>
  <c r="G68" i="2"/>
  <c r="F68" i="2"/>
  <c r="I67" i="2"/>
  <c r="J56" i="2" s="1"/>
  <c r="E67" i="2"/>
  <c r="P64" i="2"/>
  <c r="I63" i="2"/>
  <c r="I64" i="2" s="1"/>
  <c r="G63" i="2"/>
  <c r="F63" i="2"/>
  <c r="E62" i="2"/>
  <c r="J57" i="2"/>
  <c r="I57" i="2"/>
  <c r="K57" i="2" s="1"/>
  <c r="F57" i="2"/>
  <c r="E56" i="2"/>
  <c r="F56" i="2" s="1"/>
  <c r="I56" i="2" s="1"/>
  <c r="Z52" i="2"/>
  <c r="Y52" i="2"/>
  <c r="X52" i="2"/>
  <c r="W52" i="2"/>
  <c r="V52" i="2"/>
  <c r="Q52" i="2"/>
  <c r="P52" i="2"/>
  <c r="O52" i="2"/>
  <c r="N52" i="2"/>
  <c r="E52" i="2"/>
  <c r="Z51" i="2"/>
  <c r="X51" i="2"/>
  <c r="W51" i="2"/>
  <c r="V51" i="2"/>
  <c r="Y51" i="2" s="1"/>
  <c r="P51" i="2"/>
  <c r="O51" i="2"/>
  <c r="N51" i="2"/>
  <c r="Q51" i="2" s="1"/>
  <c r="E51" i="2"/>
  <c r="X50" i="2"/>
  <c r="Z50" i="2" s="1"/>
  <c r="W50" i="2"/>
  <c r="Y50" i="2" s="1"/>
  <c r="V50" i="2"/>
  <c r="P50" i="2"/>
  <c r="O50" i="2"/>
  <c r="Q50" i="2" s="1"/>
  <c r="N50" i="2"/>
  <c r="F50" i="2"/>
  <c r="H50" i="2" s="1"/>
  <c r="I50" i="2" s="1"/>
  <c r="E50" i="2"/>
  <c r="X49" i="2"/>
  <c r="W49" i="2"/>
  <c r="V49" i="2"/>
  <c r="Q49" i="2"/>
  <c r="P49" i="2"/>
  <c r="O49" i="2"/>
  <c r="N49" i="2"/>
  <c r="E49" i="2"/>
  <c r="F49" i="2" s="1"/>
  <c r="H49" i="2" s="1"/>
  <c r="I49" i="2" s="1"/>
  <c r="Z46" i="2"/>
  <c r="Y46" i="2"/>
  <c r="X46" i="2"/>
  <c r="W46" i="2"/>
  <c r="V46" i="2"/>
  <c r="Q46" i="2"/>
  <c r="P46" i="2"/>
  <c r="O46" i="2"/>
  <c r="N46" i="2"/>
  <c r="E46" i="2"/>
  <c r="Z44" i="2"/>
  <c r="X44" i="2"/>
  <c r="W44" i="2"/>
  <c r="V44" i="2"/>
  <c r="Y44" i="2" s="1"/>
  <c r="P44" i="2"/>
  <c r="O44" i="2"/>
  <c r="N44" i="2"/>
  <c r="Q44" i="2" s="1"/>
  <c r="E44" i="2"/>
  <c r="Z40" i="2"/>
  <c r="W40" i="2"/>
  <c r="V40" i="2"/>
  <c r="Y40" i="2" s="1"/>
  <c r="R40" i="2"/>
  <c r="O40" i="2"/>
  <c r="N40" i="2"/>
  <c r="Q40" i="2" s="1"/>
  <c r="Z39" i="2"/>
  <c r="W39" i="2"/>
  <c r="V39" i="2"/>
  <c r="Y39" i="2" s="1"/>
  <c r="R39" i="2"/>
  <c r="O39" i="2"/>
  <c r="N39" i="2"/>
  <c r="Q39" i="2" s="1"/>
  <c r="J39" i="2"/>
  <c r="F39" i="2"/>
  <c r="H39" i="2" s="1"/>
  <c r="I39" i="2" s="1"/>
  <c r="E39" i="2"/>
  <c r="Z38" i="2"/>
  <c r="W38" i="2"/>
  <c r="Y38" i="2" s="1"/>
  <c r="V38" i="2"/>
  <c r="R38" i="2"/>
  <c r="O38" i="2"/>
  <c r="Q38" i="2" s="1"/>
  <c r="N38" i="2"/>
  <c r="J38" i="2"/>
  <c r="Z37" i="2"/>
  <c r="Y37" i="2"/>
  <c r="W37" i="2"/>
  <c r="V37" i="2"/>
  <c r="R37" i="2"/>
  <c r="Q37" i="2"/>
  <c r="O37" i="2"/>
  <c r="N37" i="2"/>
  <c r="J37" i="2"/>
  <c r="J36" i="2"/>
  <c r="E36" i="2"/>
  <c r="Z34" i="2"/>
  <c r="W34" i="2"/>
  <c r="V34" i="2"/>
  <c r="Y34" i="2" s="1"/>
  <c r="R34" i="2"/>
  <c r="O34" i="2"/>
  <c r="N34" i="2"/>
  <c r="Q34" i="2" s="1"/>
  <c r="J33" i="2"/>
  <c r="F33" i="2"/>
  <c r="H33" i="2" s="1"/>
  <c r="I33" i="2" s="1"/>
  <c r="E33" i="2"/>
  <c r="Z32" i="2"/>
  <c r="W32" i="2"/>
  <c r="Y32" i="2" s="1"/>
  <c r="V32" i="2"/>
  <c r="R32" i="2"/>
  <c r="O32" i="2"/>
  <c r="Q32" i="2" s="1"/>
  <c r="N32" i="2"/>
  <c r="J31" i="2"/>
  <c r="E31" i="2"/>
  <c r="F31" i="2" s="1"/>
  <c r="H31" i="2" s="1"/>
  <c r="I31" i="2" s="1"/>
  <c r="S19" i="2"/>
  <c r="F19" i="2"/>
  <c r="D6" i="2"/>
  <c r="L2" i="2"/>
  <c r="K56" i="2" l="1"/>
  <c r="L56" i="2" s="1"/>
  <c r="I58" i="2"/>
  <c r="M6" i="2"/>
  <c r="D12" i="2"/>
  <c r="F6" i="2" s="1"/>
  <c r="I69" i="2"/>
  <c r="H44" i="2"/>
  <c r="I44" i="2" s="1"/>
  <c r="F44" i="2"/>
  <c r="F51" i="2"/>
  <c r="H51" i="2" s="1"/>
  <c r="I51" i="2" s="1"/>
  <c r="Z49" i="2"/>
  <c r="Y49" i="2"/>
  <c r="H36" i="2"/>
  <c r="I36" i="2" s="1"/>
  <c r="E37" i="2"/>
  <c r="F36" i="2"/>
  <c r="F46" i="2"/>
  <c r="H46" i="2" s="1"/>
  <c r="I46" i="2" s="1"/>
  <c r="F52" i="2"/>
  <c r="H52" i="2" s="1"/>
  <c r="I52" i="2" s="1"/>
  <c r="S6" i="2" l="1"/>
  <c r="P6" i="2"/>
  <c r="H37" i="2"/>
  <c r="I37" i="2" s="1"/>
  <c r="E38" i="2"/>
  <c r="F37" i="2"/>
  <c r="P11" i="2"/>
  <c r="P10" i="2"/>
  <c r="P9" i="2"/>
  <c r="P8" i="2"/>
  <c r="P7" i="2"/>
  <c r="M11" i="2"/>
  <c r="M10" i="2"/>
  <c r="M12" i="2" s="1"/>
  <c r="M9" i="2"/>
  <c r="M8" i="2"/>
  <c r="M7" i="2"/>
  <c r="F11" i="2"/>
  <c r="F9" i="2"/>
  <c r="F7" i="2"/>
  <c r="F12" i="2" s="1"/>
  <c r="F10" i="2"/>
  <c r="S11" i="2"/>
  <c r="S7" i="2"/>
  <c r="S10" i="2"/>
  <c r="S8" i="2"/>
  <c r="F8" i="2"/>
  <c r="S9" i="2"/>
  <c r="M14" i="2" l="1"/>
  <c r="M13" i="2"/>
  <c r="M18" i="2"/>
  <c r="M19" i="2" s="1"/>
  <c r="F14" i="2"/>
  <c r="F20" i="2" s="1"/>
  <c r="F13" i="2"/>
  <c r="P12" i="2"/>
  <c r="S12" i="2"/>
  <c r="F38" i="2"/>
  <c r="H38" i="2" s="1"/>
  <c r="I38" i="2" s="1"/>
  <c r="S13" i="2" l="1"/>
  <c r="S14" i="2" s="1"/>
  <c r="S21" i="2" s="1"/>
  <c r="P13" i="2"/>
  <c r="P14" i="2" s="1"/>
  <c r="P20" i="2" s="1"/>
  <c r="P21" i="2" s="1"/>
  <c r="F22" i="2"/>
  <c r="F23" i="2" s="1"/>
  <c r="G20" i="2"/>
  <c r="M20" i="2"/>
  <c r="M21" i="2" s="1"/>
  <c r="P22" i="2" l="1"/>
  <c r="P23" i="2" s="1"/>
  <c r="S25" i="2"/>
  <c r="S23" i="2"/>
  <c r="S22" i="2"/>
  <c r="F25" i="2"/>
  <c r="M25" i="2"/>
  <c r="M23" i="2"/>
  <c r="M22" i="2"/>
  <c r="N19" i="2"/>
  <c r="P25" i="2" l="1"/>
  <c r="F55" i="1" l="1"/>
  <c r="F56" i="1" s="1"/>
  <c r="D55" i="1"/>
  <c r="F54" i="1"/>
  <c r="D54" i="1"/>
  <c r="D50" i="1"/>
  <c r="F50" i="1" s="1"/>
  <c r="F51" i="1" s="1"/>
  <c r="C50" i="1"/>
  <c r="F49" i="1"/>
  <c r="D49" i="1"/>
  <c r="F44" i="1"/>
  <c r="G44" i="1" s="1"/>
  <c r="I44" i="1" s="1"/>
  <c r="L43" i="1"/>
  <c r="F43" i="1"/>
  <c r="G43" i="1" s="1"/>
  <c r="I43" i="1" s="1"/>
  <c r="F42" i="1"/>
  <c r="G42" i="1" s="1"/>
  <c r="L41" i="1"/>
  <c r="F41" i="1"/>
  <c r="G41" i="1" s="1"/>
  <c r="I41" i="1" s="1"/>
  <c r="L40" i="1"/>
  <c r="F40" i="1"/>
  <c r="G40" i="1" s="1"/>
  <c r="I40" i="1" s="1"/>
  <c r="L39" i="1"/>
  <c r="F39" i="1"/>
  <c r="C36" i="1"/>
  <c r="B36" i="1"/>
  <c r="C35" i="1"/>
  <c r="B35" i="1"/>
  <c r="J34" i="1"/>
  <c r="I34" i="1"/>
  <c r="H34" i="1"/>
  <c r="G34" i="1"/>
  <c r="F34" i="1"/>
  <c r="C34" i="1"/>
  <c r="B34" i="1"/>
  <c r="C33" i="1"/>
  <c r="B33" i="1"/>
  <c r="C32" i="1"/>
  <c r="B32" i="1"/>
  <c r="C31" i="1"/>
  <c r="B31" i="1"/>
  <c r="F26" i="1"/>
  <c r="C26" i="1"/>
  <c r="B26" i="1"/>
  <c r="F25" i="1"/>
  <c r="G25" i="1" s="1"/>
  <c r="C25" i="1"/>
  <c r="B25" i="1"/>
  <c r="F24" i="1"/>
  <c r="G24" i="1" s="1"/>
  <c r="I24" i="1" s="1"/>
  <c r="C24" i="1"/>
  <c r="B24" i="1"/>
  <c r="F23" i="1"/>
  <c r="C23" i="1"/>
  <c r="B23" i="1"/>
  <c r="F22" i="1"/>
  <c r="C22" i="1"/>
  <c r="B22" i="1"/>
  <c r="F21" i="1"/>
  <c r="C21" i="1"/>
  <c r="B21" i="1"/>
  <c r="B13" i="1"/>
  <c r="D10" i="1"/>
  <c r="C10" i="1"/>
  <c r="F10" i="1" s="1"/>
  <c r="H10" i="1" s="1"/>
  <c r="B10" i="1"/>
  <c r="E10" i="1" s="1"/>
  <c r="G10" i="1" s="1"/>
  <c r="I10" i="1" s="1"/>
  <c r="H8" i="1"/>
  <c r="G8" i="1"/>
  <c r="F8" i="1"/>
  <c r="I8" i="1" s="1"/>
  <c r="E8" i="1"/>
  <c r="I42" i="1" l="1"/>
  <c r="L42" i="1"/>
  <c r="G23" i="1"/>
  <c r="I23" i="1" s="1"/>
  <c r="L10" i="1"/>
  <c r="L11" i="1"/>
  <c r="N11" i="1" s="1"/>
  <c r="G21" i="1"/>
  <c r="I21" i="1" s="1"/>
  <c r="G22" i="1"/>
  <c r="I22" i="1" s="1"/>
  <c r="I25" i="1"/>
  <c r="G26" i="1"/>
  <c r="I26" i="1" s="1"/>
  <c r="G39" i="1"/>
  <c r="J39" i="1" s="1"/>
  <c r="I39" i="1" l="1"/>
  <c r="L12" i="1"/>
  <c r="N10" i="1"/>
  <c r="N13" i="1" s="1"/>
</calcChain>
</file>

<file path=xl/comments1.xml><?xml version="1.0" encoding="utf-8"?>
<comments xmlns="http://schemas.openxmlformats.org/spreadsheetml/2006/main">
  <authors>
    <author>Author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rate wef 07/08/2013</t>
        </r>
        <r>
          <rPr>
            <sz val="9"/>
            <color indexed="81"/>
            <rFont val="Tahoma"/>
            <family val="2"/>
          </rPr>
          <t xml:space="preserve">
Basic: Rs 106/kg+ 12.5% ED + 2% CST + Rs 0.75/kg HP entry tax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cst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cst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<sst xmlns="http://schemas.openxmlformats.org/spreadsheetml/2006/main" count="980" uniqueCount="376">
  <si>
    <t xml:space="preserve">Length </t>
  </si>
  <si>
    <t xml:space="preserve">Breath </t>
  </si>
  <si>
    <t xml:space="preserve">Height </t>
  </si>
  <si>
    <t>Sheet</t>
  </si>
  <si>
    <t>Sq Mtr</t>
  </si>
  <si>
    <t>GSM</t>
  </si>
  <si>
    <t>Paper</t>
  </si>
  <si>
    <t>Wt +  4%</t>
  </si>
  <si>
    <t>Price and</t>
  </si>
  <si>
    <t>Value</t>
  </si>
  <si>
    <t>ID</t>
  </si>
  <si>
    <t>L     mm</t>
  </si>
  <si>
    <t>B     mm</t>
  </si>
  <si>
    <t>L     inch</t>
  </si>
  <si>
    <t>B     inch</t>
  </si>
  <si>
    <t>Wastage</t>
  </si>
  <si>
    <t>Conv Rs. 4.8</t>
  </si>
  <si>
    <t>Paper rate : 22BF - 34.5+4.8= Rs. 39.3</t>
  </si>
  <si>
    <t>JO 100X5</t>
  </si>
  <si>
    <t>MC - 1002184</t>
  </si>
  <si>
    <t>Paper Rate</t>
  </si>
  <si>
    <t>Baddi</t>
  </si>
  <si>
    <t>Paper Cost Breakup Baddi</t>
  </si>
  <si>
    <t>Riya rate  (As on 7.11.2016)</t>
  </si>
  <si>
    <t>Bhagvati</t>
  </si>
  <si>
    <t>Basic</t>
  </si>
  <si>
    <t>Excise</t>
  </si>
  <si>
    <t>CST</t>
  </si>
  <si>
    <t>FR</t>
  </si>
  <si>
    <t>Landed</t>
  </si>
  <si>
    <t>16 BF</t>
  </si>
  <si>
    <t>18 BF</t>
  </si>
  <si>
    <t>20 BF</t>
  </si>
  <si>
    <t>22 BF</t>
  </si>
  <si>
    <t>24 BF</t>
  </si>
  <si>
    <t>28 bf</t>
  </si>
  <si>
    <t>Vapi</t>
  </si>
  <si>
    <t>Bhanushali</t>
  </si>
  <si>
    <t>22BF</t>
  </si>
  <si>
    <t>24BF</t>
  </si>
  <si>
    <t>20BF</t>
  </si>
  <si>
    <t>18BF</t>
  </si>
  <si>
    <t>16BF</t>
  </si>
  <si>
    <t>BASIC</t>
  </si>
  <si>
    <t>Conversion</t>
  </si>
  <si>
    <t>freight</t>
  </si>
  <si>
    <t>Total</t>
  </si>
  <si>
    <t>AS Existing</t>
  </si>
  <si>
    <t>Basic Existing</t>
  </si>
  <si>
    <t>EX</t>
  </si>
  <si>
    <t>CST /VAT</t>
  </si>
  <si>
    <t xml:space="preserve">Riya </t>
  </si>
  <si>
    <t>Chandigarh</t>
  </si>
  <si>
    <t>GST</t>
  </si>
  <si>
    <t>GST @4%</t>
  </si>
  <si>
    <t>14 GSM</t>
  </si>
  <si>
    <t>5.9.2016</t>
  </si>
  <si>
    <t>Adhunik</t>
  </si>
  <si>
    <t>MPC</t>
  </si>
  <si>
    <t>PPL</t>
  </si>
  <si>
    <t>GLS</t>
  </si>
  <si>
    <t>Substrate</t>
  </si>
  <si>
    <t>Micron</t>
  </si>
  <si>
    <t>S.G.</t>
  </si>
  <si>
    <t>Rate</t>
  </si>
  <si>
    <t>Price</t>
  </si>
  <si>
    <t>Existing</t>
  </si>
  <si>
    <t>POLYSTER</t>
  </si>
  <si>
    <t>POSTER</t>
  </si>
  <si>
    <t>HOTMELT</t>
  </si>
  <si>
    <t>PG</t>
  </si>
  <si>
    <t>Ink</t>
  </si>
  <si>
    <t>Adhesive</t>
  </si>
  <si>
    <t>RM Cost</t>
  </si>
  <si>
    <t xml:space="preserve">Wastage </t>
  </si>
  <si>
    <t>cylinder</t>
  </si>
  <si>
    <t>packing</t>
  </si>
  <si>
    <t>consumables</t>
  </si>
  <si>
    <t xml:space="preserve">other </t>
  </si>
  <si>
    <t>Contribution</t>
  </si>
  <si>
    <t>Discount</t>
  </si>
  <si>
    <t>dis</t>
  </si>
  <si>
    <t>VAT 4%</t>
  </si>
  <si>
    <t>ED</t>
  </si>
  <si>
    <t>Modvat</t>
  </si>
  <si>
    <t>Freight</t>
  </si>
  <si>
    <t>For Baddi Landed</t>
  </si>
  <si>
    <t>Moden</t>
  </si>
  <si>
    <t>Present Scenaio</t>
  </si>
  <si>
    <t>Scenario 1</t>
  </si>
  <si>
    <t xml:space="preserve">GST </t>
  </si>
  <si>
    <t>Senario 2</t>
  </si>
  <si>
    <t>Material</t>
  </si>
  <si>
    <t>MOD</t>
  </si>
  <si>
    <t>PET Film</t>
  </si>
  <si>
    <t>Incl All</t>
  </si>
  <si>
    <t>Hotmelt</t>
  </si>
  <si>
    <t>PEG</t>
  </si>
  <si>
    <t>ink</t>
  </si>
  <si>
    <t>Adhessive</t>
  </si>
  <si>
    <t>Wrapper Cost</t>
  </si>
  <si>
    <t>Scenario 2</t>
  </si>
  <si>
    <t>RM Final Cost</t>
  </si>
  <si>
    <t>2%/4%</t>
  </si>
  <si>
    <t xml:space="preserve">GST Scenario 1 </t>
  </si>
  <si>
    <t>CST/VAT</t>
  </si>
  <si>
    <t>Fright</t>
  </si>
  <si>
    <t>Input Credit for non Tax free zone</t>
  </si>
  <si>
    <t>Modern</t>
  </si>
  <si>
    <t>GST Scenario 1 RM Price</t>
  </si>
  <si>
    <t>IGST</t>
  </si>
  <si>
    <t>CGST</t>
  </si>
  <si>
    <t>SGST</t>
  </si>
  <si>
    <t>LOCAL</t>
  </si>
  <si>
    <t>Input Crdedit for Both</t>
  </si>
  <si>
    <t>Scenarion2</t>
  </si>
  <si>
    <t>Local</t>
  </si>
  <si>
    <t>Justification:</t>
  </si>
  <si>
    <t xml:space="preserve">Adhunik is cheaper in Both Scenario &amp; it will further cheaper if Tax benefit passed on to us since the tax exemption period is for another 2year. </t>
  </si>
  <si>
    <t>VVF can enjoy firm benefits for the Period 2 Years</t>
  </si>
  <si>
    <t xml:space="preserve">Conclusion:- </t>
  </si>
  <si>
    <r>
      <t xml:space="preserve">Intra state ( Local) buying  will be beneficial subject to alignment of current GST assumptions are inline with the final </t>
    </r>
    <r>
      <rPr>
        <b/>
        <sz val="11"/>
        <color theme="1"/>
        <rFont val="Calibri"/>
        <family val="2"/>
        <scheme val="minor"/>
      </rPr>
      <t>Regulation.</t>
    </r>
    <r>
      <rPr>
        <sz val="11"/>
        <color theme="1"/>
        <rFont val="Calibri"/>
        <family val="2"/>
        <scheme val="minor"/>
      </rPr>
      <t xml:space="preserve"> </t>
    </r>
  </si>
  <si>
    <t>Existing Basic</t>
  </si>
  <si>
    <t>Existing Landed</t>
  </si>
  <si>
    <t>input  EX +CST credit of Tax all RM  Basic</t>
  </si>
  <si>
    <t>input  EX +CST credit of Tax all RM Landed</t>
  </si>
  <si>
    <t xml:space="preserve">GST Scenario Basic with new RM </t>
  </si>
  <si>
    <t>GST Scenario Landed @12%</t>
  </si>
  <si>
    <t>GST Scenario Landed @4%</t>
  </si>
  <si>
    <t>Benefit with Local Supplier1</t>
  </si>
  <si>
    <t>Benefit with Local Supplier2 GST with Tax benefit</t>
  </si>
  <si>
    <t>Benefit with Local Supplier3 14%GST</t>
  </si>
  <si>
    <t>Benefit with Local Supplier4 @4%GST</t>
  </si>
  <si>
    <t>COST SHEET FOR STIFFNER 115+10</t>
  </si>
  <si>
    <t>COST SHEET FOR STIFFNER 130+10</t>
  </si>
  <si>
    <t>COST SHEET FOR STIFFNER 130+12</t>
  </si>
  <si>
    <t>COST SHEET FOR STIFFNER 130+14</t>
  </si>
  <si>
    <t>COST SHEET FOR STIFFNER 175+10</t>
  </si>
  <si>
    <t>COST SHEET FOR STIFFNER 80+10</t>
  </si>
  <si>
    <t>PAPER</t>
  </si>
  <si>
    <t>LD</t>
  </si>
  <si>
    <t>WASTAGE</t>
  </si>
  <si>
    <t>FREIGHT</t>
  </si>
  <si>
    <t>MARGIN</t>
  </si>
  <si>
    <t>Holding charges</t>
  </si>
  <si>
    <t>TOTAL</t>
  </si>
  <si>
    <t>PO date</t>
  </si>
  <si>
    <t>resin prices</t>
  </si>
  <si>
    <t>Rate of RM 1070LA</t>
  </si>
  <si>
    <t>Rate of stiffner</t>
  </si>
  <si>
    <t>date</t>
  </si>
  <si>
    <t xml:space="preserve">freight </t>
  </si>
  <si>
    <t>Final total</t>
  </si>
  <si>
    <t xml:space="preserve">Offered </t>
  </si>
  <si>
    <t>115/10</t>
  </si>
  <si>
    <t>130/10</t>
  </si>
  <si>
    <t>130/12</t>
  </si>
  <si>
    <t>130/14</t>
  </si>
  <si>
    <t>175/10</t>
  </si>
  <si>
    <t>80/10</t>
  </si>
  <si>
    <t>3.8.2015</t>
  </si>
  <si>
    <t>13.8.2015</t>
  </si>
  <si>
    <t>20.8.2015</t>
  </si>
  <si>
    <t>1.9.2015</t>
  </si>
  <si>
    <t>OLD</t>
  </si>
  <si>
    <t>New</t>
  </si>
  <si>
    <t>EXCISE 6.1</t>
  </si>
  <si>
    <t>CST 2%</t>
  </si>
  <si>
    <t>Arihant</t>
  </si>
  <si>
    <t xml:space="preserve"> </t>
  </si>
  <si>
    <t>Material code : 1001295, 1001296, 1001297, 1001292, 1001293, 1001294</t>
  </si>
  <si>
    <t>Item :- Doy care 75g pack, DCAV and DCH</t>
  </si>
  <si>
    <t>L</t>
  </si>
  <si>
    <t>W</t>
  </si>
  <si>
    <t>Board (sheet) size (CM)</t>
  </si>
  <si>
    <t>Board (sheet) size (mm)</t>
  </si>
  <si>
    <t>Board (sheet) size (inch)</t>
  </si>
  <si>
    <t>Carton size (mm)</t>
  </si>
  <si>
    <t xml:space="preserve">W </t>
  </si>
  <si>
    <t>H</t>
  </si>
  <si>
    <t>tuck</t>
  </si>
  <si>
    <t>carton size in L X W (mm)</t>
  </si>
  <si>
    <t>ups I</t>
  </si>
  <si>
    <t>Ups II</t>
  </si>
  <si>
    <t>No of Ups</t>
  </si>
  <si>
    <t>Board</t>
  </si>
  <si>
    <t>Doy Care Honey &amp; Glycerine 75g</t>
  </si>
  <si>
    <t>Carton Size</t>
  </si>
  <si>
    <t>Board Size in CM</t>
  </si>
  <si>
    <t>Detailed Cost Breakup per 1000 cartons</t>
  </si>
  <si>
    <t>Date</t>
  </si>
  <si>
    <t>No of sheets / 1000 cartons</t>
  </si>
  <si>
    <t>Product Name</t>
  </si>
  <si>
    <t>Consumption per 1000 carton</t>
  </si>
  <si>
    <t xml:space="preserve">Board : </t>
  </si>
  <si>
    <t>(Carta Lumina)280GSM</t>
  </si>
  <si>
    <t>Rate / Per Kg</t>
  </si>
  <si>
    <t>Qty.</t>
  </si>
  <si>
    <t>Foil stamping area</t>
  </si>
  <si>
    <t>Board Cost</t>
  </si>
  <si>
    <t>Printing Charges</t>
  </si>
  <si>
    <t>Printing Cost</t>
  </si>
  <si>
    <t>H.G.Aqua Varnish</t>
  </si>
  <si>
    <t>Varnish Cost</t>
  </si>
  <si>
    <t>HG Aqua / Lamination</t>
  </si>
  <si>
    <t>Per 1000 Shts</t>
  </si>
  <si>
    <t>Foil Stamping Cost</t>
  </si>
  <si>
    <t>UV Varnish</t>
  </si>
  <si>
    <t>sq inch</t>
  </si>
  <si>
    <t>Die cutting / Embossing / Punching</t>
  </si>
  <si>
    <t>Foil stamping</t>
  </si>
  <si>
    <t>Sq cm</t>
  </si>
  <si>
    <t>Folding / Gluing Cost</t>
  </si>
  <si>
    <t>Punching &amp; Stripping</t>
  </si>
  <si>
    <t>Packing Cost</t>
  </si>
  <si>
    <t>Sub Total</t>
  </si>
  <si>
    <t>Packing Forwarding</t>
  </si>
  <si>
    <t>Per 1000 Ctns</t>
  </si>
  <si>
    <t>Delivery Charges</t>
  </si>
  <si>
    <t>Add: Margin, Inventory etc</t>
  </si>
  <si>
    <t>Basic Rate per 1000 Ctns</t>
  </si>
  <si>
    <t>Profit</t>
  </si>
  <si>
    <t>Landed Cost</t>
  </si>
  <si>
    <t>Add : Freight</t>
  </si>
  <si>
    <t>Parksons Packaging</t>
  </si>
  <si>
    <t>VAT 5%</t>
  </si>
  <si>
    <t>For Kolkata</t>
  </si>
  <si>
    <t>white multilayer</t>
  </si>
  <si>
    <t>Tube for the DCAV OfferPack</t>
  </si>
  <si>
    <t>Description</t>
  </si>
  <si>
    <t>100ml</t>
  </si>
  <si>
    <t>50ml</t>
  </si>
  <si>
    <t>Cost with Label Laxmi(</t>
  </si>
  <si>
    <t>Label Cost (Laxmi)</t>
  </si>
  <si>
    <t>Bare Tube Cost</t>
  </si>
  <si>
    <t>New Cost For The Tube</t>
  </si>
  <si>
    <t>Ajanta Label</t>
  </si>
  <si>
    <t>Tube with Ajanta Label</t>
  </si>
  <si>
    <t>Cost for the Co-Ex Tube Essel Propack</t>
  </si>
  <si>
    <t>Basic/1000No</t>
  </si>
  <si>
    <t>Excise 12.5%</t>
  </si>
  <si>
    <t xml:space="preserve">Freight </t>
  </si>
  <si>
    <t>Total Landed</t>
  </si>
  <si>
    <t xml:space="preserve">Payment Term </t>
  </si>
  <si>
    <t>Advance</t>
  </si>
  <si>
    <t>Cost for the Co-Ex Tube Creative</t>
  </si>
  <si>
    <t>N/A</t>
  </si>
  <si>
    <t>Net Benefit with Buying of Creative Tube/1000 No.</t>
  </si>
  <si>
    <t>Cost of Essel Tube</t>
  </si>
  <si>
    <t>Cost of Creative Tube(VAT refundable)</t>
  </si>
  <si>
    <t xml:space="preserve">Net Benfit with Creative Tube  </t>
  </si>
  <si>
    <t xml:space="preserve"> Freight which paid to transpotaion of Essel tube</t>
  </si>
  <si>
    <t>Net Savings/1000 No</t>
  </si>
  <si>
    <t>Net Benefit /MT</t>
  </si>
  <si>
    <t>No. of tube/MT</t>
  </si>
  <si>
    <t>Net Savings/Tube</t>
  </si>
  <si>
    <t>Net Saving/MT</t>
  </si>
  <si>
    <t>50ml tube        6.25 Basic + 4% VAT</t>
  </si>
  <si>
    <t>100ml  tube     8.05 Basic + 4% VAT</t>
  </si>
  <si>
    <t>Essel</t>
  </si>
  <si>
    <t>Creative</t>
  </si>
  <si>
    <t>Present Scenario</t>
  </si>
  <si>
    <t>Friegt</t>
  </si>
  <si>
    <t>Net Off Modvat</t>
  </si>
  <si>
    <t>Interstate</t>
  </si>
  <si>
    <r>
      <t xml:space="preserve">Cost of 100ml Tube at Baddi </t>
    </r>
    <r>
      <rPr>
        <b/>
        <sz val="11"/>
        <color theme="1"/>
        <rFont val="Calibri"/>
        <family val="2"/>
        <scheme val="minor"/>
      </rPr>
      <t>Essel</t>
    </r>
  </si>
  <si>
    <t>Intra</t>
  </si>
  <si>
    <t>Cost of 100ml Tube at Baddi Creative</t>
  </si>
  <si>
    <t>GST Scenario</t>
  </si>
  <si>
    <t>GST 12%</t>
  </si>
  <si>
    <t>Cost to Company</t>
  </si>
  <si>
    <r>
      <t xml:space="preserve">Cost of 100ml Tube at Baddi </t>
    </r>
    <r>
      <rPr>
        <b/>
        <sz val="11"/>
        <color theme="1"/>
        <rFont val="Calibri"/>
        <family val="2"/>
        <scheme val="minor"/>
      </rPr>
      <t>Creative</t>
    </r>
  </si>
  <si>
    <t xml:space="preserve">Final Cost </t>
  </si>
  <si>
    <t>Carton Price with NPP</t>
  </si>
  <si>
    <t>Carton Price with Parksons</t>
  </si>
  <si>
    <t>Net of VAT</t>
  </si>
  <si>
    <t>VAT 4%/CST 1%</t>
  </si>
  <si>
    <t>Presnt Scenario</t>
  </si>
  <si>
    <t>Cost Benefit Analysis</t>
  </si>
  <si>
    <t>Present Cost/kg</t>
  </si>
  <si>
    <t>GST Cost/kg</t>
  </si>
  <si>
    <t>Net Savings with GST</t>
  </si>
  <si>
    <t>Total Plan 15KMT</t>
  </si>
  <si>
    <t>Unit Cost</t>
  </si>
  <si>
    <t>Particular</t>
  </si>
  <si>
    <t>Requirement/MT</t>
  </si>
  <si>
    <t>Total Cost/MT</t>
  </si>
  <si>
    <t>Savings/MT</t>
  </si>
  <si>
    <t xml:space="preserve">% Saving/MT GST </t>
  </si>
  <si>
    <t>Net Annual Savings in GST</t>
  </si>
  <si>
    <t>Total Plan 1.5K MT</t>
  </si>
  <si>
    <t>Total Plan 20 MT</t>
  </si>
  <si>
    <t>Present Cost/No</t>
  </si>
  <si>
    <t>GST Cost/No</t>
  </si>
  <si>
    <t>Present Cost/1000No</t>
  </si>
  <si>
    <t>GST Cost/1000No</t>
  </si>
  <si>
    <t>JO SOAP</t>
  </si>
  <si>
    <t>Wrapper</t>
  </si>
  <si>
    <t>Stiffener</t>
  </si>
  <si>
    <t>CFB</t>
  </si>
  <si>
    <t>% Savings with GST</t>
  </si>
  <si>
    <t>Net Savings JO</t>
  </si>
  <si>
    <t>DOYCARE SOAP</t>
  </si>
  <si>
    <t>DOYCARE FaceWASH</t>
  </si>
  <si>
    <t>Carton</t>
  </si>
  <si>
    <t>CO-Ex Tube</t>
  </si>
  <si>
    <t>Proposed cost sheet</t>
  </si>
  <si>
    <t>HS BOPP FILM 25 MICRON</t>
  </si>
  <si>
    <t>PRINTED</t>
  </si>
  <si>
    <t>UNPRINTED</t>
  </si>
  <si>
    <t>Item</t>
  </si>
  <si>
    <t>FRT</t>
  </si>
  <si>
    <t>NET COST</t>
  </si>
  <si>
    <t>Heat Sealable BOPP Film - with corona treatment</t>
  </si>
  <si>
    <t>Slitting &amp; Winding Charges</t>
  </si>
  <si>
    <t>CFB+Core+PP Sheets+BOPP Tape+Strapping</t>
  </si>
  <si>
    <t>Processing + overheads</t>
  </si>
  <si>
    <t>Freight + Forwarding</t>
  </si>
  <si>
    <t>Total Plan 1.5KMT</t>
  </si>
  <si>
    <t>26.5+4.8</t>
  </si>
  <si>
    <t>Paper rate : 22BF - 29+6= Rs. 34</t>
  </si>
  <si>
    <t>Paper rate : 22BF -29.08 +5.8= Rs. 34.88</t>
  </si>
  <si>
    <t xml:space="preserve">Paper rate : 22BF - 32.0+ 4.8= Rs.36.8 </t>
  </si>
  <si>
    <t>Paper rate : 22BF -28.5 +5.8= Rs. 34.3</t>
  </si>
  <si>
    <t>Same Conversion</t>
  </si>
  <si>
    <t>FOR 9 MT Lorry</t>
  </si>
  <si>
    <t>FOR 16 MT Lorry</t>
  </si>
  <si>
    <t>115+10</t>
  </si>
  <si>
    <t>130+10</t>
  </si>
  <si>
    <t>Poly prices as on Aug 2016</t>
  </si>
  <si>
    <t>PAPER GSM</t>
  </si>
  <si>
    <t>POLY GSM</t>
  </si>
  <si>
    <t>1070LA</t>
  </si>
  <si>
    <t>PAPER WASTE %</t>
  </si>
  <si>
    <t>POLY WASTE %</t>
  </si>
  <si>
    <t>PAPER COST</t>
  </si>
  <si>
    <t>POLY COST</t>
  </si>
  <si>
    <t>LABOUR/KG.</t>
  </si>
  <si>
    <t>PACKING &amp; CORE</t>
  </si>
  <si>
    <t>PROFIT IN %</t>
  </si>
  <si>
    <t>COATED WT.</t>
  </si>
  <si>
    <t>TOTAL GSM</t>
  </si>
  <si>
    <t>COATED SQ.</t>
  </si>
  <si>
    <t>PLAIN PAPER</t>
  </si>
  <si>
    <t>POLY</t>
  </si>
  <si>
    <t>Basic Price/Kg.</t>
  </si>
  <si>
    <t>,((D62*D54+D63*D55+D56*D59)/D59)+((D62*D54+D63*D55+D56*D59)/D59)*D58/100+D57</t>
  </si>
  <si>
    <t>Add Excise :</t>
  </si>
  <si>
    <t>D62*D54</t>
  </si>
  <si>
    <t>,D63*D55</t>
  </si>
  <si>
    <t>D56*D59</t>
  </si>
  <si>
    <t>D59</t>
  </si>
  <si>
    <t>(D62*D54</t>
  </si>
  <si>
    <t>D63*D55</t>
  </si>
  <si>
    <t>D58</t>
  </si>
  <si>
    <t>/100+D57</t>
  </si>
  <si>
    <t>Add Freight :</t>
  </si>
  <si>
    <t>Landed Price/Kg. :</t>
  </si>
  <si>
    <t>As per 10 poly</t>
  </si>
  <si>
    <t>Poly</t>
  </si>
  <si>
    <t>NON GST</t>
  </si>
  <si>
    <t>Benefit with Local Supplier3 12% GST</t>
  </si>
  <si>
    <t>RM Adhunik</t>
  </si>
  <si>
    <t>RM MPC</t>
  </si>
  <si>
    <t>RMAdhunik</t>
  </si>
  <si>
    <t>GST 4%</t>
  </si>
  <si>
    <t>Paper Cost BreakupChandigah</t>
  </si>
  <si>
    <t>UV</t>
  </si>
  <si>
    <t>Foil</t>
  </si>
  <si>
    <t>R&amp;D Cess</t>
  </si>
  <si>
    <t>EXISTING</t>
  </si>
  <si>
    <t>Add: Margin, Inventory etc 4.13%</t>
  </si>
  <si>
    <t>New Cost Parksons GST</t>
  </si>
  <si>
    <t>Less Discount 9.11%</t>
  </si>
  <si>
    <t>QtY</t>
  </si>
  <si>
    <t>50+85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</si>
</sst>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0.0"/>
    <numFmt numFmtId="165" formatCode="[$-409]d\-mmm\-yy;@"/>
    <numFmt numFmtId="166" formatCode="_(* #,##0.00_);_(* \(#,##0.00\);_(* &quot;-&quot;??_);_(@_)"/>
    <numFmt numFmtId="167" formatCode="0.00000"/>
    <numFmt numFmtId="168" formatCode="0.0%"/>
    <numFmt numFmtId="169" formatCode="_ * #,##0_ ;_ * \-#,##0_ ;_ * &quot;-&quot;??_ ;_ @_ "/>
    <numFmt numFmtId="170" formatCode="General_)"/>
    <numFmt numFmtId="171" formatCode="_ * #,##0.0_ ;_ * \-#,##0.0_ ;_ * &quot;-&quot;??_ ;_ @_ 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b/>
      <sz val="10"/>
      <name val="Bookman Old Style"/>
      <family val="1"/>
    </font>
    <font>
      <sz val="10"/>
      <name val="Bookman Old Style"/>
      <family val="1"/>
    </font>
    <font>
      <b/>
      <sz val="8"/>
      <name val="Bookman Old Style"/>
      <family val="1"/>
    </font>
    <font>
      <sz val="10"/>
      <color indexed="10"/>
      <name val="Arial"/>
      <family val="2"/>
    </font>
    <font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1F497D"/>
      <name val="Times New Roman"/>
      <family val="1"/>
    </font>
    <font>
      <sz val="12"/>
      <color rgb="FF000000"/>
      <name val="Franklin Gothic Book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0">
    <xf numFmtId="0" fontId="0" fillId="0" borderId="0" xfId="0"/>
    <xf numFmtId="15" fontId="0" fillId="0" borderId="1" xfId="0" applyNumberFormat="1" applyBorder="1"/>
    <xf numFmtId="0" fontId="0" fillId="0" borderId="1" xfId="0" applyBorder="1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0" applyFont="1" applyBorder="1"/>
    <xf numFmtId="0" fontId="0" fillId="0" borderId="1" xfId="0" quotePrefix="1" applyBorder="1"/>
    <xf numFmtId="0" fontId="3" fillId="0" borderId="1" xfId="0" applyFont="1" applyBorder="1"/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2" fontId="0" fillId="2" borderId="1" xfId="0" applyNumberFormat="1" applyFill="1" applyBorder="1"/>
    <xf numFmtId="0" fontId="0" fillId="2" borderId="1" xfId="0" applyFill="1" applyBorder="1"/>
    <xf numFmtId="0" fontId="9" fillId="0" borderId="0" xfId="0" applyFont="1"/>
    <xf numFmtId="0" fontId="0" fillId="0" borderId="1" xfId="0" applyBorder="1" applyAlignment="1"/>
    <xf numFmtId="0" fontId="9" fillId="0" borderId="1" xfId="0" applyFont="1" applyBorder="1"/>
    <xf numFmtId="164" fontId="0" fillId="0" borderId="1" xfId="0" applyNumberFormat="1" applyBorder="1"/>
    <xf numFmtId="17" fontId="0" fillId="0" borderId="1" xfId="0" applyNumberFormat="1" applyBorder="1"/>
    <xf numFmtId="0" fontId="10" fillId="0" borderId="1" xfId="0" applyFont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3" fillId="3" borderId="1" xfId="0" applyFont="1" applyFill="1" applyBorder="1"/>
    <xf numFmtId="0" fontId="3" fillId="4" borderId="1" xfId="0" applyFont="1" applyFill="1" applyBorder="1"/>
    <xf numFmtId="0" fontId="12" fillId="5" borderId="1" xfId="0" applyFont="1" applyFill="1" applyBorder="1"/>
    <xf numFmtId="0" fontId="3" fillId="6" borderId="1" xfId="0" applyFont="1" applyFill="1" applyBorder="1"/>
    <xf numFmtId="0" fontId="13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0" fillId="0" borderId="1" xfId="0" applyFill="1" applyBorder="1"/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2" fontId="16" fillId="0" borderId="1" xfId="0" applyNumberFormat="1" applyFont="1" applyFill="1" applyBorder="1" applyAlignment="1">
      <alignment horizontal="center" wrapText="1"/>
    </xf>
    <xf numFmtId="0" fontId="17" fillId="0" borderId="1" xfId="0" applyFont="1" applyFill="1" applyBorder="1"/>
    <xf numFmtId="0" fontId="16" fillId="0" borderId="1" xfId="0" applyFont="1" applyFill="1" applyBorder="1" applyAlignment="1">
      <alignment horizontal="center" wrapText="1"/>
    </xf>
    <xf numFmtId="2" fontId="15" fillId="0" borderId="1" xfId="0" applyNumberFormat="1" applyFont="1" applyFill="1" applyBorder="1" applyAlignment="1">
      <alignment horizontal="center" wrapText="1"/>
    </xf>
    <xf numFmtId="0" fontId="16" fillId="0" borderId="6" xfId="0" applyFont="1" applyFill="1" applyBorder="1" applyAlignment="1">
      <alignment horizontal="center" wrapText="1"/>
    </xf>
    <xf numFmtId="2" fontId="15" fillId="0" borderId="7" xfId="0" applyNumberFormat="1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6" fillId="0" borderId="6" xfId="0" applyFont="1" applyBorder="1" applyAlignment="1">
      <alignment horizontal="center" wrapText="1"/>
    </xf>
    <xf numFmtId="0" fontId="18" fillId="0" borderId="1" xfId="0" applyFont="1" applyBorder="1" applyAlignment="1">
      <alignment wrapText="1"/>
    </xf>
    <xf numFmtId="0" fontId="18" fillId="0" borderId="1" xfId="0" applyFont="1" applyBorder="1" applyAlignment="1">
      <alignment horizontal="center" wrapText="1"/>
    </xf>
    <xf numFmtId="0" fontId="19" fillId="0" borderId="1" xfId="0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 wrapText="1"/>
    </xf>
    <xf numFmtId="0" fontId="18" fillId="0" borderId="6" xfId="0" applyFont="1" applyBorder="1" applyAlignment="1">
      <alignment horizontal="center" wrapText="1"/>
    </xf>
    <xf numFmtId="2" fontId="18" fillId="0" borderId="7" xfId="0" applyNumberFormat="1" applyFont="1" applyBorder="1" applyAlignment="1">
      <alignment horizontal="center" wrapText="1"/>
    </xf>
    <xf numFmtId="0" fontId="0" fillId="0" borderId="8" xfId="0" applyBorder="1"/>
    <xf numFmtId="9" fontId="15" fillId="0" borderId="1" xfId="0" applyNumberFormat="1" applyFont="1" applyBorder="1" applyAlignment="1">
      <alignment horizontal="center" wrapText="1"/>
    </xf>
    <xf numFmtId="9" fontId="16" fillId="0" borderId="1" xfId="0" applyNumberFormat="1" applyFont="1" applyFill="1" applyBorder="1" applyAlignment="1">
      <alignment horizontal="center" wrapText="1"/>
    </xf>
    <xf numFmtId="9" fontId="15" fillId="0" borderId="6" xfId="0" applyNumberFormat="1" applyFont="1" applyBorder="1" applyAlignment="1">
      <alignment horizontal="center" wrapText="1"/>
    </xf>
    <xf numFmtId="0" fontId="15" fillId="0" borderId="1" xfId="0" applyFont="1" applyFill="1" applyBorder="1" applyAlignment="1">
      <alignment horizontal="center" wrapText="1"/>
    </xf>
    <xf numFmtId="0" fontId="0" fillId="0" borderId="1" xfId="0" applyFont="1" applyFill="1" applyBorder="1"/>
    <xf numFmtId="0" fontId="15" fillId="0" borderId="1" xfId="0" applyFont="1" applyFill="1" applyBorder="1" applyAlignment="1">
      <alignment wrapText="1"/>
    </xf>
    <xf numFmtId="9" fontId="15" fillId="0" borderId="1" xfId="0" applyNumberFormat="1" applyFont="1" applyFill="1" applyBorder="1" applyAlignment="1">
      <alignment horizontal="center" wrapText="1"/>
    </xf>
    <xf numFmtId="2" fontId="15" fillId="2" borderId="7" xfId="0" applyNumberFormat="1" applyFont="1" applyFill="1" applyBorder="1" applyAlignment="1">
      <alignment horizontal="center" wrapText="1"/>
    </xf>
    <xf numFmtId="2" fontId="18" fillId="2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/>
    <xf numFmtId="0" fontId="15" fillId="2" borderId="6" xfId="0" applyFont="1" applyFill="1" applyBorder="1" applyAlignment="1">
      <alignment horizontal="center" wrapText="1"/>
    </xf>
    <xf numFmtId="2" fontId="18" fillId="2" borderId="7" xfId="0" applyNumberFormat="1" applyFont="1" applyFill="1" applyBorder="1" applyAlignment="1">
      <alignment horizontal="center" wrapText="1"/>
    </xf>
    <xf numFmtId="2" fontId="15" fillId="0" borderId="1" xfId="0" applyNumberFormat="1" applyFont="1" applyBorder="1" applyAlignment="1">
      <alignment horizontal="center" wrapText="1"/>
    </xf>
    <xf numFmtId="10" fontId="15" fillId="0" borderId="1" xfId="0" applyNumberFormat="1" applyFont="1" applyFill="1" applyBorder="1" applyAlignment="1">
      <alignment horizontal="center" wrapText="1"/>
    </xf>
    <xf numFmtId="10" fontId="15" fillId="0" borderId="6" xfId="0" applyNumberFormat="1" applyFont="1" applyBorder="1" applyAlignment="1">
      <alignment horizontal="center" wrapText="1"/>
    </xf>
    <xf numFmtId="0" fontId="20" fillId="0" borderId="1" xfId="0" applyFont="1" applyBorder="1"/>
    <xf numFmtId="2" fontId="18" fillId="0" borderId="1" xfId="0" applyNumberFormat="1" applyFont="1" applyBorder="1" applyAlignment="1">
      <alignment horizontal="center" wrapText="1"/>
    </xf>
    <xf numFmtId="0" fontId="20" fillId="0" borderId="9" xfId="0" applyFont="1" applyBorder="1"/>
    <xf numFmtId="2" fontId="18" fillId="0" borderId="10" xfId="0" applyNumberFormat="1" applyFont="1" applyBorder="1" applyAlignment="1">
      <alignment horizontal="center" wrapText="1"/>
    </xf>
    <xf numFmtId="9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2" fontId="2" fillId="0" borderId="1" xfId="0" applyNumberFormat="1" applyFont="1" applyBorder="1"/>
    <xf numFmtId="2" fontId="2" fillId="0" borderId="0" xfId="0" applyNumberFormat="1" applyFont="1" applyBorder="1"/>
    <xf numFmtId="0" fontId="3" fillId="0" borderId="0" xfId="0" applyFont="1"/>
    <xf numFmtId="2" fontId="0" fillId="0" borderId="1" xfId="0" applyNumberFormat="1" applyBorder="1" applyAlignment="1"/>
    <xf numFmtId="2" fontId="21" fillId="2" borderId="1" xfId="0" applyNumberFormat="1" applyFont="1" applyFill="1" applyBorder="1"/>
    <xf numFmtId="9" fontId="0" fillId="0" borderId="0" xfId="1" applyFont="1"/>
    <xf numFmtId="2" fontId="0" fillId="0" borderId="0" xfId="0" applyNumberFormat="1" applyBorder="1" applyAlignment="1"/>
    <xf numFmtId="2" fontId="3" fillId="2" borderId="0" xfId="0" applyNumberFormat="1" applyFont="1" applyFill="1" applyBorder="1"/>
    <xf numFmtId="2" fontId="0" fillId="0" borderId="0" xfId="0" applyNumberFormat="1" applyBorder="1" applyAlignment="1">
      <alignment horizontal="center"/>
    </xf>
    <xf numFmtId="9" fontId="0" fillId="0" borderId="0" xfId="1" applyFont="1" applyBorder="1" applyAlignment="1"/>
    <xf numFmtId="2" fontId="22" fillId="0" borderId="1" xfId="0" applyNumberFormat="1" applyFont="1" applyBorder="1"/>
    <xf numFmtId="2" fontId="23" fillId="0" borderId="1" xfId="0" applyNumberFormat="1" applyFont="1" applyBorder="1"/>
    <xf numFmtId="2" fontId="21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9" fillId="2" borderId="0" xfId="0" applyFont="1" applyFill="1"/>
    <xf numFmtId="0" fontId="24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/>
    <xf numFmtId="0" fontId="25" fillId="0" borderId="2" xfId="0" applyFont="1" applyBorder="1" applyAlignment="1">
      <alignment horizontal="left"/>
    </xf>
    <xf numFmtId="0" fontId="26" fillId="0" borderId="11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0" fillId="0" borderId="12" xfId="0" applyBorder="1"/>
    <xf numFmtId="2" fontId="0" fillId="0" borderId="12" xfId="0" applyNumberForma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7" fillId="0" borderId="1" xfId="0" applyFont="1" applyBorder="1"/>
    <xf numFmtId="0" fontId="27" fillId="0" borderId="1" xfId="0" applyFont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" fontId="0" fillId="2" borderId="1" xfId="0" applyNumberFormat="1" applyFill="1" applyBorder="1"/>
    <xf numFmtId="17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164" fontId="0" fillId="0" borderId="1" xfId="0" applyNumberFormat="1" applyBorder="1" applyAlignment="1">
      <alignment horizontal="center"/>
    </xf>
    <xf numFmtId="2" fontId="28" fillId="0" borderId="1" xfId="0" applyNumberFormat="1" applyFont="1" applyBorder="1"/>
    <xf numFmtId="2" fontId="28" fillId="0" borderId="1" xfId="0" applyNumberFormat="1" applyFont="1" applyBorder="1" applyAlignment="1">
      <alignment horizontal="center"/>
    </xf>
    <xf numFmtId="0" fontId="27" fillId="0" borderId="1" xfId="0" applyFont="1" applyFill="1" applyBorder="1" applyProtection="1"/>
    <xf numFmtId="1" fontId="0" fillId="0" borderId="1" xfId="0" applyNumberFormat="1" applyBorder="1" applyAlignment="1">
      <alignment horizontal="center"/>
    </xf>
    <xf numFmtId="0" fontId="29" fillId="7" borderId="1" xfId="0" applyFont="1" applyFill="1" applyBorder="1" applyAlignment="1">
      <alignment vertical="center"/>
    </xf>
    <xf numFmtId="0" fontId="30" fillId="7" borderId="1" xfId="0" applyFont="1" applyFill="1" applyBorder="1" applyAlignment="1">
      <alignment vertical="center"/>
    </xf>
    <xf numFmtId="165" fontId="31" fillId="7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7" fillId="7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/>
    </xf>
    <xf numFmtId="0" fontId="32" fillId="0" borderId="1" xfId="0" applyFont="1" applyBorder="1" applyAlignment="1">
      <alignment horizontal="center" vertical="center"/>
    </xf>
    <xf numFmtId="166" fontId="27" fillId="0" borderId="1" xfId="2" applyFont="1" applyFill="1" applyBorder="1" applyProtection="1"/>
    <xf numFmtId="167" fontId="0" fillId="0" borderId="1" xfId="0" applyNumberFormat="1" applyBorder="1"/>
    <xf numFmtId="2" fontId="4" fillId="0" borderId="1" xfId="0" applyNumberFormat="1" applyFont="1" applyBorder="1"/>
    <xf numFmtId="168" fontId="27" fillId="0" borderId="1" xfId="3" applyNumberFormat="1" applyBorder="1" applyAlignment="1">
      <alignment horizontal="center"/>
    </xf>
    <xf numFmtId="0" fontId="25" fillId="0" borderId="1" xfId="0" applyFont="1" applyBorder="1" applyAlignment="1">
      <alignment vertical="center" wrapText="1"/>
    </xf>
    <xf numFmtId="166" fontId="25" fillId="0" borderId="1" xfId="2" applyFont="1" applyBorder="1" applyAlignment="1">
      <alignment horizontal="center" vertical="center"/>
    </xf>
    <xf numFmtId="166" fontId="27" fillId="0" borderId="1" xfId="2" applyFont="1" applyBorder="1" applyAlignment="1">
      <alignment horizontal="center" vertical="center"/>
    </xf>
    <xf numFmtId="9" fontId="27" fillId="0" borderId="1" xfId="3" applyBorder="1" applyAlignment="1">
      <alignment horizontal="center"/>
    </xf>
    <xf numFmtId="2" fontId="27" fillId="0" borderId="1" xfId="0" applyNumberFormat="1" applyFont="1" applyBorder="1"/>
    <xf numFmtId="2" fontId="28" fillId="0" borderId="1" xfId="0" applyNumberFormat="1" applyFont="1" applyFill="1" applyBorder="1"/>
    <xf numFmtId="0" fontId="28" fillId="0" borderId="1" xfId="0" applyFont="1" applyBorder="1"/>
    <xf numFmtId="166" fontId="27" fillId="0" borderId="1" xfId="0" applyNumberFormat="1" applyFont="1" applyFill="1" applyBorder="1" applyProtection="1"/>
    <xf numFmtId="0" fontId="10" fillId="0" borderId="0" xfId="0" applyFont="1" applyBorder="1" applyAlignment="1">
      <alignment wrapText="1"/>
    </xf>
    <xf numFmtId="0" fontId="10" fillId="2" borderId="0" xfId="0" applyFont="1" applyFill="1" applyBorder="1" applyAlignment="1">
      <alignment wrapText="1"/>
    </xf>
    <xf numFmtId="0" fontId="13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wrapText="1"/>
    </xf>
    <xf numFmtId="0" fontId="15" fillId="0" borderId="0" xfId="0" applyFont="1" applyBorder="1" applyAlignment="1">
      <alignment wrapText="1"/>
    </xf>
    <xf numFmtId="0" fontId="15" fillId="0" borderId="0" xfId="0" applyFont="1" applyBorder="1" applyAlignment="1">
      <alignment horizontal="center" wrapText="1"/>
    </xf>
    <xf numFmtId="0" fontId="33" fillId="0" borderId="0" xfId="0" applyFont="1" applyBorder="1" applyAlignment="1">
      <alignment horizontal="center" wrapText="1"/>
    </xf>
    <xf numFmtId="2" fontId="15" fillId="0" borderId="0" xfId="0" applyNumberFormat="1" applyFont="1" applyBorder="1" applyAlignment="1">
      <alignment horizontal="center" wrapText="1"/>
    </xf>
    <xf numFmtId="0" fontId="18" fillId="0" borderId="0" xfId="0" applyFont="1" applyBorder="1" applyAlignment="1">
      <alignment wrapText="1"/>
    </xf>
    <xf numFmtId="0" fontId="18" fillId="0" borderId="0" xfId="0" applyFont="1" applyBorder="1" applyAlignment="1">
      <alignment horizontal="center" wrapText="1"/>
    </xf>
    <xf numFmtId="2" fontId="18" fillId="0" borderId="0" xfId="0" applyNumberFormat="1" applyFont="1" applyBorder="1" applyAlignment="1">
      <alignment horizontal="center" wrapText="1"/>
    </xf>
    <xf numFmtId="9" fontId="15" fillId="0" borderId="0" xfId="0" applyNumberFormat="1" applyFont="1" applyBorder="1" applyAlignment="1">
      <alignment horizontal="center" wrapText="1"/>
    </xf>
    <xf numFmtId="0" fontId="15" fillId="0" borderId="0" xfId="0" applyFont="1" applyFill="1" applyBorder="1" applyAlignment="1">
      <alignment wrapText="1"/>
    </xf>
    <xf numFmtId="2" fontId="15" fillId="2" borderId="0" xfId="0" applyNumberFormat="1" applyFont="1" applyFill="1" applyBorder="1" applyAlignment="1">
      <alignment horizontal="center" wrapText="1"/>
    </xf>
    <xf numFmtId="0" fontId="20" fillId="0" borderId="0" xfId="0" applyFont="1" applyBorder="1"/>
    <xf numFmtId="9" fontId="0" fillId="0" borderId="0" xfId="0" applyNumberFormat="1"/>
    <xf numFmtId="17" fontId="0" fillId="0" borderId="0" xfId="0" applyNumberFormat="1"/>
    <xf numFmtId="0" fontId="33" fillId="0" borderId="1" xfId="0" applyFont="1" applyBorder="1" applyAlignment="1">
      <alignment horizontal="center" wrapText="1"/>
    </xf>
    <xf numFmtId="2" fontId="15" fillId="2" borderId="1" xfId="0" applyNumberFormat="1" applyFont="1" applyFill="1" applyBorder="1" applyAlignment="1">
      <alignment horizontal="center" wrapText="1"/>
    </xf>
    <xf numFmtId="2" fontId="3" fillId="0" borderId="1" xfId="0" applyNumberFormat="1" applyFont="1" applyBorder="1"/>
    <xf numFmtId="0" fontId="36" fillId="0" borderId="0" xfId="0" applyFont="1" applyAlignment="1">
      <alignment vertical="center"/>
    </xf>
    <xf numFmtId="0" fontId="36" fillId="0" borderId="0" xfId="0" applyFont="1"/>
    <xf numFmtId="4" fontId="0" fillId="0" borderId="0" xfId="0" applyNumberFormat="1"/>
    <xf numFmtId="2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/>
    <xf numFmtId="0" fontId="25" fillId="0" borderId="14" xfId="0" applyFont="1" applyFill="1" applyBorder="1" applyAlignment="1">
      <alignment vertical="center" wrapText="1"/>
    </xf>
    <xf numFmtId="0" fontId="0" fillId="0" borderId="15" xfId="0" applyBorder="1"/>
    <xf numFmtId="168" fontId="0" fillId="0" borderId="1" xfId="1" applyNumberFormat="1" applyFont="1" applyBorder="1"/>
    <xf numFmtId="43" fontId="0" fillId="0" borderId="1" xfId="4" applyFont="1" applyBorder="1"/>
    <xf numFmtId="169" fontId="0" fillId="0" borderId="1" xfId="4" applyNumberFormat="1" applyFont="1" applyBorder="1"/>
    <xf numFmtId="0" fontId="14" fillId="8" borderId="1" xfId="0" applyFont="1" applyFill="1" applyBorder="1" applyAlignment="1">
      <alignment horizontal="left" wrapText="1" readingOrder="1"/>
    </xf>
    <xf numFmtId="0" fontId="37" fillId="8" borderId="1" xfId="0" applyFont="1" applyFill="1" applyBorder="1" applyAlignment="1">
      <alignment horizontal="left" wrapText="1" readingOrder="1"/>
    </xf>
    <xf numFmtId="0" fontId="0" fillId="0" borderId="1" xfId="0" applyBorder="1" applyAlignment="1">
      <alignment wrapText="1"/>
    </xf>
    <xf numFmtId="1" fontId="0" fillId="0" borderId="1" xfId="0" applyNumberFormat="1" applyBorder="1"/>
    <xf numFmtId="43" fontId="37" fillId="8" borderId="1" xfId="4" applyFont="1" applyFill="1" applyBorder="1" applyAlignment="1">
      <alignment horizontal="center" wrapText="1" readingOrder="1"/>
    </xf>
    <xf numFmtId="43" fontId="37" fillId="8" borderId="1" xfId="4" applyFont="1" applyFill="1" applyBorder="1" applyAlignment="1">
      <alignment horizontal="left" wrapText="1" readingOrder="1"/>
    </xf>
    <xf numFmtId="0" fontId="37" fillId="8" borderId="16" xfId="0" applyFont="1" applyFill="1" applyBorder="1" applyAlignment="1">
      <alignment horizontal="right" wrapText="1" readingOrder="1"/>
    </xf>
    <xf numFmtId="169" fontId="0" fillId="0" borderId="1" xfId="0" applyNumberFormat="1" applyBorder="1"/>
    <xf numFmtId="0" fontId="38" fillId="0" borderId="1" xfId="0" applyFont="1" applyBorder="1"/>
    <xf numFmtId="0" fontId="39" fillId="0" borderId="1" xfId="0" applyFont="1" applyBorder="1"/>
    <xf numFmtId="0" fontId="39" fillId="0" borderId="1" xfId="0" applyFont="1" applyBorder="1" applyAlignment="1">
      <alignment horizontal="center"/>
    </xf>
    <xf numFmtId="2" fontId="39" fillId="0" borderId="1" xfId="0" applyNumberFormat="1" applyFont="1" applyBorder="1"/>
    <xf numFmtId="10" fontId="39" fillId="0" borderId="1" xfId="1" applyNumberFormat="1" applyFont="1" applyBorder="1"/>
    <xf numFmtId="2" fontId="39" fillId="0" borderId="1" xfId="0" applyNumberFormat="1" applyFont="1" applyBorder="1" applyAlignment="1">
      <alignment horizontal="center"/>
    </xf>
    <xf numFmtId="10" fontId="39" fillId="0" borderId="1" xfId="0" applyNumberFormat="1" applyFont="1" applyBorder="1" applyAlignment="1">
      <alignment horizontal="center"/>
    </xf>
    <xf numFmtId="2" fontId="39" fillId="0" borderId="1" xfId="0" applyNumberFormat="1" applyFont="1" applyBorder="1" applyAlignment="1">
      <alignment horizontal="right"/>
    </xf>
    <xf numFmtId="9" fontId="39" fillId="0" borderId="1" xfId="0" applyNumberFormat="1" applyFont="1" applyBorder="1"/>
    <xf numFmtId="9" fontId="39" fillId="0" borderId="1" xfId="0" applyNumberFormat="1" applyFont="1" applyBorder="1" applyAlignment="1">
      <alignment horizontal="center"/>
    </xf>
    <xf numFmtId="9" fontId="39" fillId="0" borderId="1" xfId="1" applyFont="1" applyBorder="1"/>
    <xf numFmtId="2" fontId="39" fillId="2" borderId="1" xfId="0" applyNumberFormat="1" applyFont="1" applyFill="1" applyBorder="1"/>
    <xf numFmtId="10" fontId="0" fillId="0" borderId="1" xfId="0" applyNumberFormat="1" applyBorder="1"/>
    <xf numFmtId="0" fontId="39" fillId="0" borderId="1" xfId="0" applyFont="1" applyFill="1" applyBorder="1"/>
    <xf numFmtId="2" fontId="3" fillId="0" borderId="1" xfId="0" applyNumberFormat="1" applyFont="1" applyBorder="1" applyAlignment="1">
      <alignment vertical="center"/>
    </xf>
    <xf numFmtId="2" fontId="3" fillId="0" borderId="1" xfId="0" applyNumberFormat="1" applyFont="1" applyBorder="1" applyAlignment="1"/>
    <xf numFmtId="0" fontId="37" fillId="0" borderId="0" xfId="0" applyFont="1" applyAlignment="1">
      <alignment horizontal="center" readingOrder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6" fillId="0" borderId="5" xfId="0" applyNumberFormat="1" applyFont="1" applyBorder="1" applyAlignment="1">
      <alignment horizontal="right" vertical="center" wrapText="1"/>
    </xf>
    <xf numFmtId="164" fontId="0" fillId="0" borderId="0" xfId="0" applyNumberFormat="1"/>
    <xf numFmtId="0" fontId="21" fillId="2" borderId="0" xfId="0" applyFont="1" applyFill="1"/>
    <xf numFmtId="0" fontId="0" fillId="2" borderId="0" xfId="0" applyFill="1"/>
    <xf numFmtId="0" fontId="11" fillId="0" borderId="17" xfId="0" applyFont="1" applyBorder="1" applyAlignment="1">
      <alignment horizontal="right" vertical="center"/>
    </xf>
    <xf numFmtId="0" fontId="40" fillId="0" borderId="12" xfId="0" applyFont="1" applyBorder="1" applyAlignment="1" applyProtection="1">
      <alignment horizontal="right" vertical="center"/>
    </xf>
    <xf numFmtId="4" fontId="40" fillId="0" borderId="12" xfId="0" applyNumberFormat="1" applyFont="1" applyBorder="1" applyAlignment="1" applyProtection="1">
      <alignment horizontal="centerContinuous" vertical="center"/>
    </xf>
    <xf numFmtId="0" fontId="41" fillId="0" borderId="18" xfId="0" applyFont="1" applyBorder="1" applyAlignment="1" applyProtection="1">
      <alignment horizontal="right" vertical="center"/>
    </xf>
    <xf numFmtId="4" fontId="41" fillId="0" borderId="18" xfId="0" applyNumberFormat="1" applyFont="1" applyBorder="1" applyAlignment="1" applyProtection="1">
      <alignment vertical="center"/>
    </xf>
    <xf numFmtId="0" fontId="41" fillId="0" borderId="19" xfId="0" applyFont="1" applyBorder="1" applyAlignment="1" applyProtection="1">
      <alignment horizontal="right" vertical="center"/>
    </xf>
    <xf numFmtId="4" fontId="41" fillId="0" borderId="19" xfId="0" applyNumberFormat="1" applyFont="1" applyBorder="1" applyAlignment="1" applyProtection="1">
      <alignment vertical="center"/>
    </xf>
    <xf numFmtId="10" fontId="0" fillId="0" borderId="0" xfId="0" applyNumberFormat="1"/>
    <xf numFmtId="4" fontId="41" fillId="2" borderId="19" xfId="0" applyNumberFormat="1" applyFont="1" applyFill="1" applyBorder="1" applyAlignment="1" applyProtection="1">
      <alignment vertical="center"/>
    </xf>
    <xf numFmtId="170" fontId="41" fillId="0" borderId="19" xfId="0" applyNumberFormat="1" applyFont="1" applyBorder="1" applyAlignment="1" applyProtection="1">
      <alignment horizontal="right" vertical="center"/>
    </xf>
    <xf numFmtId="0" fontId="41" fillId="0" borderId="20" xfId="0" applyFont="1" applyBorder="1" applyAlignment="1" applyProtection="1">
      <alignment horizontal="left" vertical="center"/>
    </xf>
    <xf numFmtId="4" fontId="41" fillId="0" borderId="20" xfId="0" applyNumberFormat="1" applyFont="1" applyBorder="1" applyAlignment="1" applyProtection="1">
      <alignment vertical="center"/>
    </xf>
    <xf numFmtId="0" fontId="41" fillId="0" borderId="17" xfId="0" applyFont="1" applyBorder="1" applyAlignment="1" applyProtection="1">
      <alignment horizontal="right" vertical="center"/>
    </xf>
    <xf numFmtId="4" fontId="41" fillId="0" borderId="17" xfId="0" applyNumberFormat="1" applyFont="1" applyBorder="1" applyAlignment="1" applyProtection="1">
      <alignment vertical="center"/>
    </xf>
    <xf numFmtId="0" fontId="41" fillId="0" borderId="14" xfId="0" applyFont="1" applyBorder="1" applyAlignment="1" applyProtection="1">
      <alignment horizontal="right" vertical="center"/>
    </xf>
    <xf numFmtId="4" fontId="41" fillId="0" borderId="14" xfId="0" applyNumberFormat="1" applyFont="1" applyBorder="1" applyAlignment="1" applyProtection="1">
      <alignment vertical="center"/>
    </xf>
    <xf numFmtId="0" fontId="0" fillId="0" borderId="0" xfId="0" applyFill="1" applyBorder="1"/>
    <xf numFmtId="4" fontId="41" fillId="0" borderId="21" xfId="0" applyNumberFormat="1" applyFont="1" applyBorder="1" applyAlignment="1" applyProtection="1">
      <alignment vertical="center"/>
    </xf>
    <xf numFmtId="4" fontId="40" fillId="0" borderId="12" xfId="0" applyNumberFormat="1" applyFont="1" applyBorder="1" applyAlignment="1" applyProtection="1">
      <alignment vertical="center"/>
    </xf>
    <xf numFmtId="4" fontId="40" fillId="0" borderId="22" xfId="0" applyNumberFormat="1" applyFont="1" applyFill="1" applyBorder="1" applyAlignment="1" applyProtection="1">
      <alignment vertical="center"/>
    </xf>
    <xf numFmtId="0" fontId="41" fillId="0" borderId="1" xfId="0" applyFont="1" applyFill="1" applyBorder="1" applyAlignment="1" applyProtection="1">
      <alignment horizontal="right" vertical="center"/>
    </xf>
    <xf numFmtId="4" fontId="0" fillId="0" borderId="1" xfId="0" applyNumberFormat="1" applyBorder="1"/>
    <xf numFmtId="2" fontId="3" fillId="0" borderId="0" xfId="0" applyNumberFormat="1" applyFont="1"/>
    <xf numFmtId="0" fontId="3" fillId="0" borderId="0" xfId="0" applyFont="1" applyBorder="1"/>
    <xf numFmtId="0" fontId="0" fillId="0" borderId="22" xfId="0" applyFill="1" applyBorder="1" applyAlignment="1">
      <alignment horizontal="center"/>
    </xf>
    <xf numFmtId="168" fontId="0" fillId="0" borderId="1" xfId="0" applyNumberFormat="1" applyBorder="1"/>
    <xf numFmtId="2" fontId="0" fillId="2" borderId="0" xfId="0" applyNumberFormat="1" applyFill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8" fontId="0" fillId="0" borderId="0" xfId="1" applyNumberFormat="1" applyFont="1"/>
    <xf numFmtId="10" fontId="0" fillId="0" borderId="0" xfId="1" applyNumberFormat="1" applyFont="1"/>
    <xf numFmtId="43" fontId="0" fillId="0" borderId="1" xfId="0" applyNumberFormat="1" applyBorder="1"/>
    <xf numFmtId="166" fontId="0" fillId="0" borderId="1" xfId="0" applyNumberFormat="1" applyBorder="1"/>
    <xf numFmtId="0" fontId="3" fillId="2" borderId="1" xfId="0" applyFont="1" applyFill="1" applyBorder="1" applyAlignment="1">
      <alignment wrapText="1"/>
    </xf>
    <xf numFmtId="43" fontId="0" fillId="2" borderId="1" xfId="0" applyNumberFormat="1" applyFill="1" applyBorder="1"/>
    <xf numFmtId="2" fontId="42" fillId="2" borderId="0" xfId="0" applyNumberFormat="1" applyFont="1" applyFill="1"/>
    <xf numFmtId="0" fontId="3" fillId="2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vertical="center" wrapText="1"/>
    </xf>
    <xf numFmtId="171" fontId="22" fillId="2" borderId="1" xfId="0" applyNumberFormat="1" applyFont="1" applyFill="1" applyBorder="1"/>
    <xf numFmtId="43" fontId="0" fillId="0" borderId="0" xfId="0" applyNumberFormat="1"/>
    <xf numFmtId="0" fontId="25" fillId="0" borderId="2" xfId="0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13" xfId="0" applyBorder="1" applyAlignment="1">
      <alignment horizontal="left"/>
    </xf>
    <xf numFmtId="0" fontId="39" fillId="0" borderId="1" xfId="0" applyFont="1" applyBorder="1" applyAlignment="1">
      <alignment horizontal="center"/>
    </xf>
  </cellXfs>
  <cellStyles count="5">
    <cellStyle name="Comma" xfId="4" builtinId="3"/>
    <cellStyle name="Comma 3 2" xfId="2"/>
    <cellStyle name="Normal" xfId="0" builtinId="0"/>
    <cellStyle name="Percent" xfId="1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9"/>
  <sheetViews>
    <sheetView tabSelected="1" topLeftCell="A83" workbookViewId="0">
      <selection activeCell="E92" sqref="E92"/>
    </sheetView>
  </sheetViews>
  <sheetFormatPr defaultColWidth="11.5703125" defaultRowHeight="15" x14ac:dyDescent="0.25"/>
  <cols>
    <col min="6" max="6" width="11.42578125" customWidth="1"/>
    <col min="7" max="7" width="12.5703125" bestFit="1" customWidth="1"/>
  </cols>
  <sheetData>
    <row r="2" spans="1:20" x14ac:dyDescent="0.25">
      <c r="A2" s="2" t="s">
        <v>55</v>
      </c>
      <c r="B2" s="2"/>
      <c r="C2" s="2"/>
      <c r="D2" s="2"/>
      <c r="E2" s="2"/>
      <c r="F2" s="2"/>
      <c r="G2" s="2"/>
      <c r="H2" s="2"/>
      <c r="I2" s="2"/>
      <c r="J2" s="2"/>
      <c r="K2" s="2"/>
      <c r="L2" s="2">
        <f>SUM(L1:L1)</f>
        <v>0</v>
      </c>
      <c r="M2" s="2"/>
      <c r="N2" s="2"/>
      <c r="O2" s="2"/>
      <c r="P2" s="2"/>
      <c r="Q2" s="2"/>
      <c r="R2" s="2"/>
      <c r="S2" s="2"/>
      <c r="T2" s="2"/>
    </row>
    <row r="3" spans="1:20" x14ac:dyDescent="0.25">
      <c r="A3" s="24" t="s">
        <v>56</v>
      </c>
      <c r="B3" s="25"/>
      <c r="C3" s="25"/>
      <c r="D3" s="25"/>
      <c r="E3" s="25"/>
      <c r="F3" s="26" t="s">
        <v>57</v>
      </c>
      <c r="G3" s="2"/>
      <c r="H3" s="27"/>
      <c r="I3" s="2"/>
      <c r="J3" s="2"/>
      <c r="K3" s="2"/>
      <c r="L3" s="28" t="s">
        <v>58</v>
      </c>
      <c r="M3" s="2"/>
      <c r="N3" s="2"/>
      <c r="O3" s="29" t="s">
        <v>59</v>
      </c>
      <c r="P3" s="2"/>
      <c r="Q3" s="2"/>
      <c r="R3" s="30" t="s">
        <v>60</v>
      </c>
      <c r="S3" s="2"/>
      <c r="T3" s="2"/>
    </row>
    <row r="4" spans="1:20" ht="15.75" x14ac:dyDescent="0.25">
      <c r="A4" s="31" t="s">
        <v>61</v>
      </c>
      <c r="B4" s="31" t="s">
        <v>62</v>
      </c>
      <c r="C4" s="31" t="s">
        <v>63</v>
      </c>
      <c r="D4" s="31" t="s">
        <v>5</v>
      </c>
      <c r="E4" s="31" t="s">
        <v>64</v>
      </c>
      <c r="F4" s="31" t="s">
        <v>65</v>
      </c>
      <c r="G4" s="2"/>
      <c r="H4" s="31"/>
      <c r="I4" s="31"/>
      <c r="J4" s="31"/>
      <c r="K4" s="2"/>
      <c r="L4" s="31" t="s">
        <v>64</v>
      </c>
      <c r="M4" s="31" t="s">
        <v>65</v>
      </c>
      <c r="N4" s="2"/>
      <c r="O4" s="31" t="s">
        <v>64</v>
      </c>
      <c r="P4" s="31" t="s">
        <v>65</v>
      </c>
      <c r="Q4" s="31"/>
      <c r="R4" s="31" t="s">
        <v>64</v>
      </c>
      <c r="S4" s="31" t="s">
        <v>65</v>
      </c>
      <c r="T4" s="2"/>
    </row>
    <row r="5" spans="1:20" ht="15.75" x14ac:dyDescent="0.25">
      <c r="A5" s="32"/>
      <c r="B5" s="32"/>
      <c r="C5" s="32"/>
      <c r="D5" s="32"/>
      <c r="E5" s="33"/>
      <c r="F5" s="33"/>
      <c r="G5" s="34" t="s">
        <v>66</v>
      </c>
      <c r="H5" s="33"/>
      <c r="I5" s="33"/>
      <c r="J5" s="33"/>
      <c r="K5" s="34"/>
      <c r="L5" s="34"/>
      <c r="M5" s="34"/>
      <c r="N5" s="34"/>
      <c r="O5" s="33"/>
      <c r="P5" s="33"/>
      <c r="Q5" s="33"/>
      <c r="R5" s="34"/>
      <c r="S5" s="34"/>
      <c r="T5" s="34"/>
    </row>
    <row r="6" spans="1:20" ht="15.75" x14ac:dyDescent="0.25">
      <c r="A6" s="35" t="s">
        <v>67</v>
      </c>
      <c r="B6" s="36">
        <v>8</v>
      </c>
      <c r="C6" s="36">
        <v>1.4</v>
      </c>
      <c r="D6" s="37">
        <f>B6*C6</f>
        <v>11.2</v>
      </c>
      <c r="E6" s="16">
        <v>101.65</v>
      </c>
      <c r="F6" s="38">
        <f>E6*D6/D12</f>
        <v>15.13936170212766</v>
      </c>
      <c r="G6" s="16"/>
      <c r="H6" s="2"/>
      <c r="I6" s="38"/>
      <c r="J6" s="38"/>
      <c r="K6" s="39"/>
      <c r="L6" s="17">
        <v>100.8</v>
      </c>
      <c r="M6" s="38">
        <f>L6*D6/D12</f>
        <v>15.012765957446806</v>
      </c>
      <c r="N6" s="17">
        <v>100.8</v>
      </c>
      <c r="O6" s="40">
        <v>146</v>
      </c>
      <c r="P6" s="38">
        <f>O6*D6/D12</f>
        <v>21.744680851063826</v>
      </c>
      <c r="Q6" s="41"/>
      <c r="R6" s="42">
        <v>101</v>
      </c>
      <c r="S6" s="43">
        <f>R6*D6/D12</f>
        <v>15.042553191489359</v>
      </c>
      <c r="T6" s="40">
        <v>145</v>
      </c>
    </row>
    <row r="7" spans="1:20" ht="15.75" x14ac:dyDescent="0.25">
      <c r="A7" s="35" t="s">
        <v>68</v>
      </c>
      <c r="B7" s="36"/>
      <c r="C7" s="36"/>
      <c r="D7" s="37">
        <v>40</v>
      </c>
      <c r="E7" s="16">
        <v>58.3</v>
      </c>
      <c r="F7" s="38">
        <f>E7*D7/D12</f>
        <v>31.01063829787234</v>
      </c>
      <c r="G7" s="16"/>
      <c r="H7" s="2"/>
      <c r="I7" s="38"/>
      <c r="J7" s="38"/>
      <c r="K7" s="39"/>
      <c r="L7" s="17">
        <v>66.7</v>
      </c>
      <c r="M7" s="38">
        <f>L7*D7/D12</f>
        <v>35.478723404255319</v>
      </c>
      <c r="N7" s="17">
        <v>66.7</v>
      </c>
      <c r="O7" s="40">
        <v>65</v>
      </c>
      <c r="P7" s="38">
        <f>O7*D7/D12</f>
        <v>34.574468085106382</v>
      </c>
      <c r="Q7" s="41"/>
      <c r="R7" s="44">
        <v>63</v>
      </c>
      <c r="S7" s="43">
        <f>R7*D7/D12</f>
        <v>33.51063829787234</v>
      </c>
      <c r="T7" s="36">
        <v>66</v>
      </c>
    </row>
    <row r="8" spans="1:20" ht="15.75" x14ac:dyDescent="0.25">
      <c r="A8" s="35" t="s">
        <v>69</v>
      </c>
      <c r="B8" s="36"/>
      <c r="C8" s="36"/>
      <c r="D8" s="37">
        <v>14</v>
      </c>
      <c r="E8" s="16">
        <v>139.1</v>
      </c>
      <c r="F8" s="38">
        <f>E8*D8/D12</f>
        <v>25.896276595744677</v>
      </c>
      <c r="G8" s="16"/>
      <c r="H8" s="2"/>
      <c r="I8" s="38"/>
      <c r="J8" s="38"/>
      <c r="K8" s="39"/>
      <c r="L8" s="17">
        <v>141</v>
      </c>
      <c r="M8" s="38">
        <f>L8*D8/D12</f>
        <v>26.25</v>
      </c>
      <c r="N8" s="17">
        <v>141</v>
      </c>
      <c r="O8" s="40">
        <v>145.19</v>
      </c>
      <c r="P8" s="38">
        <f>O8*D8/D12</f>
        <v>27.030053191489358</v>
      </c>
      <c r="Q8" s="41"/>
      <c r="R8" s="44">
        <v>138</v>
      </c>
      <c r="S8" s="43">
        <f>R8*D8/D12</f>
        <v>25.691489361702125</v>
      </c>
      <c r="T8" s="36">
        <v>138</v>
      </c>
    </row>
    <row r="9" spans="1:20" ht="15.75" x14ac:dyDescent="0.25">
      <c r="A9" s="35" t="s">
        <v>70</v>
      </c>
      <c r="B9" s="36"/>
      <c r="C9" s="36"/>
      <c r="D9" s="37">
        <v>5</v>
      </c>
      <c r="E9" s="16">
        <v>85</v>
      </c>
      <c r="F9" s="38">
        <f>E9*D9/D12</f>
        <v>5.6515957446808507</v>
      </c>
      <c r="G9" s="16"/>
      <c r="H9" s="2"/>
      <c r="I9" s="38"/>
      <c r="J9" s="38"/>
      <c r="K9" s="39"/>
      <c r="L9" s="17">
        <v>85.4</v>
      </c>
      <c r="M9" s="38">
        <f>L9*D9/D12</f>
        <v>5.6781914893617023</v>
      </c>
      <c r="N9" s="17">
        <v>85.4</v>
      </c>
      <c r="O9" s="40">
        <v>96.5</v>
      </c>
      <c r="P9" s="38">
        <f>O9*D9/D12</f>
        <v>6.4162234042553186</v>
      </c>
      <c r="Q9" s="41"/>
      <c r="R9" s="45">
        <v>88</v>
      </c>
      <c r="S9" s="43">
        <f>R9*D9/D12</f>
        <v>5.8510638297872335</v>
      </c>
      <c r="T9" s="37">
        <v>102</v>
      </c>
    </row>
    <row r="10" spans="1:20" ht="15.75" x14ac:dyDescent="0.25">
      <c r="A10" s="35" t="s">
        <v>71</v>
      </c>
      <c r="B10" s="36"/>
      <c r="C10" s="36"/>
      <c r="D10" s="37">
        <v>2</v>
      </c>
      <c r="E10" s="16">
        <v>1045.9000000000001</v>
      </c>
      <c r="F10" s="38">
        <f>E10*D10/D12</f>
        <v>27.816489361702128</v>
      </c>
      <c r="G10" s="16"/>
      <c r="H10" s="2"/>
      <c r="I10" s="38"/>
      <c r="J10" s="38"/>
      <c r="K10" s="39"/>
      <c r="L10" s="17">
        <v>1129.0999999999999</v>
      </c>
      <c r="M10" s="38">
        <f>L10*D10/D12</f>
        <v>30.029255319148934</v>
      </c>
      <c r="N10" s="17">
        <v>1129.0999999999999</v>
      </c>
      <c r="O10" s="40">
        <v>1150</v>
      </c>
      <c r="P10" s="38">
        <f>O10*D10/D12</f>
        <v>30.585106382978722</v>
      </c>
      <c r="Q10" s="41"/>
      <c r="R10" s="44">
        <v>1050</v>
      </c>
      <c r="S10" s="43">
        <f>R10*D10/D12</f>
        <v>27.925531914893615</v>
      </c>
      <c r="T10" s="36">
        <v>1050</v>
      </c>
    </row>
    <row r="11" spans="1:20" ht="15.75" x14ac:dyDescent="0.25">
      <c r="A11" s="35" t="s">
        <v>72</v>
      </c>
      <c r="B11" s="36"/>
      <c r="C11" s="36"/>
      <c r="D11" s="37">
        <v>3</v>
      </c>
      <c r="E11" s="16">
        <v>274.7</v>
      </c>
      <c r="F11" s="38">
        <f>E11*D11/D12</f>
        <v>10.958776595744679</v>
      </c>
      <c r="G11" s="16"/>
      <c r="H11" s="2"/>
      <c r="I11" s="38"/>
      <c r="J11" s="38"/>
      <c r="K11" s="39"/>
      <c r="L11" s="17">
        <v>278.75</v>
      </c>
      <c r="M11" s="38">
        <f>L11*D11/D12</f>
        <v>11.120345744680851</v>
      </c>
      <c r="N11" s="17">
        <v>278.75</v>
      </c>
      <c r="O11" s="40">
        <v>367</v>
      </c>
      <c r="P11" s="38">
        <f>O11*D11/D12</f>
        <v>14.64095744680851</v>
      </c>
      <c r="Q11" s="41"/>
      <c r="R11" s="44">
        <v>285</v>
      </c>
      <c r="S11" s="43">
        <f>R11*D11/D12</f>
        <v>11.36968085106383</v>
      </c>
      <c r="T11" s="36">
        <v>285</v>
      </c>
    </row>
    <row r="12" spans="1:20" ht="15.75" x14ac:dyDescent="0.25">
      <c r="A12" s="46" t="s">
        <v>73</v>
      </c>
      <c r="B12" s="47"/>
      <c r="C12" s="47"/>
      <c r="D12" s="37">
        <f>SUM(D6:D11)</f>
        <v>75.2</v>
      </c>
      <c r="E12" s="40"/>
      <c r="F12" s="38">
        <f>SUM(F6:F11)</f>
        <v>116.47313829787232</v>
      </c>
      <c r="G12" s="39"/>
      <c r="H12" s="40"/>
      <c r="I12" s="38"/>
      <c r="J12" s="38"/>
      <c r="K12" s="39"/>
      <c r="L12" s="40"/>
      <c r="M12" s="38">
        <f>SUM(M6:M11)</f>
        <v>123.56928191489361</v>
      </c>
      <c r="N12" s="39"/>
      <c r="O12" s="48"/>
      <c r="P12" s="38">
        <f>SUM(P6:P11)</f>
        <v>134.99148936170212</v>
      </c>
      <c r="Q12" s="49"/>
      <c r="R12" s="50"/>
      <c r="S12" s="51">
        <f>SUM(S6:S11)</f>
        <v>119.39095744680851</v>
      </c>
      <c r="T12" s="52"/>
    </row>
    <row r="13" spans="1:20" ht="15.75" x14ac:dyDescent="0.25">
      <c r="A13" s="35" t="s">
        <v>74</v>
      </c>
      <c r="B13" s="53">
        <v>0.09</v>
      </c>
      <c r="C13" s="36"/>
      <c r="D13" s="37"/>
      <c r="E13" s="40"/>
      <c r="F13" s="38">
        <f>F12*B13</f>
        <v>10.482582446808509</v>
      </c>
      <c r="G13" s="39"/>
      <c r="H13" s="54"/>
      <c r="I13" s="38"/>
      <c r="J13" s="38"/>
      <c r="K13" s="39"/>
      <c r="L13" s="54">
        <v>0.09</v>
      </c>
      <c r="M13" s="38">
        <f>M12*B13</f>
        <v>11.121235372340424</v>
      </c>
      <c r="N13" s="39"/>
      <c r="O13" s="54">
        <v>0.09</v>
      </c>
      <c r="P13" s="38">
        <f>P12*O13</f>
        <v>12.149234042553191</v>
      </c>
      <c r="Q13" s="41"/>
      <c r="R13" s="55">
        <v>7.0000000000000007E-2</v>
      </c>
      <c r="S13" s="43">
        <f>S12*R13</f>
        <v>8.3573670212765965</v>
      </c>
      <c r="T13" s="52"/>
    </row>
    <row r="14" spans="1:20" ht="15.75" x14ac:dyDescent="0.25">
      <c r="A14" s="35"/>
      <c r="B14" s="36"/>
      <c r="C14" s="36"/>
      <c r="D14" s="36"/>
      <c r="E14" s="56" t="s">
        <v>46</v>
      </c>
      <c r="F14" s="41">
        <f>F12+F13</f>
        <v>126.95572074468083</v>
      </c>
      <c r="G14" s="57"/>
      <c r="H14" s="56"/>
      <c r="I14" s="41"/>
      <c r="J14" s="41"/>
      <c r="K14" s="57"/>
      <c r="L14" s="56" t="s">
        <v>46</v>
      </c>
      <c r="M14" s="41">
        <f>M12+M13</f>
        <v>134.69051728723403</v>
      </c>
      <c r="N14" s="57"/>
      <c r="O14" s="56" t="s">
        <v>46</v>
      </c>
      <c r="P14" s="41">
        <f>P12+P13</f>
        <v>147.14072340425531</v>
      </c>
      <c r="Q14" s="41"/>
      <c r="R14" s="44" t="s">
        <v>46</v>
      </c>
      <c r="S14" s="43">
        <f>S12+S13</f>
        <v>127.74832446808512</v>
      </c>
      <c r="T14" s="52"/>
    </row>
    <row r="15" spans="1:20" ht="15.75" x14ac:dyDescent="0.25">
      <c r="A15" s="35" t="s">
        <v>75</v>
      </c>
      <c r="B15" s="36"/>
      <c r="C15" s="36"/>
      <c r="D15" s="36"/>
      <c r="E15" s="56"/>
      <c r="F15" s="41">
        <v>3</v>
      </c>
      <c r="G15" s="57"/>
      <c r="H15" s="56"/>
      <c r="I15" s="41"/>
      <c r="J15" s="41"/>
      <c r="K15" s="57"/>
      <c r="L15" s="56"/>
      <c r="M15" s="41">
        <v>3</v>
      </c>
      <c r="N15" s="57"/>
      <c r="O15" s="56"/>
      <c r="P15" s="41">
        <v>3</v>
      </c>
      <c r="Q15" s="41"/>
      <c r="R15" s="44"/>
      <c r="S15" s="43">
        <v>0</v>
      </c>
      <c r="T15" s="52"/>
    </row>
    <row r="16" spans="1:20" ht="15.75" x14ac:dyDescent="0.25">
      <c r="A16" s="35" t="s">
        <v>76</v>
      </c>
      <c r="B16" s="36"/>
      <c r="C16" s="36"/>
      <c r="D16" s="36"/>
      <c r="E16" s="56"/>
      <c r="F16" s="41">
        <v>1.75</v>
      </c>
      <c r="G16" s="57"/>
      <c r="H16" s="56"/>
      <c r="I16" s="41"/>
      <c r="J16" s="41"/>
      <c r="K16" s="57"/>
      <c r="L16" s="56"/>
      <c r="M16" s="41">
        <v>1.75</v>
      </c>
      <c r="N16" s="57"/>
      <c r="O16" s="56"/>
      <c r="P16" s="41">
        <v>1</v>
      </c>
      <c r="Q16" s="41"/>
      <c r="R16" s="44"/>
      <c r="S16" s="43">
        <v>2</v>
      </c>
      <c r="T16" s="52"/>
    </row>
    <row r="17" spans="1:26" ht="31.5" x14ac:dyDescent="0.25">
      <c r="A17" s="35" t="s">
        <v>77</v>
      </c>
      <c r="B17" s="36"/>
      <c r="C17" s="36"/>
      <c r="D17" s="36"/>
      <c r="E17" s="56"/>
      <c r="F17" s="41">
        <v>1</v>
      </c>
      <c r="G17" s="57"/>
      <c r="H17" s="56"/>
      <c r="I17" s="41"/>
      <c r="J17" s="41"/>
      <c r="K17" s="57"/>
      <c r="L17" s="56"/>
      <c r="M17" s="41">
        <v>0</v>
      </c>
      <c r="N17" s="57"/>
      <c r="O17" s="56"/>
      <c r="P17" s="41">
        <v>1.5</v>
      </c>
      <c r="Q17" s="41"/>
      <c r="R17" s="44"/>
      <c r="S17" s="43">
        <v>0</v>
      </c>
      <c r="T17" s="52"/>
    </row>
    <row r="18" spans="1:26" ht="15.75" x14ac:dyDescent="0.25">
      <c r="A18" s="58" t="s">
        <v>78</v>
      </c>
      <c r="B18" s="36"/>
      <c r="C18" s="36"/>
      <c r="D18" s="36"/>
      <c r="E18" s="56"/>
      <c r="F18" s="41">
        <v>15</v>
      </c>
      <c r="G18" s="34"/>
      <c r="H18" s="56"/>
      <c r="I18" s="41"/>
      <c r="J18" s="41"/>
      <c r="K18" s="41">
        <v>15</v>
      </c>
      <c r="L18" s="59">
        <v>0.1</v>
      </c>
      <c r="M18" s="41">
        <f>M12*L18</f>
        <v>12.356928191489361</v>
      </c>
      <c r="N18" s="34"/>
      <c r="O18" s="56"/>
      <c r="P18" s="41">
        <v>11</v>
      </c>
      <c r="Q18" s="41"/>
      <c r="R18" s="55"/>
      <c r="S18" s="43">
        <v>18</v>
      </c>
      <c r="T18" s="52"/>
    </row>
    <row r="19" spans="1:26" ht="31.5" x14ac:dyDescent="0.25">
      <c r="A19" s="46" t="s">
        <v>79</v>
      </c>
      <c r="B19" s="36"/>
      <c r="C19" s="36"/>
      <c r="D19" s="36"/>
      <c r="E19" s="56"/>
      <c r="F19" s="41">
        <f>SUM(F15:F18)</f>
        <v>20.75</v>
      </c>
      <c r="G19" s="34"/>
      <c r="H19" s="41"/>
      <c r="I19" s="41"/>
      <c r="J19" s="41"/>
      <c r="K19" s="34"/>
      <c r="L19" s="59"/>
      <c r="M19" s="41">
        <f>SUM(M15:M18)</f>
        <v>17.106928191489359</v>
      </c>
      <c r="N19" s="34">
        <f>M21*0.12</f>
        <v>17.760893457446805</v>
      </c>
      <c r="O19" s="41"/>
      <c r="P19" s="41">
        <v>17.5</v>
      </c>
      <c r="Q19" s="41"/>
      <c r="R19" s="55"/>
      <c r="S19" s="60">
        <f>SUM(S16:S18)</f>
        <v>20</v>
      </c>
      <c r="T19" s="52"/>
    </row>
    <row r="20" spans="1:26" ht="15.75" x14ac:dyDescent="0.25">
      <c r="A20" s="35" t="s">
        <v>46</v>
      </c>
      <c r="B20" s="36"/>
      <c r="C20" s="36"/>
      <c r="D20" s="36"/>
      <c r="E20" s="56"/>
      <c r="F20" s="41">
        <f>F14+F19</f>
        <v>147.70572074468083</v>
      </c>
      <c r="G20" s="34">
        <f>F20*0.12</f>
        <v>17.724686489361698</v>
      </c>
      <c r="H20" s="41"/>
      <c r="I20" s="41"/>
      <c r="J20" s="41"/>
      <c r="K20" s="34"/>
      <c r="L20" s="56"/>
      <c r="M20" s="41">
        <f>M14+M19</f>
        <v>151.79744547872338</v>
      </c>
      <c r="N20" s="34"/>
      <c r="O20" s="41"/>
      <c r="P20" s="41">
        <f>P14+P19</f>
        <v>164.64072340425531</v>
      </c>
      <c r="Q20" s="41"/>
      <c r="R20" s="44"/>
      <c r="S20" s="43"/>
      <c r="T20" s="52"/>
    </row>
    <row r="21" spans="1:26" ht="15.75" x14ac:dyDescent="0.25">
      <c r="A21" s="35" t="s">
        <v>80</v>
      </c>
      <c r="B21" s="36"/>
      <c r="C21" s="36"/>
      <c r="D21" s="36"/>
      <c r="E21" s="56"/>
      <c r="F21" s="41"/>
      <c r="G21" s="34"/>
      <c r="H21" s="41"/>
      <c r="I21" s="41"/>
      <c r="J21" s="41"/>
      <c r="K21" s="34" t="s">
        <v>81</v>
      </c>
      <c r="L21" s="56">
        <v>3.79</v>
      </c>
      <c r="M21" s="61">
        <f>M20-L21</f>
        <v>148.00744547872338</v>
      </c>
      <c r="N21" s="62" t="s">
        <v>81</v>
      </c>
      <c r="O21" s="41">
        <v>0.5</v>
      </c>
      <c r="P21" s="41">
        <f>P20-O21</f>
        <v>164.14072340425531</v>
      </c>
      <c r="Q21" s="41"/>
      <c r="R21" s="63"/>
      <c r="S21" s="64">
        <f>S14+S19</f>
        <v>147.74832446808512</v>
      </c>
      <c r="T21" s="52"/>
    </row>
    <row r="22" spans="1:26" ht="15.75" x14ac:dyDescent="0.25">
      <c r="A22" s="65"/>
      <c r="B22" s="65"/>
      <c r="C22" s="65"/>
      <c r="D22" s="65"/>
      <c r="E22" s="41" t="s">
        <v>82</v>
      </c>
      <c r="F22" s="41">
        <f>F20*4%</f>
        <v>5.908228829787233</v>
      </c>
      <c r="G22" s="34"/>
      <c r="H22" s="41"/>
      <c r="I22" s="41"/>
      <c r="J22" s="41"/>
      <c r="K22" s="34" t="s">
        <v>83</v>
      </c>
      <c r="L22" s="66">
        <v>0.125</v>
      </c>
      <c r="M22" s="41">
        <f>M21*L22</f>
        <v>18.500930684840423</v>
      </c>
      <c r="N22" s="41" t="s">
        <v>83</v>
      </c>
      <c r="O22" s="66">
        <v>0.125</v>
      </c>
      <c r="P22" s="41">
        <f>P21*O22</f>
        <v>20.517590425531914</v>
      </c>
      <c r="Q22" s="41"/>
      <c r="R22" s="67">
        <v>0.125</v>
      </c>
      <c r="S22" s="43">
        <f>S21*R22</f>
        <v>18.468540558510639</v>
      </c>
      <c r="T22" s="52"/>
    </row>
    <row r="23" spans="1:26" ht="15.75" x14ac:dyDescent="0.25">
      <c r="A23" s="68"/>
      <c r="B23" s="68"/>
      <c r="C23" s="68"/>
      <c r="D23" s="68"/>
      <c r="E23" s="41" t="s">
        <v>84</v>
      </c>
      <c r="F23" s="41">
        <f>-F22</f>
        <v>-5.908228829787233</v>
      </c>
      <c r="G23" s="34"/>
      <c r="H23" s="41"/>
      <c r="I23" s="41"/>
      <c r="J23" s="41"/>
      <c r="K23" s="34" t="s">
        <v>27</v>
      </c>
      <c r="L23" s="66">
        <v>0.02</v>
      </c>
      <c r="M23" s="41">
        <f>(M21+M22)*L23</f>
        <v>3.3301675232712764</v>
      </c>
      <c r="N23" s="41" t="s">
        <v>27</v>
      </c>
      <c r="O23" s="66">
        <v>0.02</v>
      </c>
      <c r="P23" s="41">
        <f>(P21+P22)*O23</f>
        <v>3.6931662765957447</v>
      </c>
      <c r="Q23" s="41"/>
      <c r="R23" s="67">
        <v>0.02</v>
      </c>
      <c r="S23" s="43">
        <f>(S21+S22)*R23</f>
        <v>3.3243373005319157</v>
      </c>
      <c r="T23" s="52"/>
    </row>
    <row r="24" spans="1:26" ht="15.75" x14ac:dyDescent="0.25">
      <c r="A24" s="58" t="s">
        <v>85</v>
      </c>
      <c r="B24" s="36"/>
      <c r="C24" s="36"/>
      <c r="D24" s="36"/>
      <c r="E24" s="36"/>
      <c r="F24" s="65"/>
      <c r="G24" s="2"/>
      <c r="H24" s="2"/>
      <c r="I24" s="65"/>
      <c r="J24" s="65"/>
      <c r="K24" s="2" t="s">
        <v>85</v>
      </c>
      <c r="L24" s="36"/>
      <c r="M24" s="65">
        <v>4.5</v>
      </c>
      <c r="N24" s="2"/>
      <c r="O24" s="65"/>
      <c r="P24" s="65">
        <v>3</v>
      </c>
      <c r="Q24" s="65"/>
      <c r="R24" s="2" t="s">
        <v>85</v>
      </c>
      <c r="S24" s="43">
        <v>2</v>
      </c>
      <c r="T24" s="52"/>
    </row>
    <row r="25" spans="1:26" ht="32.25" thickBot="1" x14ac:dyDescent="0.3">
      <c r="A25" s="46" t="s">
        <v>86</v>
      </c>
      <c r="B25" s="68"/>
      <c r="C25" s="68"/>
      <c r="D25" s="68"/>
      <c r="E25" s="68"/>
      <c r="F25" s="69">
        <f>SUM(F20:F24)</f>
        <v>147.70572074468083</v>
      </c>
      <c r="G25" s="2"/>
      <c r="H25" s="36"/>
      <c r="I25" s="69"/>
      <c r="J25" s="69"/>
      <c r="K25" s="2"/>
      <c r="L25" s="68"/>
      <c r="M25" s="69">
        <f>SUM(M21:M24)</f>
        <v>174.3385436868351</v>
      </c>
      <c r="N25" s="16">
        <v>182.11</v>
      </c>
      <c r="O25" s="36" t="s">
        <v>45</v>
      </c>
      <c r="P25" s="69">
        <f>SUM(P21:P24)</f>
        <v>191.35148010638298</v>
      </c>
      <c r="Q25" s="65"/>
      <c r="R25" s="70"/>
      <c r="S25" s="71">
        <f>SUM(S21:S24)</f>
        <v>171.54120232712768</v>
      </c>
      <c r="T25" s="52"/>
    </row>
    <row r="28" spans="1:26" x14ac:dyDescent="0.25">
      <c r="C28" t="s">
        <v>87</v>
      </c>
      <c r="D28" t="s">
        <v>88</v>
      </c>
      <c r="M28" t="s">
        <v>53</v>
      </c>
      <c r="N28" t="s">
        <v>89</v>
      </c>
      <c r="S28" t="s">
        <v>90</v>
      </c>
      <c r="T28" t="s">
        <v>91</v>
      </c>
    </row>
    <row r="30" spans="1:26" x14ac:dyDescent="0.25">
      <c r="A30">
        <v>100.8</v>
      </c>
      <c r="B30">
        <v>103.05</v>
      </c>
      <c r="C30" s="2" t="s">
        <v>92</v>
      </c>
      <c r="D30" s="2" t="s">
        <v>25</v>
      </c>
      <c r="E30" s="2">
        <v>12.5</v>
      </c>
      <c r="F30" s="72">
        <v>0.02</v>
      </c>
      <c r="G30" s="2" t="s">
        <v>28</v>
      </c>
      <c r="H30" s="2"/>
      <c r="I30" s="2" t="s">
        <v>93</v>
      </c>
      <c r="J30" s="73"/>
    </row>
    <row r="31" spans="1:26" x14ac:dyDescent="0.25">
      <c r="A31">
        <v>66.7</v>
      </c>
      <c r="B31">
        <v>68.16</v>
      </c>
      <c r="C31" s="2" t="s">
        <v>94</v>
      </c>
      <c r="D31" s="16">
        <v>99.8</v>
      </c>
      <c r="E31" s="16">
        <f>D31*E30%</f>
        <v>12.475</v>
      </c>
      <c r="F31" s="16">
        <f>(D31+E31)*F30</f>
        <v>2.2454999999999998</v>
      </c>
      <c r="G31" s="16">
        <v>1</v>
      </c>
      <c r="H31" s="16">
        <f>SUM(D31:G31)</f>
        <v>115.5205</v>
      </c>
      <c r="I31" s="16">
        <f>H31-E31</f>
        <v>103.0455</v>
      </c>
      <c r="J31" s="74">
        <f>D31+G31</f>
        <v>100.8</v>
      </c>
      <c r="K31" s="17">
        <v>100.8</v>
      </c>
      <c r="L31" s="16" t="s">
        <v>92</v>
      </c>
      <c r="M31" s="16" t="s">
        <v>25</v>
      </c>
      <c r="N31" s="16">
        <v>7.4999999999999997E-2</v>
      </c>
      <c r="O31" s="16">
        <v>7.4999999999999997E-2</v>
      </c>
      <c r="P31" s="16" t="s">
        <v>28</v>
      </c>
      <c r="Q31" s="16"/>
      <c r="R31" s="16" t="s">
        <v>93</v>
      </c>
      <c r="S31" s="17"/>
      <c r="T31" s="16" t="s">
        <v>92</v>
      </c>
      <c r="U31" s="16" t="s">
        <v>25</v>
      </c>
      <c r="V31" s="16">
        <v>7.4999999999999997E-2</v>
      </c>
      <c r="W31" s="16">
        <v>7.4999999999999997E-2</v>
      </c>
      <c r="X31" s="16" t="s">
        <v>28</v>
      </c>
      <c r="Y31" s="16" t="s">
        <v>95</v>
      </c>
      <c r="Z31" s="16"/>
    </row>
    <row r="32" spans="1:26" x14ac:dyDescent="0.25">
      <c r="A32">
        <v>141</v>
      </c>
      <c r="B32">
        <v>144.15</v>
      </c>
      <c r="C32" s="2"/>
      <c r="D32" s="16"/>
      <c r="E32" s="16">
        <v>6</v>
      </c>
      <c r="F32" s="16">
        <v>2.1000000000000001E-2</v>
      </c>
      <c r="G32" s="16"/>
      <c r="H32" s="16"/>
      <c r="I32" s="16"/>
      <c r="J32" s="74"/>
      <c r="K32" s="17">
        <v>66.7</v>
      </c>
      <c r="L32" s="16" t="s">
        <v>94</v>
      </c>
      <c r="M32" s="16">
        <v>99.8</v>
      </c>
      <c r="N32" s="16">
        <f>$N$31*M32</f>
        <v>7.4849999999999994</v>
      </c>
      <c r="O32" s="16">
        <f>M32*$O$31</f>
        <v>7.4849999999999994</v>
      </c>
      <c r="P32" s="16">
        <v>1</v>
      </c>
      <c r="Q32" s="16">
        <f>SUM(M32:P32)</f>
        <v>115.77</v>
      </c>
      <c r="R32" s="16">
        <f>M32+P32</f>
        <v>100.8</v>
      </c>
      <c r="S32" s="17"/>
      <c r="T32" s="16" t="s">
        <v>94</v>
      </c>
      <c r="U32" s="16">
        <v>99.8</v>
      </c>
      <c r="V32" s="16">
        <f>$N$31*U32</f>
        <v>7.4849999999999994</v>
      </c>
      <c r="W32" s="16">
        <f>U32*$O$31</f>
        <v>7.4849999999999994</v>
      </c>
      <c r="X32" s="16">
        <v>1</v>
      </c>
      <c r="Y32" s="16">
        <f>SUM(U32:X32)</f>
        <v>115.77</v>
      </c>
      <c r="Z32" s="16">
        <f>U32+X32</f>
        <v>100.8</v>
      </c>
    </row>
    <row r="33" spans="1:26" x14ac:dyDescent="0.25">
      <c r="A33">
        <v>85.4</v>
      </c>
      <c r="B33">
        <v>87.38</v>
      </c>
      <c r="C33" s="2" t="s">
        <v>6</v>
      </c>
      <c r="D33" s="16">
        <v>65.7</v>
      </c>
      <c r="E33" s="16">
        <f>D33*E32%</f>
        <v>3.9420000000000002</v>
      </c>
      <c r="F33" s="16">
        <f>(D33+E33)*F32</f>
        <v>1.4624820000000001</v>
      </c>
      <c r="G33" s="16">
        <v>1</v>
      </c>
      <c r="H33" s="16">
        <f>SUM(D33:G33)</f>
        <v>72.10448199999999</v>
      </c>
      <c r="I33" s="16">
        <f>H33-E33</f>
        <v>68.162481999999983</v>
      </c>
      <c r="J33" s="74">
        <f t="shared" ref="J33:J39" si="0">D33+G33</f>
        <v>66.7</v>
      </c>
      <c r="K33" s="17">
        <v>141</v>
      </c>
      <c r="L33" s="16"/>
      <c r="M33" s="16"/>
      <c r="N33" s="16"/>
      <c r="O33" s="16"/>
      <c r="P33" s="16"/>
      <c r="Q33" s="16"/>
      <c r="R33" s="16"/>
      <c r="S33" s="17"/>
      <c r="T33" s="16"/>
      <c r="U33" s="16"/>
      <c r="V33" s="16"/>
      <c r="W33" s="16"/>
      <c r="X33" s="16"/>
      <c r="Y33" s="16"/>
      <c r="Z33" s="16"/>
    </row>
    <row r="34" spans="1:26" x14ac:dyDescent="0.25">
      <c r="A34">
        <v>1155</v>
      </c>
      <c r="B34">
        <v>1155</v>
      </c>
      <c r="C34" s="2"/>
      <c r="D34" s="16"/>
      <c r="E34" s="16"/>
      <c r="F34" s="16"/>
      <c r="G34" s="16"/>
      <c r="H34" s="16"/>
      <c r="I34" s="16"/>
      <c r="J34" s="74"/>
      <c r="K34" s="17">
        <v>85.4</v>
      </c>
      <c r="L34" s="16" t="s">
        <v>6</v>
      </c>
      <c r="M34" s="16">
        <v>65.7</v>
      </c>
      <c r="N34" s="16">
        <f>$N$31*M34</f>
        <v>4.9275000000000002</v>
      </c>
      <c r="O34" s="16">
        <f>M34*$O$31</f>
        <v>4.9275000000000002</v>
      </c>
      <c r="P34" s="16">
        <v>1</v>
      </c>
      <c r="Q34" s="16">
        <f>SUM(M34:P34)</f>
        <v>76.554999999999993</v>
      </c>
      <c r="R34" s="16">
        <f>M34+P34</f>
        <v>66.7</v>
      </c>
      <c r="S34" s="17"/>
      <c r="T34" s="16" t="s">
        <v>6</v>
      </c>
      <c r="U34" s="16">
        <v>65.7</v>
      </c>
      <c r="V34" s="16">
        <f>$N$31*U34</f>
        <v>4.9275000000000002</v>
      </c>
      <c r="W34" s="16">
        <f>U34*$O$31</f>
        <v>4.9275000000000002</v>
      </c>
      <c r="X34" s="16">
        <v>1</v>
      </c>
      <c r="Y34" s="16">
        <f>SUM(U34:X34)</f>
        <v>76.554999999999993</v>
      </c>
      <c r="Z34" s="16">
        <f>U34+X34</f>
        <v>66.7</v>
      </c>
    </row>
    <row r="35" spans="1:26" x14ac:dyDescent="0.25">
      <c r="A35">
        <v>285</v>
      </c>
      <c r="B35">
        <v>285</v>
      </c>
      <c r="C35" s="2"/>
      <c r="D35" s="16"/>
      <c r="E35" s="16">
        <v>12.5</v>
      </c>
      <c r="F35" s="16">
        <v>0.02</v>
      </c>
      <c r="G35" s="16" t="s">
        <v>28</v>
      </c>
      <c r="H35" s="16"/>
      <c r="I35" s="16"/>
      <c r="J35" s="74"/>
      <c r="K35" s="17">
        <v>1129.0999999999999</v>
      </c>
      <c r="L35" s="16"/>
      <c r="M35" s="16"/>
      <c r="N35" s="16"/>
      <c r="O35" s="16"/>
      <c r="P35" s="16"/>
      <c r="Q35" s="16"/>
      <c r="R35" s="16"/>
      <c r="S35" s="17"/>
      <c r="T35" s="16"/>
      <c r="U35" s="16"/>
      <c r="V35" s="16"/>
      <c r="W35" s="16"/>
      <c r="X35" s="16"/>
      <c r="Y35" s="16"/>
      <c r="Z35" s="16"/>
    </row>
    <row r="36" spans="1:26" x14ac:dyDescent="0.25">
      <c r="C36" s="2" t="s">
        <v>96</v>
      </c>
      <c r="D36" s="16">
        <v>140</v>
      </c>
      <c r="E36" s="16">
        <f>D36*$E35%</f>
        <v>17.5</v>
      </c>
      <c r="F36" s="16">
        <f>(D36+E36)*$F35</f>
        <v>3.15</v>
      </c>
      <c r="G36" s="16">
        <v>1</v>
      </c>
      <c r="H36" s="16">
        <f>SUM(D36:G36)</f>
        <v>161.65</v>
      </c>
      <c r="I36" s="16">
        <f>H36-E36</f>
        <v>144.15</v>
      </c>
      <c r="J36" s="74">
        <f t="shared" si="0"/>
        <v>141</v>
      </c>
      <c r="K36" s="17">
        <v>278.75</v>
      </c>
      <c r="L36" s="16"/>
      <c r="M36" s="16"/>
      <c r="N36" s="16"/>
      <c r="O36" s="16"/>
      <c r="P36" s="16"/>
      <c r="Q36" s="16"/>
      <c r="R36" s="16"/>
      <c r="S36" s="17"/>
      <c r="T36" s="16"/>
      <c r="U36" s="16"/>
      <c r="V36" s="16"/>
      <c r="W36" s="16"/>
      <c r="X36" s="16"/>
      <c r="Y36" s="16"/>
      <c r="Z36" s="16"/>
    </row>
    <row r="37" spans="1:26" x14ac:dyDescent="0.25">
      <c r="C37" s="2" t="s">
        <v>97</v>
      </c>
      <c r="D37" s="16">
        <v>84.4</v>
      </c>
      <c r="E37" s="16">
        <f t="shared" ref="E37" si="1">D37*E36%</f>
        <v>14.77</v>
      </c>
      <c r="F37" s="16">
        <f>(D37+E37)*F35</f>
        <v>1.9834000000000001</v>
      </c>
      <c r="G37" s="16">
        <v>1</v>
      </c>
      <c r="H37" s="16">
        <f t="shared" ref="H37:H39" si="2">SUM(D37:G37)</f>
        <v>102.1534</v>
      </c>
      <c r="I37" s="16">
        <f t="shared" ref="I37:I39" si="3">H37-E37</f>
        <v>87.383400000000009</v>
      </c>
      <c r="J37" s="74">
        <f t="shared" si="0"/>
        <v>85.4</v>
      </c>
      <c r="K37" s="17"/>
      <c r="L37" s="16" t="s">
        <v>96</v>
      </c>
      <c r="M37" s="16">
        <v>140</v>
      </c>
      <c r="N37" s="16">
        <f>$N$31*M37</f>
        <v>10.5</v>
      </c>
      <c r="O37" s="16">
        <f>M37*$O$31</f>
        <v>10.5</v>
      </c>
      <c r="P37" s="16">
        <v>1</v>
      </c>
      <c r="Q37" s="16">
        <f>SUM(M37:P37)</f>
        <v>162</v>
      </c>
      <c r="R37" s="16">
        <f>M37+P37</f>
        <v>141</v>
      </c>
      <c r="S37" s="17"/>
      <c r="T37" s="16" t="s">
        <v>96</v>
      </c>
      <c r="U37" s="16">
        <v>140</v>
      </c>
      <c r="V37" s="16">
        <f>$N$31*U37</f>
        <v>10.5</v>
      </c>
      <c r="W37" s="16">
        <f>U37*$O$31</f>
        <v>10.5</v>
      </c>
      <c r="X37" s="16">
        <v>1</v>
      </c>
      <c r="Y37" s="16">
        <f>SUM(U37:X37)</f>
        <v>162</v>
      </c>
      <c r="Z37" s="16">
        <f>U37+X37</f>
        <v>141</v>
      </c>
    </row>
    <row r="38" spans="1:26" x14ac:dyDescent="0.25">
      <c r="C38" s="2" t="s">
        <v>98</v>
      </c>
      <c r="D38" s="16">
        <v>1128.0999999999999</v>
      </c>
      <c r="E38" s="16">
        <f>D38*E37%</f>
        <v>166.62036999999998</v>
      </c>
      <c r="F38" s="16">
        <f>(D38+E38)*F35</f>
        <v>25.894407400000002</v>
      </c>
      <c r="G38" s="16">
        <v>1</v>
      </c>
      <c r="H38" s="16">
        <f t="shared" si="2"/>
        <v>1321.6147774000001</v>
      </c>
      <c r="I38" s="16">
        <f t="shared" si="3"/>
        <v>1154.9944074</v>
      </c>
      <c r="J38" s="74">
        <f t="shared" si="0"/>
        <v>1129.0999999999999</v>
      </c>
      <c r="K38" s="17"/>
      <c r="L38" s="16" t="s">
        <v>97</v>
      </c>
      <c r="M38" s="16">
        <v>84.4</v>
      </c>
      <c r="N38" s="16">
        <f>$N$31*M38</f>
        <v>6.33</v>
      </c>
      <c r="O38" s="16">
        <f>M38*$O$31</f>
        <v>6.33</v>
      </c>
      <c r="P38" s="16">
        <v>1</v>
      </c>
      <c r="Q38" s="16">
        <f t="shared" ref="Q38:Q40" si="4">SUM(M38:P38)</f>
        <v>98.06</v>
      </c>
      <c r="R38" s="16">
        <f>M38+P38</f>
        <v>85.4</v>
      </c>
      <c r="S38" s="17"/>
      <c r="T38" s="16" t="s">
        <v>97</v>
      </c>
      <c r="U38" s="16">
        <v>84.4</v>
      </c>
      <c r="V38" s="16">
        <f>$N$31*U38</f>
        <v>6.33</v>
      </c>
      <c r="W38" s="16">
        <f>U38*$O$31</f>
        <v>6.33</v>
      </c>
      <c r="X38" s="16">
        <v>1</v>
      </c>
      <c r="Y38" s="16">
        <f t="shared" ref="Y38:Y40" si="5">SUM(U38:X38)</f>
        <v>98.06</v>
      </c>
      <c r="Z38" s="16">
        <f>U38+X38</f>
        <v>85.4</v>
      </c>
    </row>
    <row r="39" spans="1:26" x14ac:dyDescent="0.25">
      <c r="C39" s="2" t="s">
        <v>99</v>
      </c>
      <c r="D39" s="16">
        <v>277.75</v>
      </c>
      <c r="E39" s="16">
        <f>D39*E35%</f>
        <v>34.71875</v>
      </c>
      <c r="F39" s="16">
        <f>(D39+E39)*F35</f>
        <v>6.2493750000000006</v>
      </c>
      <c r="G39" s="16">
        <v>1</v>
      </c>
      <c r="H39" s="16">
        <f t="shared" si="2"/>
        <v>319.71812499999999</v>
      </c>
      <c r="I39" s="16">
        <f t="shared" si="3"/>
        <v>284.99937499999999</v>
      </c>
      <c r="J39" s="74">
        <f t="shared" si="0"/>
        <v>278.75</v>
      </c>
      <c r="K39" s="17"/>
      <c r="L39" s="16" t="s">
        <v>98</v>
      </c>
      <c r="M39" s="16">
        <v>1128.0999999999999</v>
      </c>
      <c r="N39" s="16">
        <f>$N$31*M39</f>
        <v>84.607499999999987</v>
      </c>
      <c r="O39" s="16">
        <f>M39*$O$31</f>
        <v>84.607499999999987</v>
      </c>
      <c r="P39" s="16">
        <v>1</v>
      </c>
      <c r="Q39" s="16">
        <f t="shared" si="4"/>
        <v>1298.3150000000001</v>
      </c>
      <c r="R39" s="16">
        <f>M39+P39</f>
        <v>1129.0999999999999</v>
      </c>
      <c r="S39" s="17"/>
      <c r="T39" s="16" t="s">
        <v>98</v>
      </c>
      <c r="U39" s="16">
        <v>1128.0999999999999</v>
      </c>
      <c r="V39" s="16">
        <f>$N$31*U39</f>
        <v>84.607499999999987</v>
      </c>
      <c r="W39" s="16">
        <f>U39*$O$31</f>
        <v>84.607499999999987</v>
      </c>
      <c r="X39" s="16">
        <v>1</v>
      </c>
      <c r="Y39" s="16">
        <f t="shared" si="5"/>
        <v>1298.3150000000001</v>
      </c>
      <c r="Z39" s="16">
        <f>U39+X39</f>
        <v>1129.0999999999999</v>
      </c>
    </row>
    <row r="40" spans="1:26" x14ac:dyDescent="0.25">
      <c r="D40" s="17"/>
      <c r="E40" s="17"/>
      <c r="F40" s="17"/>
      <c r="G40" s="17"/>
      <c r="H40" s="17"/>
      <c r="I40" s="17"/>
      <c r="J40" s="17"/>
      <c r="K40" s="17"/>
      <c r="L40" s="16" t="s">
        <v>99</v>
      </c>
      <c r="M40" s="16">
        <v>277.75</v>
      </c>
      <c r="N40" s="16">
        <f>$N$31*M40</f>
        <v>20.831250000000001</v>
      </c>
      <c r="O40" s="16">
        <f>M40*$O$31</f>
        <v>20.831250000000001</v>
      </c>
      <c r="P40" s="16">
        <v>1</v>
      </c>
      <c r="Q40" s="16">
        <f t="shared" si="4"/>
        <v>320.41250000000002</v>
      </c>
      <c r="R40" s="16">
        <f>M40+P40</f>
        <v>278.75</v>
      </c>
      <c r="S40" s="17"/>
      <c r="T40" s="16" t="s">
        <v>99</v>
      </c>
      <c r="U40" s="16">
        <v>277.75</v>
      </c>
      <c r="V40" s="16">
        <f>$N$31*U40</f>
        <v>20.831250000000001</v>
      </c>
      <c r="W40" s="16">
        <f>U40*$O$31</f>
        <v>20.831250000000001</v>
      </c>
      <c r="X40" s="16">
        <v>1</v>
      </c>
      <c r="Y40" s="16">
        <f t="shared" si="5"/>
        <v>320.41250000000002</v>
      </c>
      <c r="Z40" s="16">
        <f>U40+X40</f>
        <v>278.75</v>
      </c>
    </row>
    <row r="41" spans="1:26" x14ac:dyDescent="0.25">
      <c r="C41" t="s">
        <v>57</v>
      </c>
      <c r="D41" s="17"/>
      <c r="E41" s="17"/>
      <c r="F41" s="17"/>
      <c r="G41" s="17"/>
      <c r="H41" s="17"/>
      <c r="I41" s="17"/>
      <c r="J41" s="17"/>
      <c r="K41" s="17" t="s">
        <v>100</v>
      </c>
      <c r="L41" s="74"/>
      <c r="M41" s="74"/>
      <c r="N41" s="74"/>
      <c r="O41" s="74"/>
      <c r="P41" s="74"/>
      <c r="Q41" s="74"/>
      <c r="R41" s="74"/>
      <c r="S41" s="17"/>
      <c r="T41" s="17"/>
      <c r="U41" s="17"/>
      <c r="V41" s="17"/>
      <c r="W41" s="17"/>
      <c r="X41" s="17"/>
      <c r="Y41" s="17"/>
      <c r="Z41" s="17"/>
    </row>
    <row r="42" spans="1:26" x14ac:dyDescent="0.25">
      <c r="D42" s="17"/>
      <c r="E42" s="17"/>
      <c r="F42" s="17"/>
      <c r="G42" s="17"/>
      <c r="H42" s="17"/>
      <c r="I42" s="17"/>
      <c r="J42" s="17"/>
      <c r="K42" s="17"/>
      <c r="L42" s="17"/>
      <c r="M42" s="17" t="s">
        <v>89</v>
      </c>
      <c r="N42" s="17"/>
      <c r="O42" s="17"/>
      <c r="P42" s="17"/>
      <c r="Q42" s="17"/>
      <c r="R42" s="17"/>
      <c r="S42" s="17"/>
      <c r="T42" s="17"/>
      <c r="U42" s="17" t="s">
        <v>101</v>
      </c>
      <c r="V42" s="17"/>
      <c r="W42" s="17"/>
      <c r="X42" s="17"/>
      <c r="Y42" s="17"/>
      <c r="Z42" s="17"/>
    </row>
    <row r="43" spans="1:26" x14ac:dyDescent="0.25">
      <c r="C43" s="2" t="s">
        <v>92</v>
      </c>
      <c r="D43" s="16" t="s">
        <v>25</v>
      </c>
      <c r="E43" s="16">
        <v>12.5</v>
      </c>
      <c r="F43" s="16">
        <v>0.02</v>
      </c>
      <c r="G43" s="16" t="s">
        <v>28</v>
      </c>
      <c r="H43" s="16"/>
      <c r="I43" s="16" t="s">
        <v>93</v>
      </c>
      <c r="J43" s="74"/>
      <c r="K43" s="17"/>
      <c r="L43" s="16" t="s">
        <v>92</v>
      </c>
      <c r="M43" s="16" t="s">
        <v>25</v>
      </c>
      <c r="N43" s="16">
        <v>7.4999999999999997E-2</v>
      </c>
      <c r="O43" s="16">
        <v>7.4999999999999997E-2</v>
      </c>
      <c r="P43" s="16" t="s">
        <v>85</v>
      </c>
      <c r="Q43" s="16" t="s">
        <v>102</v>
      </c>
      <c r="R43" s="16" t="s">
        <v>93</v>
      </c>
      <c r="S43" s="17"/>
      <c r="T43" s="16" t="s">
        <v>92</v>
      </c>
      <c r="U43" s="16" t="s">
        <v>25</v>
      </c>
      <c r="V43" s="16">
        <v>7.4999999999999997E-2</v>
      </c>
      <c r="W43" s="16">
        <v>7.4999999999999997E-2</v>
      </c>
      <c r="X43" s="16" t="s">
        <v>85</v>
      </c>
      <c r="Y43" s="16" t="s">
        <v>102</v>
      </c>
      <c r="Z43" s="16" t="s">
        <v>93</v>
      </c>
    </row>
    <row r="44" spans="1:26" x14ac:dyDescent="0.25">
      <c r="C44" s="2" t="s">
        <v>94</v>
      </c>
      <c r="D44" s="16">
        <v>100.65</v>
      </c>
      <c r="E44" s="16">
        <f>D44*E43%</f>
        <v>12.581250000000001</v>
      </c>
      <c r="F44" s="16">
        <f>(D44+E44)*F43</f>
        <v>2.2646250000000001</v>
      </c>
      <c r="G44" s="16">
        <v>1</v>
      </c>
      <c r="H44" s="16">
        <f>SUM(D44:G44)</f>
        <v>116.495875</v>
      </c>
      <c r="I44" s="75">
        <f>H44-E44-F44</f>
        <v>101.65</v>
      </c>
      <c r="J44" s="76">
        <v>116.5</v>
      </c>
      <c r="K44" s="17">
        <v>101.65</v>
      </c>
      <c r="L44" s="16" t="s">
        <v>94</v>
      </c>
      <c r="M44" s="16">
        <v>100.65</v>
      </c>
      <c r="N44" s="16">
        <f>$N$43*M44</f>
        <v>7.5487500000000001</v>
      </c>
      <c r="O44" s="16">
        <f>$O$43*M44</f>
        <v>7.5487500000000001</v>
      </c>
      <c r="P44" s="16">
        <f>1</f>
        <v>1</v>
      </c>
      <c r="Q44" s="16">
        <f>M44+N44+O44</f>
        <v>115.7475</v>
      </c>
      <c r="R44" s="16"/>
      <c r="S44" s="17"/>
      <c r="T44" s="16" t="s">
        <v>94</v>
      </c>
      <c r="U44" s="16">
        <v>100.65</v>
      </c>
      <c r="V44" s="16">
        <f>$N$43*U44</f>
        <v>7.5487500000000001</v>
      </c>
      <c r="W44" s="16">
        <f>$O$43*U44</f>
        <v>7.5487500000000001</v>
      </c>
      <c r="X44" s="16">
        <f>1</f>
        <v>1</v>
      </c>
      <c r="Y44" s="16">
        <f t="shared" ref="Y44:Y52" si="6">SUM(U44:X44)</f>
        <v>116.7475</v>
      </c>
      <c r="Z44" s="16">
        <f>U44+X44</f>
        <v>101.65</v>
      </c>
    </row>
    <row r="45" spans="1:26" x14ac:dyDescent="0.25">
      <c r="C45" s="2"/>
      <c r="D45" s="16"/>
      <c r="E45" s="16">
        <v>6</v>
      </c>
      <c r="F45" s="16">
        <v>2.1000000000000001E-2</v>
      </c>
      <c r="G45" s="16"/>
      <c r="H45" s="16"/>
      <c r="I45" s="75"/>
      <c r="J45" s="76">
        <v>63.01</v>
      </c>
      <c r="K45" s="17">
        <v>58.3</v>
      </c>
      <c r="L45" s="16"/>
      <c r="M45" s="16"/>
      <c r="N45" s="16"/>
      <c r="O45" s="16"/>
      <c r="P45" s="16"/>
      <c r="Q45" s="16"/>
      <c r="R45" s="16"/>
      <c r="S45" s="17"/>
      <c r="T45" s="16"/>
      <c r="U45" s="16"/>
      <c r="V45" s="16"/>
      <c r="W45" s="16"/>
      <c r="X45" s="16"/>
      <c r="Y45" s="16"/>
      <c r="Z45" s="16"/>
    </row>
    <row r="46" spans="1:26" x14ac:dyDescent="0.25">
      <c r="C46" s="2" t="s">
        <v>6</v>
      </c>
      <c r="D46" s="16">
        <v>57.3</v>
      </c>
      <c r="E46" s="16">
        <f>D46*E45%</f>
        <v>3.4379999999999997</v>
      </c>
      <c r="F46" s="16">
        <f>(D46+E46)*F45</f>
        <v>1.275498</v>
      </c>
      <c r="G46" s="16">
        <v>1</v>
      </c>
      <c r="H46" s="16">
        <f>SUM(D46:G46)</f>
        <v>63.013497999999998</v>
      </c>
      <c r="I46" s="75">
        <f>H46-E46-F46</f>
        <v>58.3</v>
      </c>
      <c r="J46" s="76">
        <v>159.47</v>
      </c>
      <c r="K46" s="17">
        <v>139.1</v>
      </c>
      <c r="L46" s="16" t="s">
        <v>6</v>
      </c>
      <c r="M46" s="16">
        <v>57.3</v>
      </c>
      <c r="N46" s="16">
        <f>$N$43*M46</f>
        <v>4.2974999999999994</v>
      </c>
      <c r="O46" s="16">
        <f>$O$43*M46</f>
        <v>4.2974999999999994</v>
      </c>
      <c r="P46" s="16">
        <f>1</f>
        <v>1</v>
      </c>
      <c r="Q46" s="16">
        <f t="shared" ref="Q46:Q52" si="7">M46+N46+O46</f>
        <v>65.894999999999996</v>
      </c>
      <c r="R46" s="16"/>
      <c r="S46" s="17"/>
      <c r="T46" s="16" t="s">
        <v>6</v>
      </c>
      <c r="U46" s="16">
        <v>57.3</v>
      </c>
      <c r="V46" s="16">
        <f>$N$43*U46</f>
        <v>4.2974999999999994</v>
      </c>
      <c r="W46" s="16">
        <f>$O$43*U46</f>
        <v>4.2974999999999994</v>
      </c>
      <c r="X46" s="16">
        <f>1</f>
        <v>1</v>
      </c>
      <c r="Y46" s="16">
        <f t="shared" si="6"/>
        <v>66.894999999999996</v>
      </c>
      <c r="Z46" s="16">
        <f t="shared" ref="Z46:Z52" si="8">U46+X46</f>
        <v>58.3</v>
      </c>
    </row>
    <row r="47" spans="1:26" x14ac:dyDescent="0.25">
      <c r="C47" s="2"/>
      <c r="D47" s="16"/>
      <c r="E47" s="16"/>
      <c r="F47" s="16"/>
      <c r="G47" s="16"/>
      <c r="H47" s="16"/>
      <c r="I47" s="75"/>
      <c r="J47" s="76">
        <v>97.39</v>
      </c>
      <c r="K47" s="17">
        <v>85</v>
      </c>
      <c r="L47" s="16"/>
      <c r="M47" s="16"/>
      <c r="N47" s="16"/>
      <c r="O47" s="16"/>
      <c r="P47" s="16"/>
      <c r="Q47" s="16"/>
      <c r="R47" s="16"/>
      <c r="S47" s="17"/>
      <c r="T47" s="16"/>
      <c r="U47" s="16"/>
      <c r="V47" s="16"/>
      <c r="W47" s="16"/>
      <c r="X47" s="16"/>
      <c r="Y47" s="16"/>
      <c r="Z47" s="16"/>
    </row>
    <row r="48" spans="1:26" x14ac:dyDescent="0.25">
      <c r="C48" s="2"/>
      <c r="D48" s="16"/>
      <c r="E48" s="16">
        <v>12.5</v>
      </c>
      <c r="F48" s="16">
        <v>0.02</v>
      </c>
      <c r="G48" s="16" t="s">
        <v>28</v>
      </c>
      <c r="H48" s="16"/>
      <c r="I48" s="75"/>
      <c r="J48" s="76">
        <v>1200</v>
      </c>
      <c r="K48" s="17">
        <v>1045.9000000000001</v>
      </c>
      <c r="L48" s="16"/>
      <c r="M48" s="16"/>
      <c r="N48" s="16"/>
      <c r="O48" s="16"/>
      <c r="P48" s="16"/>
      <c r="Q48" s="16"/>
      <c r="R48" s="16"/>
      <c r="S48" s="17"/>
      <c r="T48" s="16"/>
      <c r="U48" s="16"/>
      <c r="V48" s="16"/>
      <c r="W48" s="16"/>
      <c r="X48" s="16"/>
      <c r="Y48" s="16"/>
      <c r="Z48" s="16"/>
    </row>
    <row r="49" spans="1:26" x14ac:dyDescent="0.25">
      <c r="C49" s="2" t="s">
        <v>96</v>
      </c>
      <c r="D49" s="16">
        <v>138.1</v>
      </c>
      <c r="E49" s="16">
        <f>D49*0.125</f>
        <v>17.262499999999999</v>
      </c>
      <c r="F49" s="16">
        <f>(D49+E49)*$F48</f>
        <v>3.1072499999999996</v>
      </c>
      <c r="G49" s="16">
        <v>1</v>
      </c>
      <c r="H49" s="16">
        <f>SUM(D49:G49)</f>
        <v>159.46974999999998</v>
      </c>
      <c r="I49" s="75">
        <f>H49-E49-F49</f>
        <v>139.1</v>
      </c>
      <c r="J49" s="76">
        <v>315</v>
      </c>
      <c r="K49" s="17">
        <v>274.7</v>
      </c>
      <c r="L49" s="16" t="s">
        <v>96</v>
      </c>
      <c r="M49" s="16">
        <v>138.1</v>
      </c>
      <c r="N49" s="16">
        <f>$N$43*M49</f>
        <v>10.3575</v>
      </c>
      <c r="O49" s="16">
        <f>$O$43*M49</f>
        <v>10.3575</v>
      </c>
      <c r="P49" s="16">
        <f>1</f>
        <v>1</v>
      </c>
      <c r="Q49" s="16">
        <f t="shared" si="7"/>
        <v>158.81499999999997</v>
      </c>
      <c r="R49" s="16"/>
      <c r="S49" s="17"/>
      <c r="T49" s="16" t="s">
        <v>96</v>
      </c>
      <c r="U49" s="16">
        <v>138.1</v>
      </c>
      <c r="V49" s="16">
        <f>$N$43*U49</f>
        <v>10.3575</v>
      </c>
      <c r="W49" s="16">
        <f>$O$43*U49</f>
        <v>10.3575</v>
      </c>
      <c r="X49" s="16">
        <f>1</f>
        <v>1</v>
      </c>
      <c r="Y49" s="16">
        <f t="shared" si="6"/>
        <v>159.81499999999997</v>
      </c>
      <c r="Z49" s="16">
        <f t="shared" si="8"/>
        <v>139.1</v>
      </c>
    </row>
    <row r="50" spans="1:26" x14ac:dyDescent="0.25">
      <c r="C50" s="2" t="s">
        <v>97</v>
      </c>
      <c r="D50" s="16">
        <v>84</v>
      </c>
      <c r="E50" s="16">
        <f>D50*0.125</f>
        <v>10.5</v>
      </c>
      <c r="F50" s="16">
        <f>(D50+E50)*F48</f>
        <v>1.8900000000000001</v>
      </c>
      <c r="G50" s="16">
        <v>1</v>
      </c>
      <c r="H50" s="16">
        <f t="shared" ref="H50:H52" si="9">SUM(D50:G50)</f>
        <v>97.39</v>
      </c>
      <c r="I50" s="75">
        <f>H50-E50-F50</f>
        <v>85</v>
      </c>
      <c r="J50" s="76"/>
      <c r="K50" s="17"/>
      <c r="L50" s="16" t="s">
        <v>97</v>
      </c>
      <c r="M50" s="16">
        <v>84</v>
      </c>
      <c r="N50" s="16">
        <f>$N$43*M50</f>
        <v>6.3</v>
      </c>
      <c r="O50" s="16">
        <f>$O$43*M50</f>
        <v>6.3</v>
      </c>
      <c r="P50" s="16">
        <f>1</f>
        <v>1</v>
      </c>
      <c r="Q50" s="16">
        <f t="shared" si="7"/>
        <v>96.6</v>
      </c>
      <c r="R50" s="16"/>
      <c r="S50" s="17"/>
      <c r="T50" s="16" t="s">
        <v>97</v>
      </c>
      <c r="U50" s="16">
        <v>84</v>
      </c>
      <c r="V50" s="16">
        <f>$N$43*U50</f>
        <v>6.3</v>
      </c>
      <c r="W50" s="16">
        <f>$O$43*U50</f>
        <v>6.3</v>
      </c>
      <c r="X50" s="16">
        <f>1</f>
        <v>1</v>
      </c>
      <c r="Y50" s="16">
        <f t="shared" si="6"/>
        <v>97.6</v>
      </c>
      <c r="Z50" s="16">
        <f t="shared" si="8"/>
        <v>85</v>
      </c>
    </row>
    <row r="51" spans="1:26" x14ac:dyDescent="0.25">
      <c r="C51" s="2" t="s">
        <v>98</v>
      </c>
      <c r="D51" s="16">
        <v>1044.9000000000001</v>
      </c>
      <c r="E51" s="16">
        <f>D51*0.125</f>
        <v>130.61250000000001</v>
      </c>
      <c r="F51" s="16">
        <f>(D51+E51)*F48</f>
        <v>23.510250000000003</v>
      </c>
      <c r="G51" s="16">
        <v>1</v>
      </c>
      <c r="H51" s="16">
        <f t="shared" si="9"/>
        <v>1200.0227500000001</v>
      </c>
      <c r="I51" s="75">
        <f>H51-E51-F51</f>
        <v>1045.9000000000001</v>
      </c>
      <c r="J51" s="76"/>
      <c r="K51" s="17"/>
      <c r="L51" s="16" t="s">
        <v>98</v>
      </c>
      <c r="M51" s="16">
        <v>1044.9000000000001</v>
      </c>
      <c r="N51" s="16">
        <f>$N$43*M51</f>
        <v>78.367500000000007</v>
      </c>
      <c r="O51" s="16">
        <f>$O$43*M51</f>
        <v>78.367500000000007</v>
      </c>
      <c r="P51" s="16">
        <f>1</f>
        <v>1</v>
      </c>
      <c r="Q51" s="16">
        <f t="shared" si="7"/>
        <v>1201.6350000000002</v>
      </c>
      <c r="R51" s="16"/>
      <c r="S51" s="17"/>
      <c r="T51" s="16" t="s">
        <v>98</v>
      </c>
      <c r="U51" s="16">
        <v>1044.9000000000001</v>
      </c>
      <c r="V51" s="16">
        <f>$N$43*U51</f>
        <v>78.367500000000007</v>
      </c>
      <c r="W51" s="16">
        <f>$O$43*U51</f>
        <v>78.367500000000007</v>
      </c>
      <c r="X51" s="16">
        <f>1</f>
        <v>1</v>
      </c>
      <c r="Y51" s="16">
        <f t="shared" si="6"/>
        <v>1202.6350000000002</v>
      </c>
      <c r="Z51" s="16">
        <f t="shared" si="8"/>
        <v>1045.9000000000001</v>
      </c>
    </row>
    <row r="52" spans="1:26" x14ac:dyDescent="0.25">
      <c r="C52" s="2" t="s">
        <v>99</v>
      </c>
      <c r="D52" s="16">
        <v>273.7</v>
      </c>
      <c r="E52" s="16">
        <f>D52*E48%</f>
        <v>34.212499999999999</v>
      </c>
      <c r="F52" s="16">
        <f>(D52+E52)*F48</f>
        <v>6.1582499999999998</v>
      </c>
      <c r="G52" s="16">
        <v>1</v>
      </c>
      <c r="H52" s="16">
        <f t="shared" si="9"/>
        <v>315.07074999999998</v>
      </c>
      <c r="I52" s="75">
        <f>H52-E52-F52</f>
        <v>274.7</v>
      </c>
      <c r="J52" s="76"/>
      <c r="K52" s="17"/>
      <c r="L52" s="16" t="s">
        <v>99</v>
      </c>
      <c r="M52" s="16">
        <v>273.7</v>
      </c>
      <c r="N52" s="16">
        <f>$N$43*M52</f>
        <v>20.5275</v>
      </c>
      <c r="O52" s="16">
        <f>$O$43*M52</f>
        <v>20.5275</v>
      </c>
      <c r="P52" s="16">
        <f>1</f>
        <v>1</v>
      </c>
      <c r="Q52" s="16">
        <f t="shared" si="7"/>
        <v>314.75499999999994</v>
      </c>
      <c r="R52" s="16"/>
      <c r="S52" s="17"/>
      <c r="T52" s="16" t="s">
        <v>99</v>
      </c>
      <c r="U52" s="16">
        <v>273.7</v>
      </c>
      <c r="V52" s="16">
        <f>$N$43*U52</f>
        <v>20.5275</v>
      </c>
      <c r="W52" s="16">
        <f>$O$43*U52</f>
        <v>20.5275</v>
      </c>
      <c r="X52" s="16">
        <f>1</f>
        <v>1</v>
      </c>
      <c r="Y52" s="16">
        <f t="shared" si="6"/>
        <v>315.75499999999994</v>
      </c>
      <c r="Z52" s="16">
        <f t="shared" si="8"/>
        <v>274.7</v>
      </c>
    </row>
    <row r="53" spans="1:26" x14ac:dyDescent="0.25"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5">
      <c r="D54" s="17"/>
      <c r="E54" s="17">
        <v>0.125</v>
      </c>
      <c r="F54" s="17" t="s">
        <v>103</v>
      </c>
      <c r="G54" s="17">
        <v>0.06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5">
      <c r="C55" s="2" t="s">
        <v>104</v>
      </c>
      <c r="D55" s="16" t="s">
        <v>25</v>
      </c>
      <c r="E55" s="16" t="s">
        <v>27</v>
      </c>
      <c r="F55" s="16" t="s">
        <v>105</v>
      </c>
      <c r="G55" s="16"/>
      <c r="H55" s="16" t="s">
        <v>106</v>
      </c>
      <c r="I55" s="16" t="s">
        <v>46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5">
      <c r="A56" s="77" t="s">
        <v>107</v>
      </c>
      <c r="C56" s="2" t="s">
        <v>108</v>
      </c>
      <c r="D56" s="16">
        <v>152</v>
      </c>
      <c r="E56" s="16">
        <f>D56*$E$60</f>
        <v>18.239999999999998</v>
      </c>
      <c r="F56" s="16">
        <f>(D56+E56)*0.02</f>
        <v>3.4048000000000003</v>
      </c>
      <c r="G56" s="16"/>
      <c r="H56" s="16">
        <v>4.5</v>
      </c>
      <c r="I56" s="78">
        <f>SUM(D56:H56)</f>
        <v>178.1448</v>
      </c>
      <c r="J56" s="17">
        <f>I67</f>
        <v>152.1</v>
      </c>
      <c r="K56" s="17">
        <f>I56-J56</f>
        <v>26.044800000000009</v>
      </c>
      <c r="L56" s="17">
        <f>K56-K57</f>
        <v>8.9948000000000263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5">
      <c r="C57" s="2" t="s">
        <v>57</v>
      </c>
      <c r="D57" s="16">
        <v>164.01</v>
      </c>
      <c r="E57" s="16"/>
      <c r="F57" s="16">
        <f>D57*0.04</f>
        <v>6.5603999999999996</v>
      </c>
      <c r="G57" s="16"/>
      <c r="H57" s="16">
        <v>0</v>
      </c>
      <c r="I57" s="78">
        <f>D57</f>
        <v>164.01</v>
      </c>
      <c r="J57" s="17">
        <f>I68</f>
        <v>146.96</v>
      </c>
      <c r="K57" s="17">
        <f>I57-J57</f>
        <v>17.049999999999983</v>
      </c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.75" x14ac:dyDescent="0.3">
      <c r="C58" s="2"/>
      <c r="D58" s="16"/>
      <c r="E58" s="16"/>
      <c r="F58" s="16"/>
      <c r="G58" s="16"/>
      <c r="H58" s="16"/>
      <c r="I58" s="79">
        <f>I56-I57</f>
        <v>14.134800000000013</v>
      </c>
      <c r="J58" s="80">
        <v>0.8</v>
      </c>
      <c r="K58" s="80">
        <v>0.6</v>
      </c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5">
      <c r="C59" s="2"/>
      <c r="D59" s="16"/>
      <c r="E59" s="15"/>
      <c r="F59" s="15"/>
      <c r="G59" s="15"/>
      <c r="H59" s="15"/>
      <c r="I59" s="15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5">
      <c r="D60" s="17"/>
      <c r="E60" s="17">
        <v>0.12</v>
      </c>
      <c r="F60" s="17">
        <v>0.06</v>
      </c>
      <c r="G60" s="17">
        <v>0.06</v>
      </c>
      <c r="H60" s="17"/>
      <c r="I60" s="17"/>
      <c r="J60" s="17"/>
      <c r="K60" s="17"/>
      <c r="L60" s="17"/>
      <c r="M60" s="16" t="s">
        <v>109</v>
      </c>
      <c r="N60" s="16"/>
      <c r="O60" s="16"/>
      <c r="P60" s="16"/>
      <c r="Q60" s="16"/>
      <c r="R60" s="16"/>
      <c r="S60" s="16"/>
      <c r="T60" s="16" t="s">
        <v>109</v>
      </c>
      <c r="U60" s="16"/>
      <c r="V60" s="16"/>
      <c r="W60" s="17"/>
      <c r="X60" s="17"/>
      <c r="Y60" s="17"/>
      <c r="Z60" s="17"/>
    </row>
    <row r="61" spans="1:26" x14ac:dyDescent="0.25">
      <c r="C61" s="2" t="s">
        <v>104</v>
      </c>
      <c r="D61" s="16" t="s">
        <v>25</v>
      </c>
      <c r="E61" s="16" t="s">
        <v>110</v>
      </c>
      <c r="F61" s="16" t="s">
        <v>111</v>
      </c>
      <c r="G61" s="16" t="s">
        <v>112</v>
      </c>
      <c r="H61" s="16" t="s">
        <v>106</v>
      </c>
      <c r="I61" s="16" t="s">
        <v>46</v>
      </c>
      <c r="J61" s="74"/>
      <c r="K61" s="17"/>
      <c r="L61" s="17"/>
      <c r="M61" s="16" t="s">
        <v>57</v>
      </c>
      <c r="N61" s="16" t="s">
        <v>108</v>
      </c>
      <c r="O61" s="16"/>
      <c r="P61" s="16"/>
      <c r="Q61" s="16"/>
      <c r="R61" s="16"/>
      <c r="S61" s="16"/>
      <c r="T61" s="16" t="s">
        <v>57</v>
      </c>
      <c r="U61" s="16" t="s">
        <v>108</v>
      </c>
      <c r="V61" s="16"/>
      <c r="W61" s="17"/>
      <c r="X61" s="17"/>
      <c r="Y61" s="17"/>
      <c r="Z61" s="17"/>
    </row>
    <row r="62" spans="1:26" x14ac:dyDescent="0.25">
      <c r="A62" s="77" t="s">
        <v>107</v>
      </c>
      <c r="C62" s="2" t="s">
        <v>108</v>
      </c>
      <c r="D62" s="16">
        <v>147.94999999999999</v>
      </c>
      <c r="E62" s="16">
        <f>D62*$E$60</f>
        <v>17.753999999999998</v>
      </c>
      <c r="F62" s="16"/>
      <c r="G62" s="16"/>
      <c r="H62" s="16">
        <v>4.5</v>
      </c>
      <c r="I62" s="78">
        <v>1</v>
      </c>
      <c r="J62" s="81"/>
      <c r="K62" s="17"/>
      <c r="L62" s="17"/>
      <c r="M62" s="16">
        <v>115.75</v>
      </c>
      <c r="N62" s="16">
        <v>100.8</v>
      </c>
      <c r="O62" s="16"/>
      <c r="P62" s="16"/>
      <c r="Q62" s="16"/>
      <c r="R62" s="16"/>
      <c r="S62" s="16"/>
      <c r="T62" s="16">
        <v>101.65</v>
      </c>
      <c r="U62" s="16">
        <v>99</v>
      </c>
      <c r="V62" s="16"/>
      <c r="W62" s="17"/>
      <c r="X62" s="17"/>
      <c r="Y62" s="17"/>
      <c r="Z62" s="17"/>
    </row>
    <row r="63" spans="1:26" x14ac:dyDescent="0.25">
      <c r="C63" s="2" t="s">
        <v>57</v>
      </c>
      <c r="D63" s="16">
        <v>164.01</v>
      </c>
      <c r="E63" s="16"/>
      <c r="F63" s="16">
        <f>D63*$F$60</f>
        <v>9.8405999999999985</v>
      </c>
      <c r="G63" s="16">
        <f>D63*$G$60</f>
        <v>9.8405999999999985</v>
      </c>
      <c r="H63" s="16">
        <v>0</v>
      </c>
      <c r="I63" s="78">
        <f>D63</f>
        <v>164.01</v>
      </c>
      <c r="J63" s="81"/>
      <c r="K63" s="17"/>
      <c r="L63" s="17"/>
      <c r="M63" s="16">
        <v>65.900000000000006</v>
      </c>
      <c r="N63" s="16">
        <v>66.599999999999994</v>
      </c>
      <c r="O63" s="16"/>
      <c r="P63" s="16"/>
      <c r="Q63" s="16"/>
      <c r="R63" s="16"/>
      <c r="S63" s="16"/>
      <c r="T63" s="16">
        <v>58.3</v>
      </c>
      <c r="U63" s="16">
        <v>66.599999999999994</v>
      </c>
      <c r="V63" s="16"/>
      <c r="W63" s="17"/>
      <c r="X63" s="17"/>
      <c r="Y63" s="17"/>
      <c r="Z63" s="17"/>
    </row>
    <row r="64" spans="1:26" ht="18.75" x14ac:dyDescent="0.3">
      <c r="C64" s="2"/>
      <c r="D64" s="16"/>
      <c r="E64" s="16"/>
      <c r="F64" s="16"/>
      <c r="G64" s="16"/>
      <c r="H64" s="16"/>
      <c r="I64" s="79">
        <f>I62-I63</f>
        <v>-163.01</v>
      </c>
      <c r="J64" s="82"/>
      <c r="K64" s="17" t="s">
        <v>113</v>
      </c>
      <c r="L64" s="17"/>
      <c r="M64" s="16">
        <v>158.82</v>
      </c>
      <c r="N64" s="16">
        <v>141</v>
      </c>
      <c r="O64" s="16"/>
      <c r="P64" s="16">
        <f>147.95+4.5</f>
        <v>152.44999999999999</v>
      </c>
      <c r="Q64" s="16"/>
      <c r="R64" s="16"/>
      <c r="S64" s="16"/>
      <c r="T64" s="16">
        <v>139.1</v>
      </c>
      <c r="U64" s="16">
        <v>141</v>
      </c>
      <c r="V64" s="16"/>
      <c r="W64" s="17"/>
      <c r="X64" s="17"/>
      <c r="Y64" s="17"/>
      <c r="Z64" s="17"/>
    </row>
    <row r="65" spans="1:26" x14ac:dyDescent="0.25">
      <c r="C65" s="2"/>
      <c r="D65" s="16"/>
      <c r="E65" s="15">
        <v>0.12</v>
      </c>
      <c r="F65" s="15">
        <v>0.06</v>
      </c>
      <c r="G65" s="15">
        <v>0.06</v>
      </c>
      <c r="H65" s="15"/>
      <c r="I65" s="15"/>
      <c r="J65" s="83"/>
      <c r="K65" s="17"/>
      <c r="L65" s="17"/>
      <c r="M65" s="16">
        <v>96.6</v>
      </c>
      <c r="N65" s="16">
        <v>85.4</v>
      </c>
      <c r="O65" s="16"/>
      <c r="P65" s="16"/>
      <c r="Q65" s="16"/>
      <c r="R65" s="16"/>
      <c r="S65" s="16"/>
      <c r="T65" s="16">
        <v>85</v>
      </c>
      <c r="U65" s="16">
        <v>85.5</v>
      </c>
      <c r="V65" s="16"/>
      <c r="W65" s="17"/>
      <c r="X65" s="17"/>
      <c r="Y65" s="17"/>
      <c r="Z65" s="17"/>
    </row>
    <row r="66" spans="1:26" x14ac:dyDescent="0.25">
      <c r="A66" s="77" t="s">
        <v>114</v>
      </c>
      <c r="C66" s="2" t="s">
        <v>115</v>
      </c>
      <c r="D66" s="16" t="s">
        <v>25</v>
      </c>
      <c r="E66" s="16" t="s">
        <v>110</v>
      </c>
      <c r="F66" s="16" t="s">
        <v>111</v>
      </c>
      <c r="G66" s="16" t="s">
        <v>112</v>
      </c>
      <c r="H66" s="16" t="s">
        <v>106</v>
      </c>
      <c r="I66" s="16" t="s">
        <v>46</v>
      </c>
      <c r="J66" s="74">
        <f>D67+E67+H67</f>
        <v>169.81199999999998</v>
      </c>
      <c r="K66" s="17"/>
      <c r="L66" s="17"/>
      <c r="M66" s="16">
        <v>1201.6400000000001</v>
      </c>
      <c r="N66" s="16">
        <v>1129.0999999999999</v>
      </c>
      <c r="O66" s="16"/>
      <c r="P66" s="16"/>
      <c r="Q66" s="16"/>
      <c r="R66" s="16"/>
      <c r="S66" s="16"/>
      <c r="T66" s="16">
        <v>1045.9000000000001</v>
      </c>
      <c r="U66" s="16">
        <v>1130</v>
      </c>
      <c r="V66" s="16"/>
      <c r="W66" s="17"/>
      <c r="X66" s="17"/>
      <c r="Y66" s="17"/>
      <c r="Z66" s="17"/>
    </row>
    <row r="67" spans="1:26" x14ac:dyDescent="0.25">
      <c r="C67" s="2" t="s">
        <v>108</v>
      </c>
      <c r="D67" s="16">
        <v>147.6</v>
      </c>
      <c r="E67" s="16">
        <f>D67*$E$65</f>
        <v>17.712</v>
      </c>
      <c r="F67" s="16"/>
      <c r="G67" s="16"/>
      <c r="H67" s="16">
        <v>4.5</v>
      </c>
      <c r="I67" s="78">
        <f>D67+H67</f>
        <v>152.1</v>
      </c>
      <c r="J67" s="84">
        <v>0.2</v>
      </c>
      <c r="K67" s="80">
        <v>0.4</v>
      </c>
      <c r="L67" s="17"/>
      <c r="M67" s="16">
        <v>314.60000000000002</v>
      </c>
      <c r="N67" s="16">
        <v>278.8</v>
      </c>
      <c r="O67" s="16"/>
      <c r="P67" s="16"/>
      <c r="Q67" s="16"/>
      <c r="R67" s="16"/>
      <c r="S67" s="16"/>
      <c r="T67" s="16">
        <v>274.7</v>
      </c>
      <c r="U67" s="16">
        <v>278.8</v>
      </c>
      <c r="V67" s="16"/>
      <c r="W67" s="17"/>
      <c r="X67" s="17"/>
      <c r="Y67" s="17"/>
      <c r="Z67" s="17"/>
    </row>
    <row r="68" spans="1:26" ht="23.25" x14ac:dyDescent="0.35">
      <c r="C68" s="2" t="s">
        <v>57</v>
      </c>
      <c r="D68" s="16">
        <v>146.96</v>
      </c>
      <c r="E68" s="16"/>
      <c r="F68" s="16">
        <f>D68*$F$60</f>
        <v>8.8176000000000005</v>
      </c>
      <c r="G68" s="16">
        <f>D68*$G$60</f>
        <v>8.8176000000000005</v>
      </c>
      <c r="H68" s="16">
        <v>0</v>
      </c>
      <c r="I68" s="78">
        <f>D68</f>
        <v>146.96</v>
      </c>
      <c r="J68" s="81">
        <f>D68+F68+G68</f>
        <v>164.59520000000001</v>
      </c>
      <c r="K68" s="17"/>
      <c r="L68" s="17"/>
      <c r="M68" s="85">
        <f>SUM(M62:M67)</f>
        <v>1953.31</v>
      </c>
      <c r="N68" s="85">
        <f>SUM(N62:N67)</f>
        <v>1801.6999999999998</v>
      </c>
      <c r="O68" s="16"/>
      <c r="P68" s="16"/>
      <c r="Q68" s="16"/>
      <c r="R68" s="16"/>
      <c r="S68" s="16"/>
      <c r="T68" s="86">
        <f>SUM(T62:T67)</f>
        <v>1704.65</v>
      </c>
      <c r="U68" s="86">
        <f>SUM(U62:U67)</f>
        <v>1800.8999999999999</v>
      </c>
      <c r="V68" s="16"/>
      <c r="W68" s="17"/>
      <c r="X68" s="17"/>
      <c r="Y68" s="17"/>
      <c r="Z68" s="17"/>
    </row>
    <row r="69" spans="1:26" ht="18.75" x14ac:dyDescent="0.3">
      <c r="I69" s="87">
        <f>I67-I68</f>
        <v>5.1399999999999864</v>
      </c>
      <c r="J69" s="88"/>
      <c r="K69" t="s">
        <v>116</v>
      </c>
    </row>
    <row r="71" spans="1:26" ht="17.25" x14ac:dyDescent="0.3">
      <c r="A71" s="89" t="s">
        <v>117</v>
      </c>
      <c r="B71" s="90" t="s">
        <v>118</v>
      </c>
    </row>
    <row r="72" spans="1:26" x14ac:dyDescent="0.25">
      <c r="B72" t="s">
        <v>119</v>
      </c>
    </row>
    <row r="74" spans="1:26" x14ac:dyDescent="0.25">
      <c r="A74" s="89" t="s">
        <v>120</v>
      </c>
      <c r="B74" t="s">
        <v>121</v>
      </c>
    </row>
    <row r="79" spans="1:26" ht="110.25" x14ac:dyDescent="0.25">
      <c r="A79" s="2"/>
      <c r="B79" s="35" t="s">
        <v>122</v>
      </c>
      <c r="C79" s="35" t="s">
        <v>123</v>
      </c>
      <c r="D79" s="35" t="s">
        <v>124</v>
      </c>
      <c r="E79" s="35" t="s">
        <v>125</v>
      </c>
      <c r="F79" s="35" t="s">
        <v>126</v>
      </c>
      <c r="G79" s="35" t="s">
        <v>127</v>
      </c>
      <c r="H79" s="35" t="s">
        <v>126</v>
      </c>
      <c r="I79" s="35" t="s">
        <v>128</v>
      </c>
      <c r="J79" s="35" t="s">
        <v>129</v>
      </c>
      <c r="K79" s="35" t="s">
        <v>130</v>
      </c>
      <c r="L79" s="35" t="s">
        <v>131</v>
      </c>
      <c r="M79" s="35" t="s">
        <v>132</v>
      </c>
    </row>
    <row r="80" spans="1:26" x14ac:dyDescent="0.25">
      <c r="A80" s="2" t="s">
        <v>108</v>
      </c>
      <c r="B80" s="2">
        <v>151.30000000000001</v>
      </c>
      <c r="C80" s="91">
        <v>178.12</v>
      </c>
      <c r="D80" s="2">
        <v>148</v>
      </c>
      <c r="E80" s="8">
        <v>174.34</v>
      </c>
      <c r="F80" s="2">
        <v>147.6</v>
      </c>
      <c r="G80" s="8">
        <f>F80+F80*0.12+4.5</f>
        <v>169.81199999999998</v>
      </c>
      <c r="H80" s="2">
        <v>148</v>
      </c>
      <c r="I80" s="77">
        <f>H80+4.5</f>
        <v>152.5</v>
      </c>
      <c r="J80" s="2">
        <f>C80-C81</f>
        <v>14.02000000000001</v>
      </c>
      <c r="K80" s="2">
        <f>E80-E81</f>
        <v>26.629999999999995</v>
      </c>
      <c r="L80" s="2">
        <f>G80-G81</f>
        <v>5.2167999999999779</v>
      </c>
      <c r="M80" s="2">
        <f>I80-I81</f>
        <v>5.4000000000000057</v>
      </c>
    </row>
    <row r="81" spans="1:14" x14ac:dyDescent="0.25">
      <c r="A81" s="2" t="s">
        <v>57</v>
      </c>
      <c r="B81" s="2">
        <v>164.1</v>
      </c>
      <c r="C81" s="92">
        <v>164.1</v>
      </c>
      <c r="D81" s="2">
        <v>147.71</v>
      </c>
      <c r="E81" s="8">
        <v>147.71</v>
      </c>
      <c r="F81" s="2">
        <v>146.96</v>
      </c>
      <c r="G81" s="8">
        <f>F81+F81*0.12</f>
        <v>164.59520000000001</v>
      </c>
      <c r="H81" s="2">
        <v>147.1</v>
      </c>
      <c r="I81" s="77">
        <f>H81</f>
        <v>147.1</v>
      </c>
      <c r="J81" s="2"/>
      <c r="K81" s="2"/>
      <c r="L81" s="2"/>
      <c r="M81" s="2"/>
    </row>
    <row r="85" spans="1:14" x14ac:dyDescent="0.25">
      <c r="B85" s="2" t="s">
        <v>278</v>
      </c>
      <c r="C85" s="2"/>
      <c r="D85" s="2" t="s">
        <v>282</v>
      </c>
      <c r="E85" s="2"/>
      <c r="F85" s="2"/>
      <c r="G85" s="2"/>
      <c r="I85" s="2" t="s">
        <v>278</v>
      </c>
      <c r="J85" s="2"/>
      <c r="K85" s="2" t="s">
        <v>282</v>
      </c>
      <c r="L85" s="2"/>
      <c r="M85" s="2"/>
      <c r="N85" s="2"/>
    </row>
    <row r="86" spans="1:14" ht="47.25" x14ac:dyDescent="0.25">
      <c r="B86" s="35" t="s">
        <v>284</v>
      </c>
      <c r="C86" s="35" t="s">
        <v>283</v>
      </c>
      <c r="D86" s="35" t="s">
        <v>285</v>
      </c>
      <c r="E86" s="35" t="s">
        <v>286</v>
      </c>
      <c r="F86" s="35" t="s">
        <v>288</v>
      </c>
      <c r="G86" s="35" t="s">
        <v>289</v>
      </c>
      <c r="I86" s="35" t="s">
        <v>284</v>
      </c>
      <c r="J86" s="35" t="s">
        <v>283</v>
      </c>
      <c r="K86" s="35" t="s">
        <v>285</v>
      </c>
      <c r="L86" s="35" t="s">
        <v>286</v>
      </c>
      <c r="M86" s="35" t="s">
        <v>288</v>
      </c>
      <c r="N86" s="35" t="s">
        <v>289</v>
      </c>
    </row>
    <row r="87" spans="1:14" ht="31.5" x14ac:dyDescent="0.25">
      <c r="B87" s="35" t="s">
        <v>279</v>
      </c>
      <c r="C87" s="2">
        <f>C80</f>
        <v>178.12</v>
      </c>
      <c r="D87" s="2">
        <v>18</v>
      </c>
      <c r="E87" s="2">
        <f>C87*D87</f>
        <v>3206.16</v>
      </c>
      <c r="F87" s="163">
        <f>E89/E87</f>
        <v>0.17134516056591068</v>
      </c>
      <c r="G87" s="165">
        <f>15000*E89</f>
        <v>8240400.0000000019</v>
      </c>
      <c r="I87" s="35" t="s">
        <v>279</v>
      </c>
      <c r="J87" s="2">
        <f>B81</f>
        <v>164.1</v>
      </c>
      <c r="K87" s="2">
        <v>18</v>
      </c>
      <c r="L87" s="2">
        <f>J87*K87</f>
        <v>2953.7999999999997</v>
      </c>
      <c r="M87" s="163">
        <f>L89/L87</f>
        <v>0.10359536867763559</v>
      </c>
      <c r="N87" s="165">
        <f>15000*L89</f>
        <v>4590000</v>
      </c>
    </row>
    <row r="88" spans="1:14" ht="31.5" x14ac:dyDescent="0.25">
      <c r="B88" s="35" t="s">
        <v>280</v>
      </c>
      <c r="C88" s="2">
        <v>147.6</v>
      </c>
      <c r="D88" s="2">
        <v>18</v>
      </c>
      <c r="E88" s="2">
        <f>C88*D88</f>
        <v>2656.7999999999997</v>
      </c>
      <c r="F88" s="2"/>
      <c r="G88" s="2"/>
      <c r="I88" s="35" t="s">
        <v>280</v>
      </c>
      <c r="J88" s="2">
        <f>H81</f>
        <v>147.1</v>
      </c>
      <c r="K88" s="2">
        <v>18</v>
      </c>
      <c r="L88" s="2">
        <f>J88*K88</f>
        <v>2647.7999999999997</v>
      </c>
      <c r="M88" s="2"/>
      <c r="N88" s="2"/>
    </row>
    <row r="89" spans="1:14" ht="47.25" x14ac:dyDescent="0.25">
      <c r="B89" s="35" t="s">
        <v>281</v>
      </c>
      <c r="C89" s="2">
        <f>C87-C88</f>
        <v>30.52000000000001</v>
      </c>
      <c r="D89" s="2" t="s">
        <v>287</v>
      </c>
      <c r="E89" s="2">
        <f>E87-E88</f>
        <v>549.36000000000013</v>
      </c>
      <c r="F89" s="2"/>
      <c r="G89" s="2"/>
      <c r="I89" s="35" t="s">
        <v>281</v>
      </c>
      <c r="J89" s="2">
        <f>J87-J88</f>
        <v>17</v>
      </c>
      <c r="K89" s="2" t="s">
        <v>287</v>
      </c>
      <c r="L89" s="2">
        <f>L87-L88</f>
        <v>306</v>
      </c>
      <c r="M89" s="2"/>
      <c r="N8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41" workbookViewId="0">
      <selection activeCell="C30" sqref="C30"/>
    </sheetView>
  </sheetViews>
  <sheetFormatPr defaultRowHeight="15" x14ac:dyDescent="0.25"/>
  <cols>
    <col min="1" max="1" width="27.7109375" bestFit="1" customWidth="1"/>
    <col min="2" max="2" width="12.85546875" customWidth="1"/>
    <col min="3" max="3" width="10.5703125" bestFit="1" customWidth="1"/>
    <col min="4" max="4" width="12" customWidth="1"/>
    <col min="6" max="6" width="12.5703125" bestFit="1" customWidth="1"/>
    <col min="7" max="7" width="10.5703125" bestFit="1" customWidth="1"/>
    <col min="9" max="9" width="41.5703125" bestFit="1" customWidth="1"/>
    <col min="10" max="10" width="20.7109375" bestFit="1" customWidth="1"/>
    <col min="245" max="245" width="27.7109375" bestFit="1" customWidth="1"/>
    <col min="246" max="246" width="12.85546875" customWidth="1"/>
    <col min="501" max="501" width="27.7109375" bestFit="1" customWidth="1"/>
    <col min="502" max="502" width="12.85546875" customWidth="1"/>
    <col min="757" max="757" width="27.7109375" bestFit="1" customWidth="1"/>
    <col min="758" max="758" width="12.85546875" customWidth="1"/>
    <col min="1013" max="1013" width="27.7109375" bestFit="1" customWidth="1"/>
    <col min="1014" max="1014" width="12.85546875" customWidth="1"/>
    <col min="1269" max="1269" width="27.7109375" bestFit="1" customWidth="1"/>
    <col min="1270" max="1270" width="12.85546875" customWidth="1"/>
    <col min="1525" max="1525" width="27.7109375" bestFit="1" customWidth="1"/>
    <col min="1526" max="1526" width="12.85546875" customWidth="1"/>
    <col min="1781" max="1781" width="27.7109375" bestFit="1" customWidth="1"/>
    <col min="1782" max="1782" width="12.85546875" customWidth="1"/>
    <col min="2037" max="2037" width="27.7109375" bestFit="1" customWidth="1"/>
    <col min="2038" max="2038" width="12.85546875" customWidth="1"/>
    <col min="2293" max="2293" width="27.7109375" bestFit="1" customWidth="1"/>
    <col min="2294" max="2294" width="12.85546875" customWidth="1"/>
    <col min="2549" max="2549" width="27.7109375" bestFit="1" customWidth="1"/>
    <col min="2550" max="2550" width="12.85546875" customWidth="1"/>
    <col min="2805" max="2805" width="27.7109375" bestFit="1" customWidth="1"/>
    <col min="2806" max="2806" width="12.85546875" customWidth="1"/>
    <col min="3061" max="3061" width="27.7109375" bestFit="1" customWidth="1"/>
    <col min="3062" max="3062" width="12.85546875" customWidth="1"/>
    <col min="3317" max="3317" width="27.7109375" bestFit="1" customWidth="1"/>
    <col min="3318" max="3318" width="12.85546875" customWidth="1"/>
    <col min="3573" max="3573" width="27.7109375" bestFit="1" customWidth="1"/>
    <col min="3574" max="3574" width="12.85546875" customWidth="1"/>
    <col min="3829" max="3829" width="27.7109375" bestFit="1" customWidth="1"/>
    <col min="3830" max="3830" width="12.85546875" customWidth="1"/>
    <col min="4085" max="4085" width="27.7109375" bestFit="1" customWidth="1"/>
    <col min="4086" max="4086" width="12.85546875" customWidth="1"/>
    <col min="4341" max="4341" width="27.7109375" bestFit="1" customWidth="1"/>
    <col min="4342" max="4342" width="12.85546875" customWidth="1"/>
    <col min="4597" max="4597" width="27.7109375" bestFit="1" customWidth="1"/>
    <col min="4598" max="4598" width="12.85546875" customWidth="1"/>
    <col min="4853" max="4853" width="27.7109375" bestFit="1" customWidth="1"/>
    <col min="4854" max="4854" width="12.85546875" customWidth="1"/>
    <col min="5109" max="5109" width="27.7109375" bestFit="1" customWidth="1"/>
    <col min="5110" max="5110" width="12.85546875" customWidth="1"/>
    <col min="5365" max="5365" width="27.7109375" bestFit="1" customWidth="1"/>
    <col min="5366" max="5366" width="12.85546875" customWidth="1"/>
    <col min="5621" max="5621" width="27.7109375" bestFit="1" customWidth="1"/>
    <col min="5622" max="5622" width="12.85546875" customWidth="1"/>
    <col min="5877" max="5877" width="27.7109375" bestFit="1" customWidth="1"/>
    <col min="5878" max="5878" width="12.85546875" customWidth="1"/>
    <col min="6133" max="6133" width="27.7109375" bestFit="1" customWidth="1"/>
    <col min="6134" max="6134" width="12.85546875" customWidth="1"/>
    <col min="6389" max="6389" width="27.7109375" bestFit="1" customWidth="1"/>
    <col min="6390" max="6390" width="12.85546875" customWidth="1"/>
    <col min="6645" max="6645" width="27.7109375" bestFit="1" customWidth="1"/>
    <col min="6646" max="6646" width="12.85546875" customWidth="1"/>
    <col min="6901" max="6901" width="27.7109375" bestFit="1" customWidth="1"/>
    <col min="6902" max="6902" width="12.85546875" customWidth="1"/>
    <col min="7157" max="7157" width="27.7109375" bestFit="1" customWidth="1"/>
    <col min="7158" max="7158" width="12.85546875" customWidth="1"/>
    <col min="7413" max="7413" width="27.7109375" bestFit="1" customWidth="1"/>
    <col min="7414" max="7414" width="12.85546875" customWidth="1"/>
    <col min="7669" max="7669" width="27.7109375" bestFit="1" customWidth="1"/>
    <col min="7670" max="7670" width="12.85546875" customWidth="1"/>
    <col min="7925" max="7925" width="27.7109375" bestFit="1" customWidth="1"/>
    <col min="7926" max="7926" width="12.85546875" customWidth="1"/>
    <col min="8181" max="8181" width="27.7109375" bestFit="1" customWidth="1"/>
    <col min="8182" max="8182" width="12.85546875" customWidth="1"/>
    <col min="8437" max="8437" width="27.7109375" bestFit="1" customWidth="1"/>
    <col min="8438" max="8438" width="12.85546875" customWidth="1"/>
    <col min="8693" max="8693" width="27.7109375" bestFit="1" customWidth="1"/>
    <col min="8694" max="8694" width="12.85546875" customWidth="1"/>
    <col min="8949" max="8949" width="27.7109375" bestFit="1" customWidth="1"/>
    <col min="8950" max="8950" width="12.85546875" customWidth="1"/>
    <col min="9205" max="9205" width="27.7109375" bestFit="1" customWidth="1"/>
    <col min="9206" max="9206" width="12.85546875" customWidth="1"/>
    <col min="9461" max="9461" width="27.7109375" bestFit="1" customWidth="1"/>
    <col min="9462" max="9462" width="12.85546875" customWidth="1"/>
    <col min="9717" max="9717" width="27.7109375" bestFit="1" customWidth="1"/>
    <col min="9718" max="9718" width="12.85546875" customWidth="1"/>
    <col min="9973" max="9973" width="27.7109375" bestFit="1" customWidth="1"/>
    <col min="9974" max="9974" width="12.85546875" customWidth="1"/>
    <col min="10229" max="10229" width="27.7109375" bestFit="1" customWidth="1"/>
    <col min="10230" max="10230" width="12.85546875" customWidth="1"/>
    <col min="10485" max="10485" width="27.7109375" bestFit="1" customWidth="1"/>
    <col min="10486" max="10486" width="12.85546875" customWidth="1"/>
    <col min="10741" max="10741" width="27.7109375" bestFit="1" customWidth="1"/>
    <col min="10742" max="10742" width="12.85546875" customWidth="1"/>
    <col min="10997" max="10997" width="27.7109375" bestFit="1" customWidth="1"/>
    <col min="10998" max="10998" width="12.85546875" customWidth="1"/>
    <col min="11253" max="11253" width="27.7109375" bestFit="1" customWidth="1"/>
    <col min="11254" max="11254" width="12.85546875" customWidth="1"/>
    <col min="11509" max="11509" width="27.7109375" bestFit="1" customWidth="1"/>
    <col min="11510" max="11510" width="12.85546875" customWidth="1"/>
    <col min="11765" max="11765" width="27.7109375" bestFit="1" customWidth="1"/>
    <col min="11766" max="11766" width="12.85546875" customWidth="1"/>
    <col min="12021" max="12021" width="27.7109375" bestFit="1" customWidth="1"/>
    <col min="12022" max="12022" width="12.85546875" customWidth="1"/>
    <col min="12277" max="12277" width="27.7109375" bestFit="1" customWidth="1"/>
    <col min="12278" max="12278" width="12.85546875" customWidth="1"/>
    <col min="12533" max="12533" width="27.7109375" bestFit="1" customWidth="1"/>
    <col min="12534" max="12534" width="12.85546875" customWidth="1"/>
    <col min="12789" max="12789" width="27.7109375" bestFit="1" customWidth="1"/>
    <col min="12790" max="12790" width="12.85546875" customWidth="1"/>
    <col min="13045" max="13045" width="27.7109375" bestFit="1" customWidth="1"/>
    <col min="13046" max="13046" width="12.85546875" customWidth="1"/>
    <col min="13301" max="13301" width="27.7109375" bestFit="1" customWidth="1"/>
    <col min="13302" max="13302" width="12.85546875" customWidth="1"/>
    <col min="13557" max="13557" width="27.7109375" bestFit="1" customWidth="1"/>
    <col min="13558" max="13558" width="12.85546875" customWidth="1"/>
    <col min="13813" max="13813" width="27.7109375" bestFit="1" customWidth="1"/>
    <col min="13814" max="13814" width="12.85546875" customWidth="1"/>
    <col min="14069" max="14069" width="27.7109375" bestFit="1" customWidth="1"/>
    <col min="14070" max="14070" width="12.85546875" customWidth="1"/>
    <col min="14325" max="14325" width="27.7109375" bestFit="1" customWidth="1"/>
    <col min="14326" max="14326" width="12.85546875" customWidth="1"/>
    <col min="14581" max="14581" width="27.7109375" bestFit="1" customWidth="1"/>
    <col min="14582" max="14582" width="12.85546875" customWidth="1"/>
    <col min="14837" max="14837" width="27.7109375" bestFit="1" customWidth="1"/>
    <col min="14838" max="14838" width="12.85546875" customWidth="1"/>
    <col min="15093" max="15093" width="27.7109375" bestFit="1" customWidth="1"/>
    <col min="15094" max="15094" width="12.85546875" customWidth="1"/>
    <col min="15349" max="15349" width="27.7109375" bestFit="1" customWidth="1"/>
    <col min="15350" max="15350" width="12.85546875" customWidth="1"/>
    <col min="15605" max="15605" width="27.7109375" bestFit="1" customWidth="1"/>
    <col min="15606" max="15606" width="12.85546875" customWidth="1"/>
    <col min="15861" max="15861" width="27.7109375" bestFit="1" customWidth="1"/>
    <col min="15862" max="15862" width="12.85546875" customWidth="1"/>
    <col min="16117" max="16117" width="27.7109375" bestFit="1" customWidth="1"/>
    <col min="16118" max="16118" width="12.85546875" customWidth="1"/>
  </cols>
  <sheetData>
    <row r="1" spans="1:10" ht="45" x14ac:dyDescent="0.25">
      <c r="A1" s="110" t="s">
        <v>170</v>
      </c>
    </row>
    <row r="2" spans="1:10" ht="30" x14ac:dyDescent="0.25">
      <c r="A2" s="110" t="s">
        <v>171</v>
      </c>
    </row>
    <row r="3" spans="1:10" x14ac:dyDescent="0.25">
      <c r="A3" s="111"/>
    </row>
    <row r="4" spans="1:10" x14ac:dyDescent="0.25">
      <c r="A4" s="2"/>
      <c r="B4" s="4" t="s">
        <v>172</v>
      </c>
      <c r="C4" s="4" t="s">
        <v>173</v>
      </c>
      <c r="D4" s="2"/>
      <c r="E4" s="2"/>
      <c r="I4" s="4">
        <v>91.44</v>
      </c>
      <c r="J4" s="4">
        <v>67.31</v>
      </c>
    </row>
    <row r="5" spans="1:10" x14ac:dyDescent="0.25">
      <c r="A5" s="2" t="s">
        <v>174</v>
      </c>
      <c r="B5" s="4">
        <v>71.12</v>
      </c>
      <c r="C5" s="4">
        <v>55.88</v>
      </c>
      <c r="D5" s="2"/>
      <c r="E5" s="2"/>
    </row>
    <row r="6" spans="1:10" x14ac:dyDescent="0.25">
      <c r="A6" s="2" t="s">
        <v>175</v>
      </c>
      <c r="B6" s="4">
        <f>B5*10</f>
        <v>711.2</v>
      </c>
      <c r="C6" s="4">
        <f>C5*10</f>
        <v>558.80000000000007</v>
      </c>
      <c r="D6" s="2"/>
      <c r="E6" s="2"/>
    </row>
    <row r="7" spans="1:10" x14ac:dyDescent="0.25">
      <c r="A7" s="2" t="s">
        <v>176</v>
      </c>
      <c r="B7" s="112">
        <f>B5/2.54</f>
        <v>28</v>
      </c>
      <c r="C7" s="112">
        <f>C5/2.54</f>
        <v>22</v>
      </c>
      <c r="D7" s="2"/>
      <c r="E7" s="2"/>
      <c r="H7" s="17"/>
    </row>
    <row r="8" spans="1:10" x14ac:dyDescent="0.25">
      <c r="A8" s="2" t="s">
        <v>177</v>
      </c>
      <c r="B8" s="4" t="s">
        <v>172</v>
      </c>
      <c r="C8" s="4" t="s">
        <v>178</v>
      </c>
      <c r="D8" s="4" t="s">
        <v>179</v>
      </c>
      <c r="E8" s="4" t="s">
        <v>180</v>
      </c>
    </row>
    <row r="9" spans="1:10" x14ac:dyDescent="0.25">
      <c r="A9" s="2"/>
      <c r="B9" s="4">
        <v>91</v>
      </c>
      <c r="C9" s="4">
        <v>55</v>
      </c>
      <c r="D9" s="4">
        <v>26</v>
      </c>
      <c r="E9" s="4">
        <v>12</v>
      </c>
    </row>
    <row r="10" spans="1:10" x14ac:dyDescent="0.25">
      <c r="A10" s="2" t="s">
        <v>181</v>
      </c>
      <c r="B10" s="4" t="s">
        <v>172</v>
      </c>
      <c r="C10" s="2">
        <f>B9+D9+(E9*2)</f>
        <v>141</v>
      </c>
      <c r="D10" s="2"/>
      <c r="E10" s="2"/>
    </row>
    <row r="11" spans="1:10" x14ac:dyDescent="0.25">
      <c r="A11" s="2"/>
      <c r="B11" s="4" t="s">
        <v>173</v>
      </c>
      <c r="C11" s="2">
        <f>(C9*2)+(D9*2)+E9</f>
        <v>174</v>
      </c>
      <c r="D11" s="2"/>
      <c r="E11" s="2"/>
    </row>
    <row r="12" spans="1:10" x14ac:dyDescent="0.25">
      <c r="A12" s="2"/>
      <c r="B12" s="4"/>
      <c r="C12" s="2"/>
      <c r="D12" s="2"/>
      <c r="E12" s="2"/>
    </row>
    <row r="13" spans="1:10" x14ac:dyDescent="0.25">
      <c r="A13" s="2" t="s">
        <v>182</v>
      </c>
      <c r="B13" s="15">
        <f>B6/C10</f>
        <v>5.0439716312056744</v>
      </c>
      <c r="C13" s="23">
        <f>C6/C11</f>
        <v>3.2114942528735635</v>
      </c>
      <c r="D13" s="2">
        <v>15</v>
      </c>
      <c r="E13" s="2"/>
    </row>
    <row r="14" spans="1:10" x14ac:dyDescent="0.25">
      <c r="A14" s="2" t="s">
        <v>183</v>
      </c>
      <c r="B14" s="4">
        <f>B6/C11</f>
        <v>4.0873563218390805</v>
      </c>
      <c r="C14" s="2">
        <f>C6/C10</f>
        <v>3.9631205673758871</v>
      </c>
      <c r="D14" s="2">
        <v>12</v>
      </c>
      <c r="E14" s="2"/>
    </row>
    <row r="15" spans="1:10" x14ac:dyDescent="0.25">
      <c r="A15" s="8" t="s">
        <v>184</v>
      </c>
      <c r="B15" s="4"/>
      <c r="C15" s="2"/>
      <c r="D15" s="8">
        <f>MAX(D14,D13)</f>
        <v>15</v>
      </c>
      <c r="E15" s="2"/>
      <c r="I15" t="s">
        <v>224</v>
      </c>
    </row>
    <row r="16" spans="1:10" x14ac:dyDescent="0.25">
      <c r="A16" s="248"/>
      <c r="B16" s="248"/>
      <c r="C16" s="248"/>
      <c r="D16" s="248"/>
      <c r="E16" s="248"/>
      <c r="F16" s="248"/>
    </row>
    <row r="17" spans="1:13" x14ac:dyDescent="0.25">
      <c r="A17" s="113" t="s">
        <v>185</v>
      </c>
      <c r="B17" s="114"/>
      <c r="C17" s="114"/>
      <c r="D17" s="113"/>
      <c r="E17" s="114"/>
      <c r="F17" s="114" t="s">
        <v>64</v>
      </c>
      <c r="I17" s="115" t="s">
        <v>186</v>
      </c>
      <c r="J17" s="115"/>
    </row>
    <row r="18" spans="1:13" x14ac:dyDescent="0.25">
      <c r="A18" s="16" t="s">
        <v>187</v>
      </c>
      <c r="B18" s="116">
        <v>91</v>
      </c>
      <c r="C18" s="116">
        <v>55</v>
      </c>
      <c r="D18" s="116">
        <v>26</v>
      </c>
      <c r="E18" s="16"/>
      <c r="F18" s="16"/>
      <c r="I18" s="115"/>
      <c r="J18" s="115"/>
    </row>
    <row r="19" spans="1:13" x14ac:dyDescent="0.25">
      <c r="A19" s="16" t="s">
        <v>188</v>
      </c>
      <c r="B19" s="15">
        <f>B5</f>
        <v>71.12</v>
      </c>
      <c r="C19" s="112">
        <f>C5</f>
        <v>55.88</v>
      </c>
      <c r="D19" s="116">
        <f>D15</f>
        <v>15</v>
      </c>
      <c r="E19" s="16"/>
      <c r="F19" s="16"/>
      <c r="I19" s="117" t="s">
        <v>189</v>
      </c>
      <c r="J19" s="118"/>
    </row>
    <row r="20" spans="1:13" x14ac:dyDescent="0.25">
      <c r="A20" s="16" t="s">
        <v>5</v>
      </c>
      <c r="B20" s="16"/>
      <c r="C20" s="16">
        <v>285</v>
      </c>
      <c r="D20" s="16"/>
      <c r="E20" s="16"/>
      <c r="F20" s="16"/>
      <c r="I20" s="117" t="s">
        <v>190</v>
      </c>
      <c r="J20" s="119">
        <v>42003</v>
      </c>
    </row>
    <row r="21" spans="1:13" ht="25.5" x14ac:dyDescent="0.25">
      <c r="A21" s="16" t="s">
        <v>191</v>
      </c>
      <c r="B21" s="16"/>
      <c r="C21" s="16">
        <f>1000/D15</f>
        <v>66.666666666666671</v>
      </c>
      <c r="D21" s="16"/>
      <c r="E21" s="16"/>
      <c r="F21" s="16"/>
      <c r="I21" s="120" t="s">
        <v>192</v>
      </c>
      <c r="J21" s="121" t="s">
        <v>186</v>
      </c>
    </row>
    <row r="22" spans="1:13" x14ac:dyDescent="0.25">
      <c r="A22" s="16" t="s">
        <v>193</v>
      </c>
      <c r="B22" s="16"/>
      <c r="C22" s="16">
        <f>+B19*C19*C20/10000000*1000/D19</f>
        <v>7.5509526400000011</v>
      </c>
      <c r="D22" s="16"/>
      <c r="E22" s="16"/>
      <c r="F22" s="16"/>
      <c r="I22" s="120" t="s">
        <v>194</v>
      </c>
      <c r="J22" s="122" t="s">
        <v>195</v>
      </c>
    </row>
    <row r="23" spans="1:13" x14ac:dyDescent="0.25">
      <c r="A23" s="16" t="s">
        <v>196</v>
      </c>
      <c r="B23" s="16"/>
      <c r="C23" s="16">
        <v>76</v>
      </c>
      <c r="D23" s="16"/>
      <c r="E23" s="16"/>
      <c r="F23" s="16">
        <f>+C23*C22</f>
        <v>573.87240064000014</v>
      </c>
      <c r="I23" s="120" t="s">
        <v>197</v>
      </c>
      <c r="J23" s="123">
        <v>500000</v>
      </c>
    </row>
    <row r="24" spans="1:13" x14ac:dyDescent="0.25">
      <c r="A24" s="16" t="s">
        <v>198</v>
      </c>
      <c r="B24" s="16">
        <f>(2.1+1)*2.54</f>
        <v>7.8740000000000006</v>
      </c>
      <c r="C24" s="16"/>
      <c r="D24" s="16"/>
      <c r="E24" s="16"/>
      <c r="F24" s="16"/>
      <c r="I24" s="115"/>
      <c r="J24" s="115"/>
    </row>
    <row r="25" spans="1:13" x14ac:dyDescent="0.25">
      <c r="A25" s="16" t="s">
        <v>71</v>
      </c>
      <c r="B25" s="16">
        <v>6</v>
      </c>
      <c r="C25" s="16">
        <v>50</v>
      </c>
      <c r="D25" s="16"/>
      <c r="E25" s="16"/>
      <c r="F25" s="16">
        <f>C25*B25/D19</f>
        <v>20</v>
      </c>
      <c r="I25" s="115" t="s">
        <v>199</v>
      </c>
      <c r="J25" s="124">
        <v>610.84972505315056</v>
      </c>
    </row>
    <row r="26" spans="1:13" x14ac:dyDescent="0.25">
      <c r="A26" s="16" t="s">
        <v>200</v>
      </c>
      <c r="B26" s="16">
        <v>6</v>
      </c>
      <c r="C26" s="16">
        <v>85</v>
      </c>
      <c r="D26" s="16"/>
      <c r="E26" s="16"/>
      <c r="F26" s="16">
        <f>C26*B26/D19</f>
        <v>34</v>
      </c>
      <c r="I26" s="115" t="s">
        <v>201</v>
      </c>
      <c r="J26" s="124">
        <v>172.23576844057402</v>
      </c>
    </row>
    <row r="27" spans="1:13" x14ac:dyDescent="0.25">
      <c r="A27" s="16" t="s">
        <v>202</v>
      </c>
      <c r="B27" s="125">
        <f>B19*C19/10000*0.006*1000/D19</f>
        <v>0.158967424</v>
      </c>
      <c r="C27" s="16">
        <v>170</v>
      </c>
      <c r="D27" s="16"/>
      <c r="E27" s="16"/>
      <c r="F27" s="16">
        <v>0</v>
      </c>
      <c r="G27" s="17"/>
      <c r="I27" s="115" t="s">
        <v>203</v>
      </c>
      <c r="J27" s="124">
        <v>104.31974732328767</v>
      </c>
    </row>
    <row r="28" spans="1:13" x14ac:dyDescent="0.25">
      <c r="A28" s="16" t="s">
        <v>204</v>
      </c>
      <c r="B28" s="15" t="s">
        <v>205</v>
      </c>
      <c r="C28" s="16">
        <v>150</v>
      </c>
      <c r="D28" s="16"/>
      <c r="E28" s="16"/>
      <c r="F28" s="16">
        <v>0</v>
      </c>
      <c r="G28" s="17"/>
      <c r="I28" s="115" t="s">
        <v>206</v>
      </c>
      <c r="J28" s="124">
        <v>121.52514508521183</v>
      </c>
    </row>
    <row r="29" spans="1:13" x14ac:dyDescent="0.25">
      <c r="A29" s="16" t="s">
        <v>207</v>
      </c>
      <c r="B29" s="16" t="s">
        <v>208</v>
      </c>
      <c r="C29" s="16">
        <v>2.8</v>
      </c>
      <c r="D29" s="16">
        <v>1000</v>
      </c>
      <c r="E29" s="16"/>
      <c r="F29" s="16">
        <v>104</v>
      </c>
      <c r="I29" s="115" t="s">
        <v>209</v>
      </c>
      <c r="J29" s="124">
        <v>37.009889106327464</v>
      </c>
    </row>
    <row r="30" spans="1:13" x14ac:dyDescent="0.25">
      <c r="A30" s="16" t="s">
        <v>210</v>
      </c>
      <c r="B30" s="16" t="s">
        <v>211</v>
      </c>
      <c r="C30" s="16">
        <v>1.4</v>
      </c>
      <c r="D30" s="16">
        <v>100</v>
      </c>
      <c r="E30" s="16"/>
      <c r="F30" s="16">
        <v>121</v>
      </c>
      <c r="I30" s="115" t="s">
        <v>212</v>
      </c>
      <c r="J30" s="124">
        <v>36.735561643835617</v>
      </c>
    </row>
    <row r="31" spans="1:13" x14ac:dyDescent="0.25">
      <c r="A31" s="16" t="s">
        <v>213</v>
      </c>
      <c r="B31" s="15" t="s">
        <v>205</v>
      </c>
      <c r="C31" s="16">
        <v>125</v>
      </c>
      <c r="D31" s="16"/>
      <c r="E31" s="16"/>
      <c r="F31" s="16">
        <f>C31/D19</f>
        <v>8.3333333333333339</v>
      </c>
      <c r="H31" t="s">
        <v>53</v>
      </c>
      <c r="I31" s="115" t="s">
        <v>214</v>
      </c>
      <c r="J31" s="124">
        <v>26.232810278356162</v>
      </c>
    </row>
    <row r="32" spans="1:13" x14ac:dyDescent="0.25">
      <c r="A32" s="16"/>
      <c r="B32" s="16"/>
      <c r="C32" s="16"/>
      <c r="D32" s="16"/>
      <c r="E32" s="126"/>
      <c r="F32" s="126">
        <f>SUM(F23:F31)</f>
        <v>861.20573397333351</v>
      </c>
      <c r="G32">
        <f>850*0.146</f>
        <v>124.1</v>
      </c>
      <c r="H32" s="17">
        <f>F32-G32</f>
        <v>737.10573397333349</v>
      </c>
      <c r="I32" s="115"/>
      <c r="J32" s="135">
        <f>SUM(J25:J31)</f>
        <v>1108.9086469307431</v>
      </c>
      <c r="K32">
        <v>1020</v>
      </c>
      <c r="L32">
        <f>K32*0.146</f>
        <v>148.91999999999999</v>
      </c>
      <c r="M32">
        <f>K32-L32</f>
        <v>871.08</v>
      </c>
    </row>
    <row r="33" spans="1:13" ht="15.75" x14ac:dyDescent="0.25">
      <c r="A33" s="16" t="s">
        <v>15</v>
      </c>
      <c r="B33" s="16"/>
      <c r="C33" s="16"/>
      <c r="D33" s="127">
        <v>0.04</v>
      </c>
      <c r="E33" s="16"/>
      <c r="F33" s="16">
        <f>F23*D33</f>
        <v>22.954896025600007</v>
      </c>
      <c r="H33">
        <f>H32*D33</f>
        <v>29.484229358933341</v>
      </c>
      <c r="I33" s="128" t="s">
        <v>215</v>
      </c>
      <c r="J33" s="129">
        <f>SUM(J25:J31)</f>
        <v>1108.9086469307431</v>
      </c>
      <c r="M33">
        <v>45</v>
      </c>
    </row>
    <row r="34" spans="1:13" x14ac:dyDescent="0.25">
      <c r="A34" s="16" t="s">
        <v>216</v>
      </c>
      <c r="B34" s="15" t="s">
        <v>217</v>
      </c>
      <c r="C34" s="16">
        <v>12</v>
      </c>
      <c r="D34" s="16"/>
      <c r="E34" s="16"/>
      <c r="F34" s="16">
        <f>C34</f>
        <v>12</v>
      </c>
      <c r="H34" s="16">
        <f>C34</f>
        <v>12</v>
      </c>
      <c r="I34" s="115"/>
      <c r="J34" s="115"/>
      <c r="M34">
        <v>20</v>
      </c>
    </row>
    <row r="35" spans="1:13" x14ac:dyDescent="0.25">
      <c r="A35" s="16" t="s">
        <v>218</v>
      </c>
      <c r="B35" s="15" t="s">
        <v>217</v>
      </c>
      <c r="C35" s="16">
        <v>8</v>
      </c>
      <c r="D35" s="16"/>
      <c r="E35" s="16"/>
      <c r="F35" s="16">
        <f>C35</f>
        <v>8</v>
      </c>
      <c r="H35" s="16">
        <f>C35</f>
        <v>8</v>
      </c>
      <c r="I35" s="120" t="s">
        <v>219</v>
      </c>
      <c r="J35" s="130">
        <v>45.745432346537186</v>
      </c>
      <c r="M35">
        <f>SUM(M32:M34)</f>
        <v>936.08</v>
      </c>
    </row>
    <row r="36" spans="1:13" ht="15.75" x14ac:dyDescent="0.25">
      <c r="A36" s="16" t="s">
        <v>215</v>
      </c>
      <c r="B36" s="16"/>
      <c r="C36" s="16"/>
      <c r="D36" s="16"/>
      <c r="E36" s="16"/>
      <c r="F36" s="16">
        <f>SUM(F32:F35)</f>
        <v>904.16062999893347</v>
      </c>
      <c r="H36" s="17">
        <f>SUM(H32:H35)</f>
        <v>786.58996333226685</v>
      </c>
      <c r="I36" s="128" t="s">
        <v>220</v>
      </c>
      <c r="J36" s="129">
        <f>J33+J35</f>
        <v>1154.6540792772803</v>
      </c>
    </row>
    <row r="37" spans="1:13" ht="15.75" x14ac:dyDescent="0.25">
      <c r="A37" s="16" t="s">
        <v>221</v>
      </c>
      <c r="B37" s="16"/>
      <c r="C37" s="16"/>
      <c r="D37" s="131">
        <v>0.1</v>
      </c>
      <c r="E37" s="132"/>
      <c r="F37" s="132">
        <f>F32*D37</f>
        <v>86.120573397333359</v>
      </c>
      <c r="H37">
        <f>H36*0.1</f>
        <v>78.658996333226696</v>
      </c>
      <c r="I37" s="128"/>
      <c r="J37" s="129"/>
    </row>
    <row r="38" spans="1:13" x14ac:dyDescent="0.25">
      <c r="A38" s="16" t="s">
        <v>222</v>
      </c>
      <c r="B38" s="16"/>
      <c r="C38" s="16"/>
      <c r="D38" s="16"/>
      <c r="E38" s="132"/>
      <c r="F38" s="132">
        <f>F36+F37</f>
        <v>990.28120339626685</v>
      </c>
      <c r="H38" s="17">
        <f>SUM(H36:H37)</f>
        <v>865.24895966549354</v>
      </c>
      <c r="I38" s="120" t="s">
        <v>223</v>
      </c>
      <c r="J38" s="130">
        <v>20.404008000000001</v>
      </c>
    </row>
    <row r="39" spans="1:13" ht="15.75" x14ac:dyDescent="0.25">
      <c r="A39" s="133"/>
      <c r="B39" s="134"/>
      <c r="C39" s="134"/>
      <c r="D39" s="134"/>
      <c r="E39" s="134"/>
      <c r="F39" s="134"/>
      <c r="I39" s="128" t="s">
        <v>220</v>
      </c>
      <c r="J39" s="129">
        <f>+J36+J38</f>
        <v>1175.0580872772803</v>
      </c>
    </row>
    <row r="40" spans="1:13" ht="15.75" x14ac:dyDescent="0.25">
      <c r="I40" s="161" t="s">
        <v>272</v>
      </c>
      <c r="J40">
        <v>1070</v>
      </c>
    </row>
    <row r="43" spans="1:13" x14ac:dyDescent="0.25">
      <c r="A43" t="s">
        <v>277</v>
      </c>
    </row>
    <row r="44" spans="1:13" ht="30" x14ac:dyDescent="0.25">
      <c r="B44" s="8" t="s">
        <v>25</v>
      </c>
      <c r="C44" s="8" t="s">
        <v>49</v>
      </c>
      <c r="D44" s="110" t="s">
        <v>276</v>
      </c>
      <c r="E44" s="8" t="s">
        <v>106</v>
      </c>
      <c r="F44" s="8" t="s">
        <v>29</v>
      </c>
      <c r="G44" s="8" t="s">
        <v>275</v>
      </c>
    </row>
    <row r="45" spans="1:13" x14ac:dyDescent="0.25">
      <c r="A45" s="162" t="s">
        <v>273</v>
      </c>
      <c r="B45" s="2">
        <v>990</v>
      </c>
      <c r="C45" s="2"/>
      <c r="D45" s="2">
        <f>B45*0.04</f>
        <v>39.6</v>
      </c>
      <c r="E45" s="2"/>
      <c r="F45" s="2">
        <f>SUM(B45:E45)</f>
        <v>1029.5999999999999</v>
      </c>
      <c r="G45" s="2">
        <f>B45</f>
        <v>990</v>
      </c>
    </row>
    <row r="46" spans="1:13" x14ac:dyDescent="0.25">
      <c r="A46" s="162" t="s">
        <v>274</v>
      </c>
      <c r="B46" s="2">
        <v>1070</v>
      </c>
      <c r="C46" s="2"/>
      <c r="D46" s="2">
        <f>B46*0.01</f>
        <v>10.700000000000001</v>
      </c>
      <c r="E46" s="2"/>
      <c r="F46" s="2">
        <f>SUM(B46:E46)</f>
        <v>1080.7</v>
      </c>
      <c r="G46" s="2">
        <f>F46</f>
        <v>1080.7</v>
      </c>
    </row>
    <row r="47" spans="1:13" x14ac:dyDescent="0.25">
      <c r="G47">
        <f>G46-G45</f>
        <v>90.700000000000045</v>
      </c>
    </row>
    <row r="49" spans="1:7" x14ac:dyDescent="0.25">
      <c r="A49" s="2" t="s">
        <v>268</v>
      </c>
      <c r="B49" s="2"/>
      <c r="C49" s="2"/>
      <c r="D49" s="2"/>
      <c r="E49" s="2"/>
      <c r="F49" s="2"/>
      <c r="G49" s="2"/>
    </row>
    <row r="50" spans="1:7" x14ac:dyDescent="0.25">
      <c r="A50" s="2"/>
      <c r="B50" s="8" t="s">
        <v>25</v>
      </c>
      <c r="C50" s="8" t="s">
        <v>49</v>
      </c>
      <c r="D50" s="110" t="s">
        <v>269</v>
      </c>
      <c r="E50" s="8" t="s">
        <v>106</v>
      </c>
      <c r="F50" s="8" t="s">
        <v>29</v>
      </c>
      <c r="G50" s="8" t="s">
        <v>275</v>
      </c>
    </row>
    <row r="51" spans="1:7" x14ac:dyDescent="0.25">
      <c r="A51" s="2" t="s">
        <v>273</v>
      </c>
      <c r="B51" s="2">
        <v>865</v>
      </c>
      <c r="C51" s="2"/>
      <c r="D51" s="2">
        <f>B51*0.12</f>
        <v>103.8</v>
      </c>
      <c r="E51" s="2"/>
      <c r="F51" s="2">
        <f>SUM(B51:E51)</f>
        <v>968.8</v>
      </c>
      <c r="G51" s="2">
        <f>B51</f>
        <v>865</v>
      </c>
    </row>
    <row r="52" spans="1:7" x14ac:dyDescent="0.25">
      <c r="A52" s="2" t="s">
        <v>274</v>
      </c>
      <c r="B52" s="2">
        <v>936</v>
      </c>
      <c r="C52" s="2"/>
      <c r="D52" s="2">
        <f t="shared" ref="D52" si="0">B52*0.12</f>
        <v>112.32</v>
      </c>
      <c r="E52" s="2"/>
      <c r="F52" s="2">
        <f>SUM(B52:E52)</f>
        <v>1048.32</v>
      </c>
      <c r="G52" s="2">
        <f>B52</f>
        <v>936</v>
      </c>
    </row>
    <row r="53" spans="1:7" x14ac:dyDescent="0.25">
      <c r="G53">
        <f>G52-G51</f>
        <v>71</v>
      </c>
    </row>
    <row r="55" spans="1:7" x14ac:dyDescent="0.25">
      <c r="A55" s="2" t="s">
        <v>268</v>
      </c>
      <c r="B55" s="2"/>
      <c r="C55" s="2"/>
      <c r="D55" s="2"/>
      <c r="E55" s="2"/>
      <c r="F55" s="2"/>
      <c r="G55" s="2"/>
    </row>
    <row r="56" spans="1:7" x14ac:dyDescent="0.25">
      <c r="A56" s="2"/>
      <c r="B56" s="8" t="s">
        <v>25</v>
      </c>
      <c r="C56" s="8" t="s">
        <v>49</v>
      </c>
      <c r="D56" s="110" t="s">
        <v>365</v>
      </c>
      <c r="E56" s="8" t="s">
        <v>106</v>
      </c>
      <c r="F56" s="8" t="s">
        <v>29</v>
      </c>
      <c r="G56" s="8" t="s">
        <v>275</v>
      </c>
    </row>
    <row r="57" spans="1:7" x14ac:dyDescent="0.25">
      <c r="A57" s="2" t="s">
        <v>273</v>
      </c>
      <c r="B57" s="2">
        <v>865</v>
      </c>
      <c r="C57" s="2"/>
      <c r="D57" s="2">
        <f>B57*0.04</f>
        <v>34.6</v>
      </c>
      <c r="E57" s="2"/>
      <c r="F57" s="2">
        <f>SUM(B57:E57)</f>
        <v>899.6</v>
      </c>
      <c r="G57" s="2">
        <f>B57</f>
        <v>865</v>
      </c>
    </row>
    <row r="58" spans="1:7" x14ac:dyDescent="0.25">
      <c r="A58" s="2" t="s">
        <v>274</v>
      </c>
      <c r="B58" s="2">
        <v>936</v>
      </c>
      <c r="C58" s="2"/>
      <c r="D58" s="2">
        <f>B58*0.04</f>
        <v>37.44</v>
      </c>
      <c r="E58" s="2"/>
      <c r="F58" s="2">
        <f>SUM(B58:E58)</f>
        <v>973.44</v>
      </c>
      <c r="G58" s="2">
        <f>B58</f>
        <v>936</v>
      </c>
    </row>
    <row r="59" spans="1:7" x14ac:dyDescent="0.25">
      <c r="G59">
        <f>G58-G57</f>
        <v>71</v>
      </c>
    </row>
    <row r="60" spans="1:7" x14ac:dyDescent="0.25">
      <c r="A60" s="2" t="s">
        <v>278</v>
      </c>
      <c r="B60" s="2"/>
      <c r="C60" s="2" t="s">
        <v>290</v>
      </c>
      <c r="D60" s="2"/>
      <c r="E60" s="2"/>
      <c r="F60" s="2"/>
    </row>
    <row r="61" spans="1:7" ht="47.25" x14ac:dyDescent="0.25">
      <c r="A61" s="35" t="s">
        <v>284</v>
      </c>
      <c r="B61" s="35" t="s">
        <v>283</v>
      </c>
      <c r="C61" s="35" t="s">
        <v>285</v>
      </c>
      <c r="D61" s="35" t="s">
        <v>286</v>
      </c>
      <c r="E61" s="35" t="s">
        <v>288</v>
      </c>
      <c r="F61" s="35" t="s">
        <v>289</v>
      </c>
    </row>
    <row r="62" spans="1:7" ht="15.75" x14ac:dyDescent="0.25">
      <c r="A62" s="35" t="s">
        <v>294</v>
      </c>
      <c r="B62" s="16">
        <f>B45</f>
        <v>990</v>
      </c>
      <c r="C62" s="2">
        <f>13333.33/1000</f>
        <v>13.33333</v>
      </c>
      <c r="D62" s="23">
        <f>B62*C62</f>
        <v>13199.9967</v>
      </c>
      <c r="E62" s="163">
        <f>D64/D62</f>
        <v>0.12626262626262627</v>
      </c>
      <c r="F62" s="165">
        <f>1500*D64</f>
        <v>2499999.3750000005</v>
      </c>
    </row>
    <row r="63" spans="1:7" ht="15.75" x14ac:dyDescent="0.25">
      <c r="A63" s="35" t="s">
        <v>295</v>
      </c>
      <c r="B63" s="23">
        <f>B51</f>
        <v>865</v>
      </c>
      <c r="C63" s="2">
        <f>13333.33/1000</f>
        <v>13.33333</v>
      </c>
      <c r="D63" s="23">
        <f>B63*C63</f>
        <v>11533.330449999999</v>
      </c>
      <c r="E63" s="2"/>
      <c r="F63" s="2"/>
    </row>
    <row r="64" spans="1:7" ht="15.75" x14ac:dyDescent="0.25">
      <c r="A64" s="35" t="s">
        <v>281</v>
      </c>
      <c r="B64" s="2">
        <f>B62-B63</f>
        <v>125</v>
      </c>
      <c r="C64" s="2" t="s">
        <v>287</v>
      </c>
      <c r="D64" s="2">
        <f>D62-D63</f>
        <v>1666.6662500000002</v>
      </c>
      <c r="E64" s="2"/>
      <c r="F64" s="2"/>
    </row>
  </sheetData>
  <mergeCells count="1">
    <mergeCell ref="A16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70"/>
  <sheetViews>
    <sheetView topLeftCell="A42" workbookViewId="0">
      <selection activeCell="L67" sqref="L67"/>
    </sheetView>
  </sheetViews>
  <sheetFormatPr defaultRowHeight="15" x14ac:dyDescent="0.25"/>
  <cols>
    <col min="1" max="1" width="1.28515625" customWidth="1"/>
    <col min="2" max="2" width="11.7109375" customWidth="1"/>
    <col min="4" max="4" width="9.85546875" customWidth="1"/>
    <col min="5" max="5" width="10.28515625" customWidth="1"/>
    <col min="6" max="6" width="11.7109375" customWidth="1"/>
    <col min="7" max="7" width="11.140625" customWidth="1"/>
    <col min="8" max="8" width="10.7109375" customWidth="1"/>
    <col min="9" max="9" width="6.85546875" customWidth="1"/>
    <col min="11" max="11" width="9.7109375" customWidth="1"/>
    <col min="12" max="12" width="10.7109375" customWidth="1"/>
    <col min="13" max="13" width="7.42578125" customWidth="1"/>
    <col min="16" max="16" width="9.5703125" customWidth="1"/>
    <col min="17" max="17" width="7.28515625" customWidth="1"/>
    <col min="18" max="18" width="9.140625" customWidth="1"/>
    <col min="19" max="19" width="8.5703125" customWidth="1"/>
    <col min="20" max="20" width="10.42578125" bestFit="1" customWidth="1"/>
    <col min="21" max="21" width="7.42578125" customWidth="1"/>
    <col min="22" max="22" width="8.42578125" customWidth="1"/>
    <col min="23" max="23" width="3.140625" customWidth="1"/>
    <col min="24" max="24" width="11.5703125" customWidth="1"/>
    <col min="25" max="25" width="8.140625" bestFit="1" customWidth="1"/>
    <col min="29" max="29" width="4" customWidth="1"/>
    <col min="30" max="30" width="10.140625" customWidth="1"/>
  </cols>
  <sheetData>
    <row r="2" spans="2:36" ht="18" x14ac:dyDescent="0.25">
      <c r="Z2" s="244"/>
      <c r="AA2" s="244"/>
      <c r="AB2" s="244"/>
      <c r="AC2" s="244"/>
      <c r="AD2" s="244"/>
    </row>
    <row r="3" spans="2:36" ht="15.75" thickBot="1" x14ac:dyDescent="0.3"/>
    <row r="4" spans="2:36" ht="21" thickBot="1" x14ac:dyDescent="0.35">
      <c r="B4" s="93" t="s">
        <v>133</v>
      </c>
      <c r="C4" s="94"/>
      <c r="D4" s="94"/>
      <c r="E4" s="94"/>
      <c r="F4" s="95"/>
      <c r="H4" s="239" t="s">
        <v>134</v>
      </c>
      <c r="I4" s="240"/>
      <c r="J4" s="240"/>
      <c r="K4" s="240"/>
      <c r="L4" s="241"/>
      <c r="N4" s="239" t="s">
        <v>135</v>
      </c>
      <c r="O4" s="240"/>
      <c r="P4" s="240"/>
      <c r="Q4" s="240"/>
      <c r="R4" s="241"/>
      <c r="T4" s="239" t="s">
        <v>136</v>
      </c>
      <c r="U4" s="240"/>
      <c r="V4" s="240"/>
      <c r="W4" s="240"/>
      <c r="X4" s="241"/>
      <c r="Z4" s="239" t="s">
        <v>137</v>
      </c>
      <c r="AA4" s="240"/>
      <c r="AB4" s="240"/>
      <c r="AC4" s="240"/>
      <c r="AD4" s="241"/>
      <c r="AF4" s="239" t="s">
        <v>138</v>
      </c>
      <c r="AG4" s="240"/>
      <c r="AH4" s="240"/>
      <c r="AI4" s="240"/>
      <c r="AJ4" s="241"/>
    </row>
    <row r="5" spans="2:36" ht="20.25" x14ac:dyDescent="0.3">
      <c r="B5" s="96"/>
      <c r="C5" s="96"/>
      <c r="D5" s="96"/>
      <c r="E5" s="96"/>
      <c r="F5" s="96"/>
      <c r="H5" s="96"/>
      <c r="I5" s="96"/>
      <c r="J5" s="96"/>
      <c r="K5" s="96"/>
      <c r="L5" s="96"/>
      <c r="N5" s="96"/>
      <c r="O5" s="96"/>
      <c r="P5" s="96"/>
      <c r="Q5" s="96"/>
      <c r="R5" s="96"/>
      <c r="T5" s="96"/>
      <c r="U5" s="96"/>
      <c r="V5" s="96"/>
      <c r="W5" s="96"/>
      <c r="X5" s="96"/>
      <c r="Z5" s="96"/>
      <c r="AA5" s="96"/>
      <c r="AB5" s="96"/>
      <c r="AC5" s="96"/>
      <c r="AD5" s="96"/>
      <c r="AF5" s="96"/>
      <c r="AG5" s="96"/>
      <c r="AH5" s="96"/>
      <c r="AI5" s="96"/>
      <c r="AJ5" s="96"/>
    </row>
    <row r="6" spans="2:36" x14ac:dyDescent="0.25">
      <c r="B6" s="97" t="s">
        <v>139</v>
      </c>
      <c r="C6" s="97">
        <v>115</v>
      </c>
      <c r="D6" s="98">
        <v>55.5</v>
      </c>
      <c r="E6" s="97"/>
      <c r="F6" s="98">
        <f>C6/C10*D6</f>
        <v>51.06</v>
      </c>
      <c r="H6" s="97" t="s">
        <v>139</v>
      </c>
      <c r="I6" s="97">
        <v>130</v>
      </c>
      <c r="J6" s="98">
        <v>60</v>
      </c>
      <c r="K6" s="97"/>
      <c r="L6" s="98">
        <f>I6/I10*J6</f>
        <v>55.714285714285715</v>
      </c>
      <c r="N6" s="97" t="s">
        <v>139</v>
      </c>
      <c r="O6" s="97">
        <v>130</v>
      </c>
      <c r="P6" s="98">
        <v>60</v>
      </c>
      <c r="Q6" s="97"/>
      <c r="R6" s="98">
        <f>O6/O10*P6</f>
        <v>54.929577464788736</v>
      </c>
      <c r="T6" s="97" t="s">
        <v>139</v>
      </c>
      <c r="U6" s="97">
        <v>130</v>
      </c>
      <c r="V6" s="98">
        <v>60</v>
      </c>
      <c r="W6" s="97"/>
      <c r="X6" s="98">
        <f>U6/U10*V6</f>
        <v>54.166666666666664</v>
      </c>
      <c r="Z6" s="97" t="s">
        <v>139</v>
      </c>
      <c r="AA6" s="97">
        <v>175</v>
      </c>
      <c r="AB6" s="98">
        <v>60</v>
      </c>
      <c r="AC6" s="97"/>
      <c r="AD6" s="98">
        <f>AA6/AA10*AB6</f>
        <v>56.756756756756758</v>
      </c>
      <c r="AF6" s="97" t="s">
        <v>139</v>
      </c>
      <c r="AG6" s="97">
        <v>80</v>
      </c>
      <c r="AH6" s="98">
        <v>61.5</v>
      </c>
      <c r="AI6" s="97"/>
      <c r="AJ6" s="98">
        <f>AG6/AG10*AH6</f>
        <v>54.666666666666664</v>
      </c>
    </row>
    <row r="7" spans="2:36" x14ac:dyDescent="0.25">
      <c r="B7" s="2"/>
      <c r="C7" s="2"/>
      <c r="D7" s="16"/>
      <c r="E7" s="2"/>
      <c r="F7" s="16"/>
      <c r="H7" s="2"/>
      <c r="I7" s="2"/>
      <c r="J7" s="16"/>
      <c r="K7" s="2"/>
      <c r="L7" s="16"/>
      <c r="N7" s="2"/>
      <c r="O7" s="2"/>
      <c r="P7" s="16"/>
      <c r="Q7" s="2"/>
      <c r="R7" s="16"/>
      <c r="T7" s="2"/>
      <c r="U7" s="2"/>
      <c r="V7" s="16"/>
      <c r="W7" s="2"/>
      <c r="X7" s="16"/>
      <c r="Z7" s="2"/>
      <c r="AA7" s="2"/>
      <c r="AB7" s="16"/>
      <c r="AC7" s="2"/>
      <c r="AD7" s="16"/>
      <c r="AF7" s="2"/>
      <c r="AG7" s="2"/>
      <c r="AH7" s="16"/>
      <c r="AI7" s="2"/>
      <c r="AJ7" s="16"/>
    </row>
    <row r="8" spans="2:36" x14ac:dyDescent="0.25">
      <c r="B8" s="2" t="s">
        <v>140</v>
      </c>
      <c r="C8" s="2">
        <v>10</v>
      </c>
      <c r="D8" s="16">
        <v>106.58</v>
      </c>
      <c r="E8" s="2"/>
      <c r="F8" s="16">
        <f>C8/C10*D8</f>
        <v>8.5264000000000006</v>
      </c>
      <c r="H8" s="2" t="s">
        <v>140</v>
      </c>
      <c r="I8" s="2">
        <v>10</v>
      </c>
      <c r="J8" s="16">
        <f>D8</f>
        <v>106.58</v>
      </c>
      <c r="K8" s="2"/>
      <c r="L8" s="16">
        <f>I8/I10*J8</f>
        <v>7.6128571428571421</v>
      </c>
      <c r="N8" s="2" t="s">
        <v>140</v>
      </c>
      <c r="O8" s="2">
        <v>12</v>
      </c>
      <c r="P8" s="16">
        <f>D8</f>
        <v>106.58</v>
      </c>
      <c r="Q8" s="2"/>
      <c r="R8" s="16">
        <f>O8/O10*P8</f>
        <v>9.006760563380281</v>
      </c>
      <c r="T8" s="2" t="s">
        <v>140</v>
      </c>
      <c r="U8" s="2">
        <v>14</v>
      </c>
      <c r="V8" s="16">
        <f>D8</f>
        <v>106.58</v>
      </c>
      <c r="W8" s="2"/>
      <c r="X8" s="16">
        <f>U8/U10*V8</f>
        <v>10.361944444444445</v>
      </c>
      <c r="Z8" s="2" t="s">
        <v>140</v>
      </c>
      <c r="AA8" s="2">
        <v>10</v>
      </c>
      <c r="AB8" s="16">
        <f>D8</f>
        <v>106.58</v>
      </c>
      <c r="AC8" s="2"/>
      <c r="AD8" s="16">
        <f>AA8/AA10*AB8</f>
        <v>5.7610810810810813</v>
      </c>
      <c r="AF8" s="2" t="s">
        <v>140</v>
      </c>
      <c r="AG8" s="2">
        <v>10</v>
      </c>
      <c r="AH8" s="16">
        <f>D8</f>
        <v>106.58</v>
      </c>
      <c r="AI8" s="2"/>
      <c r="AJ8" s="16">
        <f>AG8/AG10*AH8</f>
        <v>11.842222222222221</v>
      </c>
    </row>
    <row r="9" spans="2:36" x14ac:dyDescent="0.25">
      <c r="B9" s="2"/>
      <c r="C9" s="2"/>
      <c r="D9" s="2"/>
      <c r="E9" s="2"/>
      <c r="F9" s="16"/>
      <c r="H9" s="2"/>
      <c r="I9" s="2"/>
      <c r="J9" s="2"/>
      <c r="K9" s="2"/>
      <c r="L9" s="16"/>
      <c r="N9" s="2"/>
      <c r="O9" s="2"/>
      <c r="P9" s="2"/>
      <c r="Q9" s="2"/>
      <c r="R9" s="16"/>
      <c r="T9" s="2"/>
      <c r="U9" s="2"/>
      <c r="V9" s="2"/>
      <c r="W9" s="2"/>
      <c r="X9" s="16"/>
      <c r="Z9" s="2"/>
      <c r="AA9" s="2"/>
      <c r="AB9" s="2"/>
      <c r="AC9" s="2"/>
      <c r="AD9" s="16"/>
      <c r="AF9" s="2"/>
      <c r="AG9" s="2"/>
      <c r="AH9" s="2"/>
      <c r="AI9" s="2"/>
      <c r="AJ9" s="16"/>
    </row>
    <row r="10" spans="2:36" x14ac:dyDescent="0.25">
      <c r="B10" s="2"/>
      <c r="C10" s="2">
        <f>C6+C8</f>
        <v>125</v>
      </c>
      <c r="D10" s="2"/>
      <c r="E10" s="2"/>
      <c r="F10" s="16">
        <f>F6+F8</f>
        <v>59.586400000000005</v>
      </c>
      <c r="H10" s="2"/>
      <c r="I10" s="2">
        <f>I6+I8</f>
        <v>140</v>
      </c>
      <c r="J10" s="2"/>
      <c r="K10" s="2"/>
      <c r="L10" s="16">
        <f>L6+L8</f>
        <v>63.32714285714286</v>
      </c>
      <c r="N10" s="2"/>
      <c r="O10" s="2">
        <f>O6+O8</f>
        <v>142</v>
      </c>
      <c r="P10" s="2"/>
      <c r="Q10" s="2"/>
      <c r="R10" s="16">
        <f>R6+R8</f>
        <v>63.936338028169018</v>
      </c>
      <c r="T10" s="2"/>
      <c r="U10" s="2">
        <f>U6+U8</f>
        <v>144</v>
      </c>
      <c r="V10" s="2"/>
      <c r="W10" s="2"/>
      <c r="X10" s="16">
        <f>X6+X8</f>
        <v>64.528611111111104</v>
      </c>
      <c r="Z10" s="2"/>
      <c r="AA10" s="2">
        <f>AA6+AA8</f>
        <v>185</v>
      </c>
      <c r="AB10" s="2"/>
      <c r="AC10" s="2"/>
      <c r="AD10" s="16">
        <f>AD6+AD8</f>
        <v>62.517837837837838</v>
      </c>
      <c r="AF10" s="2"/>
      <c r="AG10" s="2">
        <f>AG6+AG8</f>
        <v>90</v>
      </c>
      <c r="AH10" s="2"/>
      <c r="AI10" s="2"/>
      <c r="AJ10" s="16">
        <f>AJ6+AJ8</f>
        <v>66.50888888888889</v>
      </c>
    </row>
    <row r="11" spans="2:36" x14ac:dyDescent="0.25">
      <c r="B11" s="2"/>
      <c r="C11" s="2"/>
      <c r="D11" s="2"/>
      <c r="E11" s="2"/>
      <c r="F11" s="16"/>
      <c r="H11" s="2"/>
      <c r="I11" s="2"/>
      <c r="J11" s="2"/>
      <c r="K11" s="2"/>
      <c r="L11" s="16"/>
      <c r="N11" s="2"/>
      <c r="O11" s="2"/>
      <c r="P11" s="2"/>
      <c r="Q11" s="2"/>
      <c r="R11" s="16"/>
      <c r="T11" s="2"/>
      <c r="U11" s="2"/>
      <c r="V11" s="2"/>
      <c r="W11" s="2"/>
      <c r="X11" s="16"/>
      <c r="Z11" s="2"/>
      <c r="AA11" s="2"/>
      <c r="AB11" s="2"/>
      <c r="AC11" s="2"/>
      <c r="AD11" s="16"/>
      <c r="AF11" s="2"/>
      <c r="AG11" s="2"/>
      <c r="AH11" s="2"/>
      <c r="AI11" s="2"/>
      <c r="AJ11" s="16"/>
    </row>
    <row r="12" spans="2:36" x14ac:dyDescent="0.25">
      <c r="B12" s="2" t="s">
        <v>141</v>
      </c>
      <c r="C12" s="72">
        <v>0.05</v>
      </c>
      <c r="D12" s="2"/>
      <c r="E12" s="2"/>
      <c r="F12" s="16">
        <f>F10*C12</f>
        <v>2.9793200000000004</v>
      </c>
      <c r="H12" s="2" t="s">
        <v>141</v>
      </c>
      <c r="I12" s="72">
        <v>0.05</v>
      </c>
      <c r="J12" s="2"/>
      <c r="K12" s="2"/>
      <c r="L12" s="16">
        <f>L10*I12</f>
        <v>3.1663571428571431</v>
      </c>
      <c r="N12" s="2" t="s">
        <v>141</v>
      </c>
      <c r="O12" s="72">
        <v>0.05</v>
      </c>
      <c r="P12" s="2"/>
      <c r="Q12" s="2"/>
      <c r="R12" s="16">
        <f>R10*O12</f>
        <v>3.1968169014084511</v>
      </c>
      <c r="T12" s="2" t="s">
        <v>141</v>
      </c>
      <c r="U12" s="72">
        <v>0.05</v>
      </c>
      <c r="V12" s="2"/>
      <c r="W12" s="2"/>
      <c r="X12" s="16">
        <f>X10*U12</f>
        <v>3.2264305555555555</v>
      </c>
      <c r="Z12" s="2" t="s">
        <v>141</v>
      </c>
      <c r="AA12" s="72">
        <v>0.05</v>
      </c>
      <c r="AB12" s="2"/>
      <c r="AC12" s="2"/>
      <c r="AD12" s="16">
        <f>AD10*AA12</f>
        <v>3.1258918918918921</v>
      </c>
      <c r="AF12" s="2" t="s">
        <v>141</v>
      </c>
      <c r="AG12" s="72">
        <v>0.05</v>
      </c>
      <c r="AH12" s="2"/>
      <c r="AI12" s="2"/>
      <c r="AJ12" s="16">
        <f>AJ10*AG12</f>
        <v>3.3254444444444449</v>
      </c>
    </row>
    <row r="13" spans="2:36" x14ac:dyDescent="0.25">
      <c r="B13" s="2"/>
      <c r="C13" s="2"/>
      <c r="D13" s="2"/>
      <c r="E13" s="2"/>
      <c r="F13" s="2"/>
      <c r="H13" s="2"/>
      <c r="I13" s="2"/>
      <c r="J13" s="2"/>
      <c r="K13" s="2"/>
      <c r="L13" s="2"/>
      <c r="N13" s="2"/>
      <c r="O13" s="2"/>
      <c r="P13" s="2"/>
      <c r="Q13" s="2"/>
      <c r="R13" s="2"/>
      <c r="T13" s="2"/>
      <c r="U13" s="2"/>
      <c r="V13" s="2"/>
      <c r="W13" s="2"/>
      <c r="X13" s="2"/>
      <c r="Z13" s="2"/>
      <c r="AA13" s="2"/>
      <c r="AB13" s="2"/>
      <c r="AC13" s="2"/>
      <c r="AD13" s="2"/>
      <c r="AF13" s="2"/>
      <c r="AG13" s="2"/>
      <c r="AH13" s="2"/>
      <c r="AI13" s="2"/>
      <c r="AJ13" s="2"/>
    </row>
    <row r="14" spans="2:36" x14ac:dyDescent="0.25">
      <c r="B14" s="2"/>
      <c r="C14" s="2"/>
      <c r="D14" s="2"/>
      <c r="E14" s="2"/>
      <c r="F14" s="16">
        <f>F10+F12</f>
        <v>62.565720000000006</v>
      </c>
      <c r="H14" s="2"/>
      <c r="I14" s="2"/>
      <c r="J14" s="2"/>
      <c r="K14" s="2"/>
      <c r="L14" s="16">
        <f>L10+L12</f>
        <v>66.493499999999997</v>
      </c>
      <c r="N14" s="2"/>
      <c r="O14" s="2"/>
      <c r="P14" s="2"/>
      <c r="Q14" s="2"/>
      <c r="R14" s="16">
        <f>R10+R12</f>
        <v>67.133154929577472</v>
      </c>
      <c r="T14" s="2"/>
      <c r="U14" s="2"/>
      <c r="V14" s="2"/>
      <c r="W14" s="2"/>
      <c r="X14" s="16">
        <f>X10+X12</f>
        <v>67.755041666666656</v>
      </c>
      <c r="Z14" s="2"/>
      <c r="AA14" s="2"/>
      <c r="AB14" s="2"/>
      <c r="AC14" s="2"/>
      <c r="AD14" s="16">
        <f>AD10+AD12</f>
        <v>65.643729729729728</v>
      </c>
      <c r="AF14" s="2"/>
      <c r="AG14" s="2"/>
      <c r="AH14" s="2"/>
      <c r="AI14" s="2"/>
      <c r="AJ14" s="16">
        <f>AJ10+AJ12</f>
        <v>69.834333333333333</v>
      </c>
    </row>
    <row r="15" spans="2:36" x14ac:dyDescent="0.25">
      <c r="B15" s="2"/>
      <c r="C15" s="2"/>
      <c r="D15" s="2"/>
      <c r="E15" s="2"/>
      <c r="F15" s="2"/>
      <c r="H15" s="2"/>
      <c r="I15" s="2"/>
      <c r="J15" s="2"/>
      <c r="K15" s="2"/>
      <c r="L15" s="2"/>
      <c r="N15" s="2"/>
      <c r="O15" s="2"/>
      <c r="P15" s="2"/>
      <c r="Q15" s="2"/>
      <c r="R15" s="2"/>
      <c r="T15" s="2"/>
      <c r="U15" s="2"/>
      <c r="V15" s="2"/>
      <c r="W15" s="2"/>
      <c r="X15" s="2"/>
      <c r="Z15" s="2"/>
      <c r="AA15" s="2"/>
      <c r="AB15" s="2"/>
      <c r="AC15" s="2"/>
      <c r="AD15" s="2"/>
      <c r="AF15" s="2"/>
      <c r="AG15" s="2"/>
      <c r="AH15" s="2"/>
      <c r="AI15" s="2"/>
      <c r="AJ15" s="2"/>
    </row>
    <row r="16" spans="2:36" x14ac:dyDescent="0.25">
      <c r="B16" s="2" t="s">
        <v>142</v>
      </c>
      <c r="C16" s="2"/>
      <c r="D16" s="2"/>
      <c r="E16" s="2"/>
      <c r="F16" s="16">
        <v>0.5</v>
      </c>
      <c r="H16" s="2" t="s">
        <v>142</v>
      </c>
      <c r="I16" s="2"/>
      <c r="J16" s="2"/>
      <c r="K16" s="2"/>
      <c r="L16" s="16">
        <v>0.5</v>
      </c>
      <c r="N16" s="2" t="s">
        <v>142</v>
      </c>
      <c r="O16" s="2"/>
      <c r="P16" s="2"/>
      <c r="Q16" s="2"/>
      <c r="R16" s="16">
        <v>0.5</v>
      </c>
      <c r="T16" s="2" t="s">
        <v>142</v>
      </c>
      <c r="U16" s="2"/>
      <c r="V16" s="2"/>
      <c r="W16" s="2"/>
      <c r="X16" s="16">
        <v>0.5</v>
      </c>
      <c r="Z16" s="2" t="s">
        <v>142</v>
      </c>
      <c r="AA16" s="2"/>
      <c r="AB16" s="2"/>
      <c r="AC16" s="2"/>
      <c r="AD16" s="16">
        <v>0.5</v>
      </c>
      <c r="AF16" s="2" t="s">
        <v>142</v>
      </c>
      <c r="AG16" s="2"/>
      <c r="AH16" s="2"/>
      <c r="AI16" s="2"/>
      <c r="AJ16" s="16">
        <v>0.5</v>
      </c>
    </row>
    <row r="17" spans="2:36" x14ac:dyDescent="0.25">
      <c r="B17" s="2"/>
      <c r="C17" s="2"/>
      <c r="D17" s="2"/>
      <c r="E17" s="2"/>
      <c r="F17" s="2"/>
      <c r="H17" s="2"/>
      <c r="I17" s="2"/>
      <c r="J17" s="2"/>
      <c r="K17" s="2"/>
      <c r="L17" s="2"/>
      <c r="N17" s="2"/>
      <c r="O17" s="2"/>
      <c r="P17" s="2"/>
      <c r="Q17" s="2"/>
      <c r="R17" s="2"/>
      <c r="T17" s="2"/>
      <c r="U17" s="2"/>
      <c r="V17" s="2"/>
      <c r="W17" s="2"/>
      <c r="X17" s="2"/>
      <c r="Z17" s="2"/>
      <c r="AA17" s="2"/>
      <c r="AB17" s="2"/>
      <c r="AC17" s="2"/>
      <c r="AD17" s="2"/>
      <c r="AF17" s="2"/>
      <c r="AG17" s="2"/>
      <c r="AH17" s="2"/>
      <c r="AI17" s="2"/>
      <c r="AJ17" s="2"/>
    </row>
    <row r="18" spans="2:36" x14ac:dyDescent="0.25">
      <c r="B18" s="2" t="s">
        <v>143</v>
      </c>
      <c r="C18" s="72">
        <v>0.1</v>
      </c>
      <c r="D18" s="2"/>
      <c r="E18" s="2"/>
      <c r="F18" s="16">
        <f>F14*C18</f>
        <v>6.2565720000000011</v>
      </c>
      <c r="H18" s="2" t="s">
        <v>143</v>
      </c>
      <c r="I18" s="72">
        <v>0.1</v>
      </c>
      <c r="J18" s="2"/>
      <c r="K18" s="2"/>
      <c r="L18" s="16">
        <f>L14*I18</f>
        <v>6.6493500000000001</v>
      </c>
      <c r="N18" s="2" t="s">
        <v>143</v>
      </c>
      <c r="O18" s="72">
        <v>0.1</v>
      </c>
      <c r="P18" s="2"/>
      <c r="Q18" s="2"/>
      <c r="R18" s="16">
        <f>R14*O18</f>
        <v>6.7133154929577472</v>
      </c>
      <c r="T18" s="2" t="s">
        <v>143</v>
      </c>
      <c r="U18" s="72">
        <v>0.1</v>
      </c>
      <c r="V18" s="2"/>
      <c r="W18" s="2"/>
      <c r="X18" s="16">
        <f>X14*U18</f>
        <v>6.775504166666666</v>
      </c>
      <c r="Z18" s="2" t="s">
        <v>143</v>
      </c>
      <c r="AA18" s="72">
        <v>0.1</v>
      </c>
      <c r="AB18" s="2"/>
      <c r="AC18" s="2"/>
      <c r="AD18" s="16">
        <f>AD14*AA18</f>
        <v>6.564372972972973</v>
      </c>
      <c r="AF18" s="2" t="s">
        <v>143</v>
      </c>
      <c r="AG18" s="72">
        <v>0.1</v>
      </c>
      <c r="AH18" s="2"/>
      <c r="AI18" s="2"/>
      <c r="AJ18" s="16">
        <f>AJ14*AG18</f>
        <v>6.983433333333334</v>
      </c>
    </row>
    <row r="19" spans="2:36" x14ac:dyDescent="0.25">
      <c r="B19" s="2"/>
      <c r="C19" s="2"/>
      <c r="D19" s="2"/>
      <c r="E19" s="2"/>
      <c r="F19" s="2"/>
      <c r="H19" s="2"/>
      <c r="I19" s="2"/>
      <c r="J19" s="2"/>
      <c r="K19" s="2"/>
      <c r="L19" s="2"/>
      <c r="N19" s="2"/>
      <c r="O19" s="2"/>
      <c r="P19" s="2"/>
      <c r="Q19" s="2"/>
      <c r="R19" s="2"/>
      <c r="T19" s="2"/>
      <c r="U19" s="2"/>
      <c r="V19" s="2"/>
      <c r="W19" s="2"/>
      <c r="X19" s="2"/>
      <c r="Z19" s="2"/>
      <c r="AA19" s="2"/>
      <c r="AB19" s="2"/>
      <c r="AC19" s="2"/>
      <c r="AD19" s="2"/>
      <c r="AF19" s="2" t="s">
        <v>144</v>
      </c>
      <c r="AG19" s="2"/>
      <c r="AH19" s="2"/>
      <c r="AI19" s="2"/>
      <c r="AJ19" s="2">
        <v>1</v>
      </c>
    </row>
    <row r="20" spans="2:36" x14ac:dyDescent="0.25">
      <c r="B20" s="2" t="s">
        <v>145</v>
      </c>
      <c r="C20" s="2"/>
      <c r="D20" s="2"/>
      <c r="E20" s="2"/>
      <c r="F20" s="16">
        <f>SUM(F14:F19)</f>
        <v>69.322292000000004</v>
      </c>
      <c r="H20" s="2" t="s">
        <v>145</v>
      </c>
      <c r="I20" s="2"/>
      <c r="J20" s="2"/>
      <c r="K20" s="2"/>
      <c r="L20" s="16">
        <f>SUM(L14:L19)</f>
        <v>73.642849999999996</v>
      </c>
      <c r="N20" s="2" t="s">
        <v>145</v>
      </c>
      <c r="O20" s="2"/>
      <c r="P20" s="2"/>
      <c r="Q20" s="2"/>
      <c r="R20" s="16">
        <f>SUM(R14:R19)</f>
        <v>74.346470422535219</v>
      </c>
      <c r="T20" s="2" t="s">
        <v>145</v>
      </c>
      <c r="U20" s="2"/>
      <c r="V20" s="2"/>
      <c r="W20" s="2"/>
      <c r="X20" s="16">
        <f>SUM(X14:X19)</f>
        <v>75.030545833333321</v>
      </c>
      <c r="Z20" s="2" t="s">
        <v>145</v>
      </c>
      <c r="AA20" s="2"/>
      <c r="AB20" s="2"/>
      <c r="AC20" s="2"/>
      <c r="AD20" s="16">
        <f>SUM(AD14:AD19)</f>
        <v>72.708102702702703</v>
      </c>
      <c r="AF20" s="2" t="s">
        <v>145</v>
      </c>
      <c r="AG20" s="2"/>
      <c r="AH20" s="2"/>
      <c r="AI20" s="2"/>
      <c r="AJ20" s="16">
        <f>SUM(AJ14:AJ19)</f>
        <v>78.317766666666671</v>
      </c>
    </row>
    <row r="21" spans="2:36" x14ac:dyDescent="0.25">
      <c r="N21" s="73"/>
      <c r="O21" s="73"/>
      <c r="P21" s="73"/>
      <c r="Q21" s="73"/>
      <c r="R21" s="74"/>
    </row>
    <row r="22" spans="2:36" x14ac:dyDescent="0.25">
      <c r="B22">
        <v>6.4</v>
      </c>
    </row>
    <row r="23" spans="2:36" x14ac:dyDescent="0.25">
      <c r="D23" s="99" t="s">
        <v>146</v>
      </c>
      <c r="E23" s="2"/>
      <c r="F23" s="2" t="s">
        <v>147</v>
      </c>
      <c r="G23" s="242" t="s">
        <v>148</v>
      </c>
      <c r="H23" s="242"/>
      <c r="I23" s="242"/>
      <c r="J23" s="242"/>
      <c r="K23" s="242"/>
      <c r="L23" s="242"/>
      <c r="M23" s="99"/>
      <c r="N23" s="242" t="s">
        <v>149</v>
      </c>
      <c r="O23" s="243"/>
      <c r="P23" s="243"/>
      <c r="Q23" s="243"/>
      <c r="R23" s="4"/>
      <c r="S23" s="4"/>
      <c r="T23" s="4"/>
      <c r="X23" s="197"/>
      <c r="Y23" s="245" t="s">
        <v>325</v>
      </c>
      <c r="Z23" s="245"/>
      <c r="AA23" s="245" t="s">
        <v>326</v>
      </c>
      <c r="AB23" s="245"/>
    </row>
    <row r="24" spans="2:36" x14ac:dyDescent="0.25">
      <c r="D24" s="4"/>
      <c r="E24" s="2"/>
      <c r="F24" s="101" t="s">
        <v>150</v>
      </c>
      <c r="G24" s="102" t="s">
        <v>25</v>
      </c>
      <c r="H24" s="102" t="s">
        <v>83</v>
      </c>
      <c r="I24" s="102" t="s">
        <v>151</v>
      </c>
      <c r="J24" s="102" t="s">
        <v>80</v>
      </c>
      <c r="K24" s="102" t="s">
        <v>27</v>
      </c>
      <c r="L24" s="103" t="s">
        <v>152</v>
      </c>
      <c r="M24" s="102" t="s">
        <v>153</v>
      </c>
      <c r="N24" s="4" t="s">
        <v>154</v>
      </c>
      <c r="O24" s="4" t="s">
        <v>155</v>
      </c>
      <c r="P24" s="102" t="s">
        <v>156</v>
      </c>
      <c r="Q24" s="102" t="s">
        <v>157</v>
      </c>
      <c r="R24" s="4" t="s">
        <v>158</v>
      </c>
      <c r="S24" s="104" t="s">
        <v>159</v>
      </c>
      <c r="T24" s="4"/>
      <c r="X24" s="198"/>
      <c r="Y24" s="199" t="s">
        <v>327</v>
      </c>
      <c r="Z24" s="199" t="s">
        <v>328</v>
      </c>
      <c r="AA24" s="199" t="s">
        <v>327</v>
      </c>
      <c r="AB24" s="199" t="s">
        <v>328</v>
      </c>
      <c r="AG24" s="77" t="s">
        <v>329</v>
      </c>
    </row>
    <row r="25" spans="2:36" x14ac:dyDescent="0.25">
      <c r="D25" s="102"/>
      <c r="E25" s="2"/>
      <c r="F25" s="2"/>
      <c r="G25" s="4"/>
      <c r="H25" s="105">
        <v>0.125</v>
      </c>
      <c r="I25" s="4"/>
      <c r="J25" s="4"/>
      <c r="K25" s="106">
        <v>0.02</v>
      </c>
      <c r="L25" s="4"/>
      <c r="M25" s="4"/>
      <c r="N25" s="4"/>
      <c r="O25" s="4"/>
      <c r="P25" s="4"/>
      <c r="Q25" s="4"/>
      <c r="R25" s="4"/>
      <c r="S25" s="4"/>
      <c r="T25" s="4"/>
      <c r="X25" s="200" t="s">
        <v>330</v>
      </c>
      <c r="Y25" s="201">
        <v>115</v>
      </c>
      <c r="Z25" s="201">
        <v>130</v>
      </c>
      <c r="AA25" s="201">
        <v>115</v>
      </c>
      <c r="AB25" s="201">
        <v>130</v>
      </c>
    </row>
    <row r="26" spans="2:36" x14ac:dyDescent="0.25">
      <c r="D26" s="102" t="s">
        <v>160</v>
      </c>
      <c r="E26" s="2"/>
      <c r="F26" s="2"/>
      <c r="G26" s="4">
        <v>112.65</v>
      </c>
      <c r="H26" s="4">
        <f t="shared" ref="H26:H41" si="0">G26*$H$25</f>
        <v>14.081250000000001</v>
      </c>
      <c r="I26" s="4">
        <v>0.35</v>
      </c>
      <c r="J26" s="4">
        <v>1.1000000000000001</v>
      </c>
      <c r="K26" s="4">
        <f t="shared" ref="K26:K41" si="1">(G26+H26)*$K$25</f>
        <v>2.5346250000000001</v>
      </c>
      <c r="L26" s="15">
        <f t="shared" ref="L26:L41" si="2">G26+H26+I26-J26+K26</f>
        <v>128.51587499999999</v>
      </c>
      <c r="M26" s="4"/>
      <c r="N26" s="4">
        <v>76.13</v>
      </c>
      <c r="O26" s="4">
        <v>75.45</v>
      </c>
      <c r="P26" s="4">
        <v>76.489999999999995</v>
      </c>
      <c r="Q26" s="4">
        <v>77.5</v>
      </c>
      <c r="R26" s="4">
        <v>74.08</v>
      </c>
      <c r="S26" s="4"/>
      <c r="T26" s="102"/>
      <c r="X26" s="202" t="s">
        <v>331</v>
      </c>
      <c r="Y26" s="203">
        <v>10</v>
      </c>
      <c r="Z26" s="203">
        <v>10</v>
      </c>
      <c r="AA26" s="203">
        <v>10</v>
      </c>
      <c r="AB26" s="203">
        <v>10</v>
      </c>
      <c r="AG26" t="s">
        <v>332</v>
      </c>
      <c r="AH26">
        <v>102.73</v>
      </c>
    </row>
    <row r="27" spans="2:36" x14ac:dyDescent="0.25">
      <c r="D27" s="102" t="s">
        <v>161</v>
      </c>
      <c r="E27" s="2"/>
      <c r="F27" s="2"/>
      <c r="G27" s="4">
        <v>102.85</v>
      </c>
      <c r="H27" s="4">
        <f t="shared" si="0"/>
        <v>12.856249999999999</v>
      </c>
      <c r="I27" s="4">
        <v>0.35</v>
      </c>
      <c r="J27" s="4">
        <v>1.1000000000000001</v>
      </c>
      <c r="K27" s="4">
        <f t="shared" si="1"/>
        <v>2.3141250000000002</v>
      </c>
      <c r="L27" s="15">
        <f t="shared" si="2"/>
        <v>117.270375</v>
      </c>
      <c r="M27" s="4"/>
      <c r="N27" s="15">
        <v>75.09174800000001</v>
      </c>
      <c r="O27" s="15">
        <v>74.524774999999991</v>
      </c>
      <c r="P27" s="15">
        <v>75.39</v>
      </c>
      <c r="Q27" s="15">
        <v>76.25</v>
      </c>
      <c r="R27" s="15">
        <v>73.375505405405406</v>
      </c>
      <c r="S27" s="4"/>
      <c r="T27" s="4"/>
      <c r="X27" s="202" t="s">
        <v>333</v>
      </c>
      <c r="Y27" s="203">
        <v>5</v>
      </c>
      <c r="Z27" s="203">
        <v>5</v>
      </c>
      <c r="AA27" s="203">
        <v>5</v>
      </c>
      <c r="AB27" s="203">
        <v>5</v>
      </c>
      <c r="AG27" s="204">
        <v>0.125</v>
      </c>
      <c r="AH27">
        <f>AH26*AG27</f>
        <v>12.84125</v>
      </c>
    </row>
    <row r="28" spans="2:36" x14ac:dyDescent="0.25">
      <c r="D28" s="102" t="s">
        <v>162</v>
      </c>
      <c r="E28" s="2"/>
      <c r="F28" s="2"/>
      <c r="G28" s="4">
        <v>100.85</v>
      </c>
      <c r="H28" s="4">
        <f t="shared" si="0"/>
        <v>12.606249999999999</v>
      </c>
      <c r="I28" s="4">
        <v>0.35</v>
      </c>
      <c r="J28" s="4">
        <v>1.1000000000000001</v>
      </c>
      <c r="K28" s="4">
        <f t="shared" si="1"/>
        <v>2.2691249999999998</v>
      </c>
      <c r="L28" s="15">
        <f t="shared" si="2"/>
        <v>114.975375</v>
      </c>
      <c r="M28" s="4"/>
      <c r="N28" s="15">
        <v>74.88</v>
      </c>
      <c r="O28" s="15">
        <v>74.430000000000007</v>
      </c>
      <c r="P28" s="15">
        <v>75.17</v>
      </c>
      <c r="Q28" s="15">
        <v>76</v>
      </c>
      <c r="R28" s="15">
        <v>73.23</v>
      </c>
      <c r="S28" s="4"/>
      <c r="T28" s="4"/>
      <c r="X28" s="202" t="s">
        <v>334</v>
      </c>
      <c r="Y28" s="203">
        <v>5</v>
      </c>
      <c r="Z28" s="203">
        <v>5</v>
      </c>
      <c r="AA28" s="203">
        <v>5</v>
      </c>
      <c r="AB28" s="203">
        <v>5</v>
      </c>
      <c r="AG28" s="151"/>
      <c r="AH28">
        <v>1</v>
      </c>
    </row>
    <row r="29" spans="2:36" x14ac:dyDescent="0.25">
      <c r="D29" s="102" t="s">
        <v>163</v>
      </c>
      <c r="E29" s="2"/>
      <c r="F29" s="107">
        <v>42248</v>
      </c>
      <c r="G29" s="4">
        <v>98.43</v>
      </c>
      <c r="H29" s="4">
        <f t="shared" si="0"/>
        <v>12.303750000000001</v>
      </c>
      <c r="I29" s="4">
        <v>0.35</v>
      </c>
      <c r="J29" s="4">
        <v>1.1000000000000001</v>
      </c>
      <c r="K29" s="4">
        <f t="shared" si="1"/>
        <v>2.2146750000000002</v>
      </c>
      <c r="L29" s="15">
        <f t="shared" si="2"/>
        <v>112.19842500000001</v>
      </c>
      <c r="M29" s="4">
        <v>112.2</v>
      </c>
      <c r="N29" s="15">
        <v>74.599999999999994</v>
      </c>
      <c r="O29" s="15">
        <v>74.099999999999994</v>
      </c>
      <c r="P29" s="15">
        <v>74.900000000000006</v>
      </c>
      <c r="Q29" s="15">
        <v>75.66</v>
      </c>
      <c r="R29" s="15">
        <v>73.05</v>
      </c>
      <c r="S29" s="4"/>
      <c r="T29" s="102"/>
      <c r="X29" s="202" t="s">
        <v>335</v>
      </c>
      <c r="Y29" s="205">
        <v>52</v>
      </c>
      <c r="Z29" s="205">
        <v>52</v>
      </c>
      <c r="AA29" s="205">
        <v>52</v>
      </c>
      <c r="AB29" s="205">
        <v>52</v>
      </c>
      <c r="AH29">
        <f>AH26+AH27+AH28</f>
        <v>116.57125000000001</v>
      </c>
    </row>
    <row r="30" spans="2:36" x14ac:dyDescent="0.25">
      <c r="D30" s="108">
        <v>42278</v>
      </c>
      <c r="E30" s="2"/>
      <c r="F30" s="24">
        <v>42248</v>
      </c>
      <c r="G30" s="4">
        <v>98.43</v>
      </c>
      <c r="H30" s="4">
        <f t="shared" si="0"/>
        <v>12.303750000000001</v>
      </c>
      <c r="I30" s="4">
        <v>0.35</v>
      </c>
      <c r="J30" s="4">
        <v>1.1000000000000001</v>
      </c>
      <c r="K30" s="4">
        <f t="shared" si="1"/>
        <v>2.2146750000000002</v>
      </c>
      <c r="L30" s="15">
        <f t="shared" si="2"/>
        <v>112.19842500000001</v>
      </c>
      <c r="M30" s="4">
        <v>112.2</v>
      </c>
      <c r="N30" s="15">
        <v>74.599999999999994</v>
      </c>
      <c r="O30" s="15">
        <v>74.099999999999994</v>
      </c>
      <c r="P30" s="15">
        <v>74.900000000000006</v>
      </c>
      <c r="Q30" s="15">
        <v>75.66</v>
      </c>
      <c r="R30" s="15">
        <v>73.05</v>
      </c>
      <c r="S30" s="4"/>
      <c r="T30" s="4"/>
      <c r="X30" s="202" t="s">
        <v>336</v>
      </c>
      <c r="Y30" s="205">
        <v>104.95</v>
      </c>
      <c r="Z30" s="205">
        <f>Y30</f>
        <v>104.95</v>
      </c>
      <c r="AA30" s="205">
        <f>Y30</f>
        <v>104.95</v>
      </c>
      <c r="AB30" s="205">
        <f>Y30</f>
        <v>104.95</v>
      </c>
      <c r="AG30" s="151">
        <v>0.02</v>
      </c>
      <c r="AH30">
        <f>(AH26+AH27)*AG30</f>
        <v>2.3114250000000003</v>
      </c>
    </row>
    <row r="31" spans="2:36" x14ac:dyDescent="0.25">
      <c r="D31" s="108">
        <v>42309</v>
      </c>
      <c r="E31" s="2"/>
      <c r="F31" s="24">
        <v>42278</v>
      </c>
      <c r="G31" s="4">
        <v>101.43</v>
      </c>
      <c r="H31" s="4">
        <f t="shared" si="0"/>
        <v>12.678750000000001</v>
      </c>
      <c r="I31" s="4">
        <v>0.35</v>
      </c>
      <c r="J31" s="4">
        <v>1.1000000000000001</v>
      </c>
      <c r="K31" s="4">
        <f t="shared" si="1"/>
        <v>2.2821750000000005</v>
      </c>
      <c r="L31" s="15">
        <f t="shared" si="2"/>
        <v>115.64092500000001</v>
      </c>
      <c r="M31" s="4">
        <v>115</v>
      </c>
      <c r="N31" s="15">
        <v>74.900000000000006</v>
      </c>
      <c r="O31" s="15">
        <v>74.349999999999994</v>
      </c>
      <c r="P31" s="15">
        <v>75.2</v>
      </c>
      <c r="Q31" s="2">
        <v>76</v>
      </c>
      <c r="R31" s="109">
        <v>73.25</v>
      </c>
      <c r="S31" s="4"/>
      <c r="T31" s="102" t="s">
        <v>164</v>
      </c>
      <c r="X31" s="202" t="s">
        <v>337</v>
      </c>
      <c r="Y31" s="203">
        <v>4.25</v>
      </c>
      <c r="Z31" s="203">
        <v>4.25</v>
      </c>
      <c r="AA31" s="203">
        <v>4.25</v>
      </c>
      <c r="AB31" s="203">
        <v>4.25</v>
      </c>
      <c r="AH31">
        <f>AH26+AH30+AH28</f>
        <v>106.041425</v>
      </c>
    </row>
    <row r="32" spans="2:36" x14ac:dyDescent="0.25">
      <c r="D32" s="108">
        <v>42339</v>
      </c>
      <c r="E32" s="2"/>
      <c r="F32" s="24">
        <v>42309</v>
      </c>
      <c r="G32" s="4">
        <v>98.49</v>
      </c>
      <c r="H32" s="4">
        <f t="shared" si="0"/>
        <v>12.311249999999999</v>
      </c>
      <c r="I32" s="4">
        <v>0.35</v>
      </c>
      <c r="J32" s="4">
        <v>1.1000000000000001</v>
      </c>
      <c r="K32" s="4">
        <f t="shared" si="1"/>
        <v>2.2160250000000001</v>
      </c>
      <c r="L32" s="15">
        <f t="shared" si="2"/>
        <v>112.267275</v>
      </c>
      <c r="M32" s="4"/>
      <c r="N32" s="15">
        <v>74.63</v>
      </c>
      <c r="O32" s="15">
        <v>74.099999999999994</v>
      </c>
      <c r="P32" s="15">
        <v>74.900000000000006</v>
      </c>
      <c r="Q32" s="2">
        <v>75.67</v>
      </c>
      <c r="R32" s="2">
        <v>73.06</v>
      </c>
      <c r="S32" s="4"/>
      <c r="T32" s="4" t="s">
        <v>165</v>
      </c>
      <c r="X32" s="202" t="s">
        <v>338</v>
      </c>
      <c r="Y32" s="203">
        <v>0</v>
      </c>
      <c r="Z32" s="203">
        <v>0</v>
      </c>
      <c r="AA32" s="203">
        <v>0</v>
      </c>
      <c r="AB32" s="203">
        <v>0</v>
      </c>
      <c r="AG32" t="s">
        <v>80</v>
      </c>
      <c r="AH32">
        <v>1.1000000000000001</v>
      </c>
    </row>
    <row r="33" spans="4:39" x14ac:dyDescent="0.25">
      <c r="D33" s="108">
        <v>42370</v>
      </c>
      <c r="E33" s="2"/>
      <c r="F33" s="24">
        <v>42339</v>
      </c>
      <c r="G33" s="4">
        <v>93.49</v>
      </c>
      <c r="H33" s="4">
        <f t="shared" si="0"/>
        <v>11.686249999999999</v>
      </c>
      <c r="I33" s="4">
        <v>0.35</v>
      </c>
      <c r="J33" s="4">
        <v>1.1000000000000001</v>
      </c>
      <c r="K33" s="4">
        <f t="shared" si="1"/>
        <v>2.1035249999999999</v>
      </c>
      <c r="L33" s="15">
        <f t="shared" si="2"/>
        <v>106.529775</v>
      </c>
      <c r="M33" s="4"/>
      <c r="N33" s="15">
        <v>74.099999999999994</v>
      </c>
      <c r="O33" s="15">
        <v>73.63</v>
      </c>
      <c r="P33" s="15">
        <v>74.34</v>
      </c>
      <c r="Q33" s="4">
        <v>75.02</v>
      </c>
      <c r="R33" s="4">
        <v>72.7</v>
      </c>
      <c r="S33" s="4">
        <v>78.31</v>
      </c>
      <c r="T33" s="4"/>
      <c r="X33" s="202" t="s">
        <v>339</v>
      </c>
      <c r="Y33" s="203">
        <v>0</v>
      </c>
      <c r="Z33" s="203">
        <v>0</v>
      </c>
      <c r="AA33" s="203">
        <v>0</v>
      </c>
      <c r="AB33" s="203">
        <v>0</v>
      </c>
      <c r="AH33">
        <f>AH31-AH32</f>
        <v>104.94142500000001</v>
      </c>
    </row>
    <row r="34" spans="4:39" x14ac:dyDescent="0.25">
      <c r="D34" s="108">
        <v>42401</v>
      </c>
      <c r="E34" s="2"/>
      <c r="F34" s="24">
        <v>42370</v>
      </c>
      <c r="G34" s="4">
        <v>91.49</v>
      </c>
      <c r="H34" s="4">
        <f t="shared" si="0"/>
        <v>11.436249999999999</v>
      </c>
      <c r="I34" s="4">
        <v>0.35</v>
      </c>
      <c r="J34" s="4">
        <v>1.1000000000000001</v>
      </c>
      <c r="K34" s="4">
        <f t="shared" si="1"/>
        <v>2.0585249999999999</v>
      </c>
      <c r="L34" s="15">
        <f t="shared" si="2"/>
        <v>104.234775</v>
      </c>
      <c r="M34" s="4"/>
      <c r="N34" s="15">
        <v>73.89</v>
      </c>
      <c r="O34" s="15">
        <v>73.45</v>
      </c>
      <c r="P34" s="15">
        <v>74.12</v>
      </c>
      <c r="Q34" s="4">
        <v>74.77</v>
      </c>
      <c r="R34" s="4">
        <v>72.56</v>
      </c>
      <c r="S34" s="4">
        <v>78</v>
      </c>
      <c r="T34" s="4"/>
      <c r="X34" s="202" t="s">
        <v>340</v>
      </c>
      <c r="Y34" s="203">
        <v>1000</v>
      </c>
      <c r="Z34" s="203">
        <v>1000</v>
      </c>
      <c r="AA34" s="203">
        <v>1000</v>
      </c>
      <c r="AB34" s="203">
        <v>1000</v>
      </c>
      <c r="AH34">
        <f>AH33-AH30</f>
        <v>102.63000000000001</v>
      </c>
    </row>
    <row r="35" spans="4:39" x14ac:dyDescent="0.25">
      <c r="D35" s="108">
        <v>42430</v>
      </c>
      <c r="E35" s="2"/>
      <c r="F35" s="108">
        <v>42401</v>
      </c>
      <c r="G35" s="4">
        <v>94.49</v>
      </c>
      <c r="H35" s="4">
        <f t="shared" si="0"/>
        <v>11.811249999999999</v>
      </c>
      <c r="I35" s="4">
        <v>0.35</v>
      </c>
      <c r="J35" s="4">
        <v>1.1000000000000001</v>
      </c>
      <c r="K35" s="4">
        <f t="shared" si="1"/>
        <v>2.1260249999999998</v>
      </c>
      <c r="L35" s="15">
        <f t="shared" si="2"/>
        <v>107.67727499999999</v>
      </c>
      <c r="M35" s="4"/>
      <c r="N35" s="15">
        <v>74.2</v>
      </c>
      <c r="O35" s="15">
        <v>73.75</v>
      </c>
      <c r="P35" s="15">
        <v>74.45</v>
      </c>
      <c r="Q35" s="4">
        <v>75.150000000000006</v>
      </c>
      <c r="R35" s="4">
        <v>72.8</v>
      </c>
      <c r="S35" s="4">
        <v>78.45</v>
      </c>
      <c r="T35" s="4"/>
      <c r="X35" s="206" t="s">
        <v>341</v>
      </c>
      <c r="Y35" s="203">
        <f>Y25+Y26</f>
        <v>125</v>
      </c>
      <c r="Z35" s="203">
        <f>Z25+Z26</f>
        <v>140</v>
      </c>
      <c r="AA35" s="203">
        <f>AA25+AA26</f>
        <v>125</v>
      </c>
      <c r="AB35" s="203">
        <f>AB25+AB26</f>
        <v>140</v>
      </c>
    </row>
    <row r="36" spans="4:39" x14ac:dyDescent="0.25">
      <c r="D36" s="108">
        <v>42461</v>
      </c>
      <c r="E36" s="2"/>
      <c r="F36" s="108">
        <v>42430</v>
      </c>
      <c r="G36" s="4">
        <v>100.49</v>
      </c>
      <c r="H36" s="4">
        <f t="shared" si="0"/>
        <v>12.561249999999999</v>
      </c>
      <c r="I36" s="4">
        <v>0.35</v>
      </c>
      <c r="J36" s="4">
        <v>1.1000000000000001</v>
      </c>
      <c r="K36" s="4">
        <f t="shared" si="1"/>
        <v>2.2610250000000001</v>
      </c>
      <c r="L36" s="15">
        <f t="shared" si="2"/>
        <v>114.562275</v>
      </c>
      <c r="M36" s="4"/>
      <c r="N36" s="15">
        <v>74.849999999999994</v>
      </c>
      <c r="O36" s="15">
        <v>74.3</v>
      </c>
      <c r="P36" s="15">
        <v>75.150000000000006</v>
      </c>
      <c r="Q36" s="4">
        <v>75.95</v>
      </c>
      <c r="R36" s="4">
        <v>73.2</v>
      </c>
      <c r="S36" s="4">
        <v>79.349999999999994</v>
      </c>
      <c r="T36" s="4"/>
      <c r="X36" s="202" t="s">
        <v>342</v>
      </c>
      <c r="Y36" s="205">
        <f>Y34*1000/Y35</f>
        <v>8000</v>
      </c>
      <c r="Z36" s="203">
        <f>Z34*1000/Z35</f>
        <v>7142.8571428571431</v>
      </c>
      <c r="AA36" s="203">
        <f>AA34*1000/AA35</f>
        <v>8000</v>
      </c>
      <c r="AB36" s="203">
        <f>AB34*1000/AB35</f>
        <v>7142.8571428571431</v>
      </c>
    </row>
    <row r="37" spans="4:39" x14ac:dyDescent="0.25">
      <c r="D37" s="108">
        <v>42491</v>
      </c>
      <c r="E37" s="2"/>
      <c r="F37" s="108">
        <v>42461</v>
      </c>
      <c r="G37" s="4">
        <v>106.49</v>
      </c>
      <c r="H37" s="4">
        <f t="shared" si="0"/>
        <v>13.311249999999999</v>
      </c>
      <c r="I37" s="4">
        <v>0.35</v>
      </c>
      <c r="J37" s="4">
        <v>1.1000000000000001</v>
      </c>
      <c r="K37" s="4">
        <f t="shared" si="1"/>
        <v>2.3960249999999998</v>
      </c>
      <c r="L37" s="15">
        <f t="shared" si="2"/>
        <v>121.44727499999999</v>
      </c>
      <c r="M37" s="4"/>
      <c r="N37" s="15">
        <v>75.48</v>
      </c>
      <c r="O37" s="15">
        <v>74.87</v>
      </c>
      <c r="P37" s="15">
        <v>75.8</v>
      </c>
      <c r="Q37" s="2">
        <v>76.7</v>
      </c>
      <c r="R37" s="2">
        <v>73.64</v>
      </c>
      <c r="S37" s="4">
        <v>80.23</v>
      </c>
      <c r="T37" s="4"/>
      <c r="X37" s="202" t="s">
        <v>343</v>
      </c>
      <c r="Y37" s="203">
        <f>Y25*Y36/1000+Y25*Y36/1000*Y27/100</f>
        <v>966</v>
      </c>
      <c r="Z37" s="203">
        <f>Z25*Z36/1000+Z25*Z36/1000*Z27/100</f>
        <v>975.00000000000011</v>
      </c>
      <c r="AA37" s="203">
        <f>AA25*AA36/1000+AA25*AA36/1000*AA27/100</f>
        <v>966</v>
      </c>
      <c r="AB37" s="203">
        <f>AB25*AB36/1000+AB25*AB36/1000*AB27/100</f>
        <v>975.00000000000011</v>
      </c>
    </row>
    <row r="38" spans="4:39" x14ac:dyDescent="0.25">
      <c r="D38" s="108">
        <v>42522</v>
      </c>
      <c r="E38" s="2"/>
      <c r="F38" s="108">
        <v>42491</v>
      </c>
      <c r="G38" s="4">
        <v>102.49</v>
      </c>
      <c r="H38" s="4">
        <f t="shared" si="0"/>
        <v>12.811249999999999</v>
      </c>
      <c r="I38" s="4">
        <v>0.35</v>
      </c>
      <c r="J38" s="4">
        <v>1.1000000000000001</v>
      </c>
      <c r="K38" s="4">
        <f t="shared" si="1"/>
        <v>2.306025</v>
      </c>
      <c r="L38" s="15">
        <f t="shared" si="2"/>
        <v>116.857275</v>
      </c>
      <c r="M38" s="4"/>
      <c r="N38" s="15">
        <v>75.05</v>
      </c>
      <c r="O38" s="15">
        <v>74.5</v>
      </c>
      <c r="P38" s="15">
        <v>75.349999999999994</v>
      </c>
      <c r="Q38" s="2">
        <v>76.2</v>
      </c>
      <c r="R38" s="2">
        <v>73.349999999999994</v>
      </c>
      <c r="S38" s="4">
        <v>79.650000000000006</v>
      </c>
      <c r="T38" s="4"/>
      <c r="X38" s="202" t="s">
        <v>344</v>
      </c>
      <c r="Y38" s="203">
        <f>Y26*Y36/1000+Y26*Y36/1000*Y28/100</f>
        <v>84</v>
      </c>
      <c r="Z38" s="203">
        <f>Z26*Z36/1000+Z26*Z36/1000*Z28/100</f>
        <v>75</v>
      </c>
      <c r="AA38" s="203">
        <f>AA26*AA36/1000+AA26*AA36/1000*AA28/100</f>
        <v>84</v>
      </c>
      <c r="AB38" s="203">
        <f>AB26*AB36/1000+AB26*AB36/1000*AB28/100</f>
        <v>75</v>
      </c>
    </row>
    <row r="39" spans="4:39" x14ac:dyDescent="0.25">
      <c r="D39" s="108">
        <v>42552</v>
      </c>
      <c r="E39" s="2"/>
      <c r="F39" s="108">
        <v>42522</v>
      </c>
      <c r="G39" s="4">
        <v>100.49</v>
      </c>
      <c r="H39" s="4">
        <f t="shared" si="0"/>
        <v>12.561249999999999</v>
      </c>
      <c r="I39" s="4">
        <v>0.35</v>
      </c>
      <c r="J39" s="4">
        <v>1.1000000000000001</v>
      </c>
      <c r="K39" s="4">
        <f t="shared" si="1"/>
        <v>2.2610250000000001</v>
      </c>
      <c r="L39" s="15">
        <f t="shared" si="2"/>
        <v>114.562275</v>
      </c>
      <c r="M39" s="4"/>
      <c r="N39" s="15">
        <v>74.849999999999994</v>
      </c>
      <c r="O39" s="15">
        <v>74.3</v>
      </c>
      <c r="P39" s="15">
        <v>75.150000000000006</v>
      </c>
      <c r="Q39" s="2">
        <v>75.95</v>
      </c>
      <c r="R39" s="2">
        <v>73.2</v>
      </c>
      <c r="S39" s="4">
        <v>79.349999999999994</v>
      </c>
      <c r="T39" s="4"/>
      <c r="X39" s="207"/>
      <c r="Y39" s="208"/>
      <c r="Z39" s="208"/>
      <c r="AA39" s="208"/>
      <c r="AB39" s="208"/>
    </row>
    <row r="40" spans="4:39" x14ac:dyDescent="0.25">
      <c r="D40" s="108">
        <v>42583</v>
      </c>
      <c r="E40" s="2"/>
      <c r="F40" s="108">
        <v>42552</v>
      </c>
      <c r="G40" s="2">
        <v>103.82</v>
      </c>
      <c r="H40" s="2">
        <f t="shared" si="0"/>
        <v>12.977499999999999</v>
      </c>
      <c r="I40" s="4">
        <v>0.35</v>
      </c>
      <c r="J40" s="4">
        <v>1.1000000000000001</v>
      </c>
      <c r="K40" s="2">
        <f t="shared" si="1"/>
        <v>2.33595</v>
      </c>
      <c r="L40" s="15">
        <f t="shared" si="2"/>
        <v>118.38344999999998</v>
      </c>
      <c r="M40" s="2"/>
      <c r="N40" s="15">
        <v>75.2</v>
      </c>
      <c r="O40" s="15">
        <v>74.599999999999994</v>
      </c>
      <c r="P40" s="15">
        <v>75.5</v>
      </c>
      <c r="Q40" s="2">
        <v>76.349999999999994</v>
      </c>
      <c r="R40" s="2">
        <v>73.45</v>
      </c>
      <c r="S40" s="4">
        <v>79.849999999999994</v>
      </c>
      <c r="T40" s="4"/>
      <c r="X40" s="209" t="s">
        <v>345</v>
      </c>
      <c r="Y40" s="210">
        <f>((Y37*Y29+Y38*Y30+Y31*Y34)/Y34)+((Y37*Y29+Y38*Y30+Y31*Y34)/Y34)*Y33/100+Y32</f>
        <v>63.297800000000002</v>
      </c>
      <c r="Z40" s="210">
        <f>((Z37*Z29+Z38*Z30+Z31*Z34)/Z34)+((Z37*Z29+Z38*Z30+Z31*Z34)/Z34)*Z33/100+Z32</f>
        <v>62.821250000000006</v>
      </c>
      <c r="AA40" s="210">
        <f>((AA37*AA29+AA38*AA30+AA31*AA34)/AA34)+((AA37*AA29+AA38*AA30+AA31*AA34)/AA34)*AA33/100+AA32</f>
        <v>63.297800000000002</v>
      </c>
      <c r="AB40" s="210">
        <f>((AB37*AB29+AB38*AB30+AB31*AB34)/AB34)+((AB37*AB29+AB38*AB30+AB31*AB34)/AB34)*AB33/100+AB32</f>
        <v>62.821250000000006</v>
      </c>
      <c r="AD40" s="210" t="s">
        <v>346</v>
      </c>
    </row>
    <row r="41" spans="4:39" x14ac:dyDescent="0.25">
      <c r="D41" s="108">
        <v>42614</v>
      </c>
      <c r="E41" s="2"/>
      <c r="F41" s="108">
        <v>42583</v>
      </c>
      <c r="G41" s="2">
        <v>105.32</v>
      </c>
      <c r="H41" s="2">
        <f t="shared" si="0"/>
        <v>13.164999999999999</v>
      </c>
      <c r="I41" s="4">
        <v>0.35</v>
      </c>
      <c r="J41" s="4">
        <v>1.1000000000000001</v>
      </c>
      <c r="K41" s="2">
        <f t="shared" si="1"/>
        <v>2.3696999999999999</v>
      </c>
      <c r="L41" s="15">
        <f t="shared" si="2"/>
        <v>120.10469999999998</v>
      </c>
      <c r="M41" s="2"/>
      <c r="N41" s="15">
        <v>75.349999999999994</v>
      </c>
      <c r="O41" s="15">
        <v>74.739999999999995</v>
      </c>
      <c r="P41" s="15">
        <v>75.650000000000006</v>
      </c>
      <c r="Q41" s="2">
        <v>76.55</v>
      </c>
      <c r="R41" s="2">
        <v>73.55</v>
      </c>
      <c r="S41" s="4">
        <v>80.05</v>
      </c>
      <c r="T41" s="4"/>
      <c r="X41" s="211" t="s">
        <v>347</v>
      </c>
      <c r="Y41" s="212">
        <f>+Y40*12.5/100</f>
        <v>7.9122250000000012</v>
      </c>
      <c r="Z41" s="212">
        <f t="shared" ref="Z41:AB41" si="3">+Z40*12.5/100</f>
        <v>7.8526562500000008</v>
      </c>
      <c r="AA41" s="212">
        <f t="shared" si="3"/>
        <v>7.9122250000000012</v>
      </c>
      <c r="AB41" s="212">
        <f t="shared" si="3"/>
        <v>7.8526562500000008</v>
      </c>
      <c r="AD41" t="s">
        <v>348</v>
      </c>
      <c r="AE41" s="210" t="s">
        <v>349</v>
      </c>
      <c r="AF41" t="s">
        <v>350</v>
      </c>
      <c r="AG41" s="213" t="s">
        <v>351</v>
      </c>
      <c r="AH41" t="s">
        <v>352</v>
      </c>
      <c r="AI41" t="s">
        <v>353</v>
      </c>
      <c r="AJ41" t="s">
        <v>350</v>
      </c>
      <c r="AK41" s="213" t="s">
        <v>351</v>
      </c>
      <c r="AL41" s="213" t="s">
        <v>354</v>
      </c>
      <c r="AM41" t="s">
        <v>355</v>
      </c>
    </row>
    <row r="42" spans="4:39" ht="15.75" thickBot="1" x14ac:dyDescent="0.3">
      <c r="D42" s="2"/>
      <c r="E42" s="2"/>
      <c r="F42" s="2"/>
      <c r="G42" s="2"/>
      <c r="H42" s="2"/>
      <c r="I42" s="2"/>
      <c r="J42" s="2"/>
      <c r="K42" s="2"/>
      <c r="L42" s="16"/>
      <c r="M42" s="2"/>
      <c r="N42" s="15"/>
      <c r="O42" s="15"/>
      <c r="P42" s="15"/>
      <c r="Q42" s="2"/>
      <c r="R42" s="2"/>
      <c r="S42" s="4"/>
      <c r="T42" s="4"/>
      <c r="X42" s="211" t="s">
        <v>356</v>
      </c>
      <c r="Y42" s="214">
        <v>4</v>
      </c>
      <c r="Z42" s="214">
        <v>4</v>
      </c>
      <c r="AA42" s="214">
        <v>3.55</v>
      </c>
      <c r="AB42" s="214">
        <v>3.55</v>
      </c>
      <c r="AD42" s="158">
        <f>Y37*Y29</f>
        <v>50232</v>
      </c>
      <c r="AE42">
        <f>Y38*Y30</f>
        <v>8815.8000000000011</v>
      </c>
      <c r="AF42">
        <f>Y31*Y34</f>
        <v>4250</v>
      </c>
      <c r="AG42" s="158">
        <f>Y34</f>
        <v>1000</v>
      </c>
      <c r="AH42">
        <f>Y37*Y29</f>
        <v>50232</v>
      </c>
      <c r="AI42">
        <f>Y38*Y30</f>
        <v>8815.8000000000011</v>
      </c>
      <c r="AJ42">
        <f>Y31*Y34</f>
        <v>4250</v>
      </c>
      <c r="AK42" s="158">
        <f>Y34</f>
        <v>1000</v>
      </c>
      <c r="AL42" s="158">
        <f>Y33</f>
        <v>0</v>
      </c>
    </row>
    <row r="43" spans="4:39" ht="15.75" thickTop="1" x14ac:dyDescent="0.25">
      <c r="D43" s="2"/>
      <c r="E43" s="2"/>
      <c r="F43" s="2"/>
      <c r="G43" s="2"/>
      <c r="H43" s="2"/>
      <c r="I43" s="2"/>
      <c r="J43" s="2"/>
      <c r="K43" s="2"/>
      <c r="L43" s="16"/>
      <c r="M43" s="2"/>
      <c r="N43" s="15"/>
      <c r="O43" s="15"/>
      <c r="P43" s="15"/>
      <c r="Q43" s="2"/>
      <c r="R43" s="2"/>
      <c r="S43" s="4"/>
      <c r="T43" s="4"/>
      <c r="X43" s="198" t="s">
        <v>357</v>
      </c>
      <c r="Y43" s="215">
        <f>SUM(Y40:Y42)</f>
        <v>75.210025000000002</v>
      </c>
      <c r="Z43" s="215">
        <f t="shared" ref="Z43:AB43" si="4">SUM(Z40:Z42)</f>
        <v>74.673906250000002</v>
      </c>
      <c r="AA43" s="215">
        <f t="shared" si="4"/>
        <v>74.760024999999999</v>
      </c>
      <c r="AB43" s="215">
        <f t="shared" si="4"/>
        <v>74.223906249999999</v>
      </c>
      <c r="AD43" s="158"/>
    </row>
    <row r="44" spans="4:39" x14ac:dyDescent="0.25">
      <c r="AD44" s="216">
        <f>AD42+AE42+AF42+AG42/AG42</f>
        <v>63298.8</v>
      </c>
      <c r="AI44">
        <f>(AH42+AI42+AJ42)/AK42*AL42</f>
        <v>0</v>
      </c>
    </row>
    <row r="45" spans="4:39" x14ac:dyDescent="0.25">
      <c r="E45" t="s">
        <v>25</v>
      </c>
      <c r="F45" t="s">
        <v>166</v>
      </c>
      <c r="G45" t="s">
        <v>167</v>
      </c>
      <c r="H45" t="s">
        <v>28</v>
      </c>
      <c r="K45">
        <f>105+0.35</f>
        <v>105.35</v>
      </c>
      <c r="N45" t="s">
        <v>25</v>
      </c>
      <c r="O45" t="s">
        <v>166</v>
      </c>
      <c r="P45" t="s">
        <v>167</v>
      </c>
      <c r="Q45" t="s">
        <v>28</v>
      </c>
      <c r="T45">
        <f>105+0.35</f>
        <v>105.35</v>
      </c>
      <c r="X45" s="217" t="s">
        <v>358</v>
      </c>
      <c r="Y45" s="218">
        <v>75.210025000000002</v>
      </c>
      <c r="Z45" s="218">
        <v>74.673906250000002</v>
      </c>
      <c r="AA45" s="218">
        <v>74.760024999999999</v>
      </c>
      <c r="AB45" s="218">
        <v>74.223906249999999</v>
      </c>
      <c r="AD45" s="158">
        <f>(AD44+AI44)/1000+Y32</f>
        <v>63.2988</v>
      </c>
    </row>
    <row r="46" spans="4:39" x14ac:dyDescent="0.25">
      <c r="D46" t="s">
        <v>6</v>
      </c>
      <c r="E46">
        <v>50</v>
      </c>
      <c r="F46">
        <f>E46*0.061</f>
        <v>3.05</v>
      </c>
      <c r="G46">
        <f>(E46+F46)*0.02</f>
        <v>1.0609999999999999</v>
      </c>
      <c r="H46">
        <v>1</v>
      </c>
      <c r="I46">
        <f>SUM(E46:H46)</f>
        <v>55.110999999999997</v>
      </c>
      <c r="M46" t="s">
        <v>6</v>
      </c>
      <c r="N46">
        <v>54.5</v>
      </c>
      <c r="O46">
        <f>N46*0.061</f>
        <v>3.3245</v>
      </c>
      <c r="P46">
        <f>(N46+O46)*0.02</f>
        <v>1.15649</v>
      </c>
      <c r="Q46">
        <v>1</v>
      </c>
      <c r="R46">
        <f>SUM(N46:Q46)</f>
        <v>59.980989999999998</v>
      </c>
      <c r="Y46" s="158"/>
      <c r="Z46" s="158"/>
      <c r="AA46" s="158"/>
      <c r="AB46" s="158"/>
    </row>
    <row r="47" spans="4:39" x14ac:dyDescent="0.25">
      <c r="D47" t="s">
        <v>359</v>
      </c>
      <c r="E47" s="2">
        <f>105.32</f>
        <v>105.32</v>
      </c>
      <c r="F47" s="2">
        <f>E47*0.125</f>
        <v>13.164999999999999</v>
      </c>
      <c r="G47" s="191">
        <v>0.35</v>
      </c>
      <c r="H47" s="191">
        <v>1.1000000000000001</v>
      </c>
      <c r="I47" s="2">
        <f t="shared" ref="I47" si="5">(E47+F47)*$K$25</f>
        <v>2.3696999999999999</v>
      </c>
      <c r="J47" s="15">
        <f t="shared" ref="J47" si="6">E47+F47+G47-H47+I47</f>
        <v>120.10469999999998</v>
      </c>
      <c r="K47">
        <f>E47+I47</f>
        <v>107.68969999999999</v>
      </c>
      <c r="M47" t="s">
        <v>359</v>
      </c>
      <c r="N47" s="2">
        <f>105.32</f>
        <v>105.32</v>
      </c>
      <c r="O47" s="2">
        <f>N47*0.125</f>
        <v>13.164999999999999</v>
      </c>
      <c r="P47" s="191">
        <v>0.35</v>
      </c>
      <c r="Q47" s="191">
        <v>1.1000000000000001</v>
      </c>
      <c r="R47" s="2">
        <f t="shared" ref="R47" si="7">(N47+O47)*$K$25</f>
        <v>2.3696999999999999</v>
      </c>
      <c r="S47" s="15">
        <f t="shared" ref="S47" si="8">N47+O47+P47-Q47+R47</f>
        <v>120.10469999999998</v>
      </c>
      <c r="T47">
        <f>N47+R47</f>
        <v>107.68969999999999</v>
      </c>
    </row>
    <row r="49" spans="2:17" x14ac:dyDescent="0.25">
      <c r="E49">
        <v>63.57</v>
      </c>
      <c r="F49">
        <f>E49*0.125</f>
        <v>7.94625</v>
      </c>
      <c r="G49">
        <v>4</v>
      </c>
      <c r="H49">
        <f>E49+F49+G49</f>
        <v>75.516249999999999</v>
      </c>
      <c r="N49">
        <v>63.53</v>
      </c>
      <c r="O49">
        <f>N49*0.125</f>
        <v>7.9412500000000001</v>
      </c>
      <c r="P49">
        <v>4</v>
      </c>
      <c r="Q49">
        <f>N49+O49+P49</f>
        <v>75.471249999999998</v>
      </c>
    </row>
    <row r="50" spans="2:17" x14ac:dyDescent="0.25">
      <c r="E50">
        <v>61.42</v>
      </c>
      <c r="F50">
        <f>E50*0.125</f>
        <v>7.6775000000000002</v>
      </c>
      <c r="G50">
        <v>4</v>
      </c>
      <c r="H50">
        <f>SUM(E50:G50)</f>
        <v>73.097499999999997</v>
      </c>
    </row>
    <row r="56" spans="2:17" x14ac:dyDescent="0.25">
      <c r="B56" t="s">
        <v>73</v>
      </c>
      <c r="D56" t="s">
        <v>360</v>
      </c>
      <c r="G56" t="s">
        <v>53</v>
      </c>
    </row>
    <row r="57" spans="2:17" x14ac:dyDescent="0.25">
      <c r="B57" t="s">
        <v>57</v>
      </c>
      <c r="C57">
        <v>120.1</v>
      </c>
      <c r="D57">
        <v>60</v>
      </c>
      <c r="E57" s="151">
        <v>0.1</v>
      </c>
    </row>
    <row r="58" spans="2:17" x14ac:dyDescent="0.25">
      <c r="B58" t="s">
        <v>168</v>
      </c>
      <c r="C58">
        <v>107.68</v>
      </c>
      <c r="D58">
        <v>52</v>
      </c>
      <c r="E58" s="204">
        <v>6.4000000000000001E-2</v>
      </c>
      <c r="G58">
        <v>106.58</v>
      </c>
      <c r="H58">
        <v>50</v>
      </c>
    </row>
    <row r="60" spans="2:17" ht="110.25" x14ac:dyDescent="0.25">
      <c r="B60" s="2"/>
      <c r="C60" s="35" t="s">
        <v>122</v>
      </c>
      <c r="D60" s="35" t="s">
        <v>123</v>
      </c>
      <c r="E60" s="35" t="s">
        <v>124</v>
      </c>
      <c r="F60" s="35" t="s">
        <v>125</v>
      </c>
      <c r="G60" s="35" t="s">
        <v>126</v>
      </c>
      <c r="H60" s="35" t="s">
        <v>127</v>
      </c>
      <c r="I60" s="35" t="s">
        <v>126</v>
      </c>
      <c r="J60" s="35" t="s">
        <v>128</v>
      </c>
      <c r="K60" s="35" t="s">
        <v>129</v>
      </c>
      <c r="L60" s="35" t="s">
        <v>130</v>
      </c>
      <c r="M60" s="35" t="s">
        <v>361</v>
      </c>
      <c r="N60" s="35" t="s">
        <v>132</v>
      </c>
    </row>
    <row r="61" spans="2:17" x14ac:dyDescent="0.25">
      <c r="B61" s="2" t="s">
        <v>168</v>
      </c>
      <c r="C61" s="2">
        <v>63.57</v>
      </c>
      <c r="D61" s="91">
        <v>75.47</v>
      </c>
      <c r="E61" s="2">
        <v>61.42</v>
      </c>
      <c r="F61" s="8">
        <v>73.08</v>
      </c>
      <c r="G61" s="2">
        <f>E61</f>
        <v>61.42</v>
      </c>
      <c r="H61" s="8">
        <f>G61+G61*0.12+4</f>
        <v>72.790400000000005</v>
      </c>
      <c r="I61" s="2">
        <v>61.42</v>
      </c>
      <c r="J61" s="77">
        <f>I61+I61*4%+4.5</f>
        <v>68.376800000000003</v>
      </c>
      <c r="K61" s="2">
        <f>D61-D62</f>
        <v>0.12000000000000455</v>
      </c>
      <c r="L61" s="2">
        <f>F61-F62</f>
        <v>3.7600000000000051</v>
      </c>
      <c r="M61" s="2">
        <f>H61-H62</f>
        <v>-4.8479999999999848</v>
      </c>
      <c r="N61" s="2">
        <f>J61-J62</f>
        <v>-3.715999999999994</v>
      </c>
      <c r="O61">
        <f>I61+4.5</f>
        <v>65.92</v>
      </c>
    </row>
    <row r="62" spans="2:17" x14ac:dyDescent="0.25">
      <c r="B62" s="2" t="s">
        <v>57</v>
      </c>
      <c r="C62" s="2">
        <v>75.349999999999994</v>
      </c>
      <c r="D62" s="92">
        <v>75.349999999999994</v>
      </c>
      <c r="E62" s="2">
        <v>69.319999999999993</v>
      </c>
      <c r="F62" s="8">
        <v>69.319999999999993</v>
      </c>
      <c r="G62" s="2">
        <f>E62</f>
        <v>69.319999999999993</v>
      </c>
      <c r="H62" s="8">
        <f>G62+G62*0.12</f>
        <v>77.63839999999999</v>
      </c>
      <c r="I62" s="2">
        <v>69.319999999999993</v>
      </c>
      <c r="J62" s="77">
        <f>I62+I62*4%</f>
        <v>72.092799999999997</v>
      </c>
      <c r="K62" s="2"/>
      <c r="L62" s="2"/>
      <c r="M62" s="2"/>
      <c r="N62" s="2"/>
    </row>
    <row r="65" spans="2:10" x14ac:dyDescent="0.25">
      <c r="J65" t="s">
        <v>169</v>
      </c>
    </row>
    <row r="66" spans="2:10" x14ac:dyDescent="0.25">
      <c r="B66" s="2" t="s">
        <v>278</v>
      </c>
      <c r="C66" s="2"/>
      <c r="D66" s="2" t="s">
        <v>282</v>
      </c>
      <c r="E66" s="2"/>
      <c r="F66" s="2"/>
      <c r="G66" s="2"/>
    </row>
    <row r="67" spans="2:10" ht="63" x14ac:dyDescent="0.25">
      <c r="B67" s="35" t="s">
        <v>284</v>
      </c>
      <c r="C67" s="35" t="s">
        <v>283</v>
      </c>
      <c r="D67" s="35" t="s">
        <v>285</v>
      </c>
      <c r="E67" s="35" t="s">
        <v>286</v>
      </c>
      <c r="F67" s="35" t="s">
        <v>288</v>
      </c>
      <c r="G67" s="35" t="s">
        <v>289</v>
      </c>
    </row>
    <row r="68" spans="2:10" ht="31.5" x14ac:dyDescent="0.25">
      <c r="B68" s="35" t="s">
        <v>279</v>
      </c>
      <c r="C68" s="2">
        <f>C62</f>
        <v>75.349999999999994</v>
      </c>
      <c r="D68" s="2">
        <v>18</v>
      </c>
      <c r="E68" s="2">
        <f>C68*D68</f>
        <v>1356.3</v>
      </c>
      <c r="F68" s="163">
        <f>E70/E68</f>
        <v>8.0026542800265568E-2</v>
      </c>
      <c r="G68" s="165">
        <f>15000*E70</f>
        <v>1628100.0000000028</v>
      </c>
    </row>
    <row r="69" spans="2:10" ht="31.5" x14ac:dyDescent="0.25">
      <c r="B69" s="35" t="s">
        <v>280</v>
      </c>
      <c r="C69" s="2">
        <f>G62</f>
        <v>69.319999999999993</v>
      </c>
      <c r="D69" s="2">
        <v>18</v>
      </c>
      <c r="E69" s="2">
        <f>C69*D69</f>
        <v>1247.7599999999998</v>
      </c>
      <c r="F69" s="2"/>
      <c r="G69" s="2"/>
    </row>
    <row r="70" spans="2:10" ht="47.25" x14ac:dyDescent="0.25">
      <c r="B70" s="35" t="s">
        <v>281</v>
      </c>
      <c r="C70" s="2">
        <f>C68-C69</f>
        <v>6.0300000000000011</v>
      </c>
      <c r="D70" s="2" t="s">
        <v>287</v>
      </c>
      <c r="E70" s="2">
        <f>E68-E69</f>
        <v>108.54000000000019</v>
      </c>
      <c r="F70" s="2"/>
      <c r="G70" s="2"/>
    </row>
  </sheetData>
  <mergeCells count="10">
    <mergeCell ref="AF4:AJ4"/>
    <mergeCell ref="G23:L23"/>
    <mergeCell ref="N23:Q23"/>
    <mergeCell ref="Z2:AD2"/>
    <mergeCell ref="H4:L4"/>
    <mergeCell ref="N4:R4"/>
    <mergeCell ref="T4:X4"/>
    <mergeCell ref="Z4:AD4"/>
    <mergeCell ref="Y23:Z23"/>
    <mergeCell ref="AA23:AB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9"/>
  <sheetViews>
    <sheetView topLeftCell="A47" workbookViewId="0">
      <selection activeCell="F61" sqref="F61"/>
    </sheetView>
  </sheetViews>
  <sheetFormatPr defaultRowHeight="15" x14ac:dyDescent="0.25"/>
  <cols>
    <col min="1" max="1" width="16.85546875" customWidth="1"/>
    <col min="2" max="2" width="12.7109375" bestFit="1" customWidth="1"/>
    <col min="5" max="5" width="24" bestFit="1" customWidth="1"/>
    <col min="7" max="7" width="11.5703125" bestFit="1" customWidth="1"/>
  </cols>
  <sheetData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e">
        <f>SUM(#REF!)</f>
        <v>#REF!</v>
      </c>
    </row>
    <row r="5" spans="1:14" x14ac:dyDescent="0.25">
      <c r="A5" s="1">
        <v>42681</v>
      </c>
    </row>
    <row r="6" spans="1:14" x14ac:dyDescent="0.25">
      <c r="A6" s="3" t="s">
        <v>18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3</v>
      </c>
      <c r="G6" s="2" t="s">
        <v>3</v>
      </c>
      <c r="H6" s="2" t="s">
        <v>3</v>
      </c>
      <c r="I6" s="191" t="s">
        <v>4</v>
      </c>
      <c r="J6" s="191" t="s">
        <v>5</v>
      </c>
      <c r="K6" s="191" t="s">
        <v>6</v>
      </c>
      <c r="L6" s="2" t="s">
        <v>7</v>
      </c>
      <c r="M6" s="2" t="s">
        <v>8</v>
      </c>
      <c r="N6" s="2" t="s">
        <v>9</v>
      </c>
    </row>
    <row r="7" spans="1:14" x14ac:dyDescent="0.25">
      <c r="A7" s="7"/>
      <c r="B7" s="2" t="s">
        <v>10</v>
      </c>
      <c r="C7" s="2" t="s">
        <v>10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2"/>
      <c r="J7" s="2"/>
      <c r="K7" s="2"/>
      <c r="L7" s="2" t="s">
        <v>15</v>
      </c>
      <c r="M7" s="2" t="s">
        <v>16</v>
      </c>
      <c r="N7" s="2"/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 t="s">
        <v>19</v>
      </c>
      <c r="B9" s="2">
        <v>374</v>
      </c>
      <c r="C9" s="2">
        <v>334</v>
      </c>
      <c r="D9" s="2">
        <v>168</v>
      </c>
      <c r="E9" s="2">
        <f>B9+5</f>
        <v>379</v>
      </c>
      <c r="F9" s="2">
        <f>C9+5</f>
        <v>339</v>
      </c>
      <c r="G9" s="2">
        <f>D9+5</f>
        <v>173</v>
      </c>
      <c r="H9" s="2">
        <f>(E9+F9)*2+30+10</f>
        <v>1476</v>
      </c>
      <c r="I9" s="2">
        <f>F9+G9+10</f>
        <v>522</v>
      </c>
      <c r="J9" s="2"/>
      <c r="K9" s="2"/>
      <c r="L9" s="2"/>
      <c r="M9" s="2"/>
      <c r="N9" s="2"/>
    </row>
    <row r="10" spans="1:14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/>
      <c r="B11" s="2">
        <f>B9+5</f>
        <v>379</v>
      </c>
      <c r="C11" s="2">
        <f>C9+5</f>
        <v>339</v>
      </c>
      <c r="D11" s="2">
        <f>D9+5</f>
        <v>173</v>
      </c>
      <c r="E11" s="2">
        <f>(B11+C11)*2+30+10</f>
        <v>1476</v>
      </c>
      <c r="F11" s="2">
        <f>C11+D11+10</f>
        <v>522</v>
      </c>
      <c r="G11" s="2">
        <f>E11/25.41</f>
        <v>58.087367178276267</v>
      </c>
      <c r="H11" s="2">
        <f>F11/25.41</f>
        <v>20.543093270365997</v>
      </c>
      <c r="I11" s="2">
        <f>(G11*H11)/1550</f>
        <v>0.76986722695053278</v>
      </c>
      <c r="J11" s="2">
        <v>180</v>
      </c>
      <c r="K11" s="2">
        <v>1</v>
      </c>
      <c r="L11" s="2">
        <f>I11*J11*K11*1.04/1000</f>
        <v>0.14411914488513974</v>
      </c>
      <c r="M11" s="2">
        <v>33.299999999999997</v>
      </c>
      <c r="N11" s="2">
        <f>L11*M11</f>
        <v>4.7991675246751528</v>
      </c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>
        <v>100</v>
      </c>
      <c r="K12" s="2">
        <v>4.66</v>
      </c>
      <c r="L12" s="2">
        <f>I11*J12*K12*1.04/1000</f>
        <v>0.37310845286930622</v>
      </c>
      <c r="M12" s="2">
        <v>33.299999999999997</v>
      </c>
      <c r="N12" s="2">
        <f>L12*M12</f>
        <v>12.424511480547896</v>
      </c>
    </row>
    <row r="13" spans="1:14" x14ac:dyDescent="0.25">
      <c r="A13" s="2" t="s">
        <v>17</v>
      </c>
      <c r="B13" s="2"/>
      <c r="C13" s="2"/>
      <c r="D13" s="2"/>
      <c r="E13" s="2">
        <v>39.299999999999997</v>
      </c>
      <c r="F13" s="2"/>
      <c r="G13" s="2"/>
      <c r="H13" s="2"/>
      <c r="I13" s="2"/>
      <c r="J13" s="2"/>
      <c r="K13" s="2"/>
      <c r="L13" s="6">
        <f>SUM(L11:L12)</f>
        <v>0.51722759775444593</v>
      </c>
      <c r="M13" s="2"/>
      <c r="N13" s="2"/>
    </row>
    <row r="14" spans="1:14" x14ac:dyDescent="0.25">
      <c r="A14" s="2" t="s">
        <v>321</v>
      </c>
      <c r="B14" s="2"/>
      <c r="C14" s="2"/>
      <c r="D14" s="2">
        <v>33.880000000000003</v>
      </c>
      <c r="E14" s="2">
        <f>29.08+5.8</f>
        <v>34.879999999999995</v>
      </c>
      <c r="F14" s="2"/>
      <c r="G14" s="2"/>
      <c r="H14" s="2"/>
      <c r="I14" s="2"/>
      <c r="J14" s="2"/>
      <c r="K14" s="2"/>
      <c r="L14" s="2"/>
      <c r="M14" s="2"/>
      <c r="N14" s="2">
        <f>SUM(N11:N12)</f>
        <v>17.223679005223048</v>
      </c>
    </row>
    <row r="15" spans="1:14" x14ac:dyDescent="0.25">
      <c r="A15" s="2" t="s">
        <v>53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322</v>
      </c>
      <c r="B16" s="2"/>
      <c r="C16" s="2"/>
      <c r="D16" s="2"/>
      <c r="E16" s="2">
        <v>36.799999999999997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 t="s">
        <v>323</v>
      </c>
      <c r="B17" s="2"/>
      <c r="C17" s="2"/>
      <c r="D17" s="2">
        <v>33.299999999999997</v>
      </c>
      <c r="E17" s="2">
        <f>28.5+5.8</f>
        <v>34.299999999999997</v>
      </c>
      <c r="F17" s="2"/>
      <c r="G17" s="2"/>
      <c r="H17" s="2"/>
      <c r="I17" s="2"/>
      <c r="J17" s="2"/>
      <c r="K17" s="2"/>
      <c r="L17" s="2"/>
      <c r="M17" s="2"/>
      <c r="N17" s="2"/>
    </row>
    <row r="20" spans="1:14" ht="15.75" thickBot="1" x14ac:dyDescent="0.3">
      <c r="A20" t="s">
        <v>20</v>
      </c>
      <c r="B20" t="s">
        <v>21</v>
      </c>
      <c r="E20" t="s">
        <v>22</v>
      </c>
      <c r="M20">
        <f>32+4.8</f>
        <v>36.799999999999997</v>
      </c>
    </row>
    <row r="21" spans="1:14" ht="15.75" thickBot="1" x14ac:dyDescent="0.3">
      <c r="A21" s="246" t="s">
        <v>23</v>
      </c>
      <c r="B21" s="247"/>
      <c r="C21" s="9" t="s">
        <v>24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</row>
    <row r="22" spans="1:14" ht="15.75" thickBot="1" x14ac:dyDescent="0.3">
      <c r="A22" s="10" t="s">
        <v>30</v>
      </c>
      <c r="B22" s="11">
        <f>29.5-1.5</f>
        <v>28</v>
      </c>
      <c r="C22" s="11">
        <f>29.5-1.5</f>
        <v>28</v>
      </c>
      <c r="E22" s="2">
        <v>25</v>
      </c>
      <c r="F22" s="2">
        <f>E22*0.061</f>
        <v>1.5249999999999999</v>
      </c>
      <c r="G22" s="2">
        <f>(E22+F22)*0.02</f>
        <v>0.53049999999999997</v>
      </c>
      <c r="H22" s="2">
        <v>1</v>
      </c>
      <c r="I22" s="2">
        <f>SUM(E22:H22)</f>
        <v>28.055499999999999</v>
      </c>
      <c r="J22">
        <f>E22+H22</f>
        <v>26</v>
      </c>
    </row>
    <row r="23" spans="1:14" ht="15.75" thickBot="1" x14ac:dyDescent="0.3">
      <c r="A23" s="10" t="s">
        <v>31</v>
      </c>
      <c r="B23" s="11">
        <f>32-1.5</f>
        <v>30.5</v>
      </c>
      <c r="C23" s="11">
        <f>32-1.5</f>
        <v>30.5</v>
      </c>
      <c r="E23" s="2">
        <v>26.8</v>
      </c>
      <c r="F23" s="2">
        <f t="shared" ref="F23:F27" si="0">E23*0.061</f>
        <v>1.6348</v>
      </c>
      <c r="G23" s="2">
        <f t="shared" ref="G23:G27" si="1">(E23+F23)*0.02</f>
        <v>0.56869599999999998</v>
      </c>
      <c r="H23" s="2">
        <v>1</v>
      </c>
      <c r="I23" s="2">
        <f t="shared" ref="I23:I27" si="2">SUM(E23:H23)</f>
        <v>30.003495999999998</v>
      </c>
      <c r="J23">
        <f t="shared" ref="J23:J27" si="3">E23+H23</f>
        <v>27.8</v>
      </c>
    </row>
    <row r="24" spans="1:14" ht="15.75" thickBot="1" x14ac:dyDescent="0.3">
      <c r="A24" s="10" t="s">
        <v>32</v>
      </c>
      <c r="B24" s="11">
        <f>33-1.5</f>
        <v>31.5</v>
      </c>
      <c r="C24" s="11">
        <f>33-1.5</f>
        <v>31.5</v>
      </c>
      <c r="E24" s="2">
        <v>28.2</v>
      </c>
      <c r="F24" s="2">
        <f t="shared" si="0"/>
        <v>1.7202</v>
      </c>
      <c r="G24" s="2">
        <f t="shared" si="1"/>
        <v>0.59840399999999994</v>
      </c>
      <c r="H24" s="2">
        <v>1</v>
      </c>
      <c r="I24" s="2">
        <f t="shared" si="2"/>
        <v>31.518603999999996</v>
      </c>
      <c r="J24">
        <f t="shared" si="3"/>
        <v>29.2</v>
      </c>
    </row>
    <row r="25" spans="1:14" ht="15.75" thickBot="1" x14ac:dyDescent="0.3">
      <c r="A25" s="10" t="s">
        <v>33</v>
      </c>
      <c r="B25" s="11">
        <f>36-1.5</f>
        <v>34.5</v>
      </c>
      <c r="C25" s="11">
        <f>36-1.5</f>
        <v>34.5</v>
      </c>
      <c r="E25" s="2">
        <v>31</v>
      </c>
      <c r="F25" s="2">
        <f t="shared" si="0"/>
        <v>1.891</v>
      </c>
      <c r="G25" s="2">
        <f t="shared" si="1"/>
        <v>0.65781999999999996</v>
      </c>
      <c r="H25" s="2">
        <v>1</v>
      </c>
      <c r="I25" s="2">
        <f t="shared" si="2"/>
        <v>34.548819999999999</v>
      </c>
      <c r="J25">
        <f t="shared" si="3"/>
        <v>32</v>
      </c>
    </row>
    <row r="26" spans="1:14" ht="15.75" thickBot="1" x14ac:dyDescent="0.3">
      <c r="A26" s="10" t="s">
        <v>34</v>
      </c>
      <c r="B26" s="11">
        <f>38-1.5</f>
        <v>36.5</v>
      </c>
      <c r="C26" s="11">
        <f>38-1.5</f>
        <v>36.5</v>
      </c>
      <c r="E26" s="2">
        <v>32.799999999999997</v>
      </c>
      <c r="F26" s="2">
        <f t="shared" si="0"/>
        <v>2.0007999999999999</v>
      </c>
      <c r="G26" s="2">
        <f t="shared" si="1"/>
        <v>0.69601599999999997</v>
      </c>
      <c r="H26" s="2">
        <v>1</v>
      </c>
      <c r="I26" s="2">
        <f t="shared" si="2"/>
        <v>36.496815999999995</v>
      </c>
      <c r="J26">
        <f t="shared" si="3"/>
        <v>33.799999999999997</v>
      </c>
    </row>
    <row r="27" spans="1:14" ht="15.75" thickBot="1" x14ac:dyDescent="0.3">
      <c r="A27" s="10" t="s">
        <v>35</v>
      </c>
      <c r="B27" s="11">
        <f>39-1.5</f>
        <v>37.5</v>
      </c>
      <c r="C27" s="11">
        <f>39-1.5</f>
        <v>37.5</v>
      </c>
      <c r="E27" s="2">
        <v>34</v>
      </c>
      <c r="F27" s="2">
        <f t="shared" si="0"/>
        <v>2.0739999999999998</v>
      </c>
      <c r="G27" s="2">
        <f t="shared" si="1"/>
        <v>0.72148000000000001</v>
      </c>
      <c r="H27" s="2">
        <v>1</v>
      </c>
      <c r="I27" s="2">
        <f t="shared" si="2"/>
        <v>37.795479999999998</v>
      </c>
      <c r="J27">
        <f t="shared" si="3"/>
        <v>35</v>
      </c>
    </row>
    <row r="30" spans="1:14" ht="15.75" thickBot="1" x14ac:dyDescent="0.3">
      <c r="A30" t="s">
        <v>20</v>
      </c>
      <c r="B30" t="s">
        <v>36</v>
      </c>
    </row>
    <row r="31" spans="1:14" ht="18.75" thickBot="1" x14ac:dyDescent="0.3">
      <c r="A31" s="246" t="s">
        <v>52</v>
      </c>
      <c r="B31" s="247"/>
      <c r="C31" s="9"/>
      <c r="E31" s="191"/>
      <c r="F31" s="12" t="s">
        <v>38</v>
      </c>
      <c r="G31" s="12" t="s">
        <v>39</v>
      </c>
      <c r="H31" s="12" t="s">
        <v>40</v>
      </c>
      <c r="I31" s="12" t="s">
        <v>41</v>
      </c>
      <c r="J31" s="12" t="s">
        <v>42</v>
      </c>
    </row>
    <row r="32" spans="1:14" ht="16.5" thickBot="1" x14ac:dyDescent="0.3">
      <c r="A32" s="10" t="s">
        <v>30</v>
      </c>
      <c r="B32" s="193">
        <f>L40</f>
        <v>26.5305</v>
      </c>
      <c r="C32" s="11"/>
      <c r="E32" s="13" t="s">
        <v>43</v>
      </c>
      <c r="F32" s="14">
        <v>28</v>
      </c>
      <c r="G32" s="14">
        <v>29</v>
      </c>
      <c r="H32" s="14">
        <v>27</v>
      </c>
      <c r="I32" s="14">
        <v>26</v>
      </c>
      <c r="J32" s="14">
        <v>25.5</v>
      </c>
    </row>
    <row r="33" spans="1:13" ht="15.75" thickBot="1" x14ac:dyDescent="0.3">
      <c r="A33" s="10" t="s">
        <v>31</v>
      </c>
      <c r="B33" s="193">
        <f t="shared" ref="B33:B37" si="4">L41</f>
        <v>27.04111</v>
      </c>
      <c r="C33" s="11"/>
      <c r="E33" s="191" t="s">
        <v>44</v>
      </c>
      <c r="F33" s="191">
        <v>6</v>
      </c>
      <c r="G33" s="191">
        <v>6</v>
      </c>
      <c r="H33" s="191">
        <v>6</v>
      </c>
      <c r="I33" s="191">
        <v>6</v>
      </c>
      <c r="J33" s="191">
        <v>6</v>
      </c>
    </row>
    <row r="34" spans="1:13" ht="15.75" thickBot="1" x14ac:dyDescent="0.3">
      <c r="A34" s="10" t="s">
        <v>32</v>
      </c>
      <c r="B34" s="193">
        <f t="shared" si="4"/>
        <v>28.062329999999999</v>
      </c>
      <c r="C34" s="11"/>
      <c r="E34" s="191" t="s">
        <v>45</v>
      </c>
      <c r="F34" s="191">
        <v>1</v>
      </c>
      <c r="G34" s="191">
        <v>1</v>
      </c>
      <c r="H34" s="191">
        <v>1</v>
      </c>
      <c r="I34" s="191">
        <v>1</v>
      </c>
      <c r="J34" s="191">
        <v>1</v>
      </c>
    </row>
    <row r="35" spans="1:13" ht="15.75" thickBot="1" x14ac:dyDescent="0.3">
      <c r="A35" s="10" t="s">
        <v>33</v>
      </c>
      <c r="B35" s="193">
        <f t="shared" si="4"/>
        <v>29.083549999999999</v>
      </c>
      <c r="C35" s="11"/>
      <c r="E35" s="191" t="s">
        <v>46</v>
      </c>
      <c r="F35" s="15">
        <f>SUM(F32:F34)</f>
        <v>35</v>
      </c>
      <c r="G35" s="15">
        <f t="shared" ref="G35:J35" si="5">SUM(G32:G34)</f>
        <v>36</v>
      </c>
      <c r="H35" s="15">
        <f t="shared" si="5"/>
        <v>34</v>
      </c>
      <c r="I35" s="15">
        <f t="shared" si="5"/>
        <v>33</v>
      </c>
      <c r="J35" s="15">
        <f t="shared" si="5"/>
        <v>32.5</v>
      </c>
    </row>
    <row r="36" spans="1:13" ht="15.75" thickBot="1" x14ac:dyDescent="0.3">
      <c r="A36" s="10" t="s">
        <v>34</v>
      </c>
      <c r="B36" s="193">
        <f t="shared" si="4"/>
        <v>30.104769999999998</v>
      </c>
      <c r="C36" s="11"/>
    </row>
    <row r="37" spans="1:13" ht="15.75" thickBot="1" x14ac:dyDescent="0.3">
      <c r="A37" s="10" t="s">
        <v>35</v>
      </c>
      <c r="B37" s="193">
        <f t="shared" si="4"/>
        <v>0</v>
      </c>
      <c r="C37" s="11"/>
    </row>
    <row r="38" spans="1:13" x14ac:dyDescent="0.25">
      <c r="E38" t="s">
        <v>366</v>
      </c>
    </row>
    <row r="39" spans="1:13" x14ac:dyDescent="0.25">
      <c r="E39" t="s">
        <v>25</v>
      </c>
      <c r="F39" t="s">
        <v>26</v>
      </c>
      <c r="G39" t="s">
        <v>27</v>
      </c>
      <c r="H39" t="s">
        <v>28</v>
      </c>
      <c r="I39" t="s">
        <v>29</v>
      </c>
    </row>
    <row r="40" spans="1:13" x14ac:dyDescent="0.25">
      <c r="D40">
        <v>16</v>
      </c>
      <c r="E40" s="16">
        <v>25</v>
      </c>
      <c r="F40" s="16">
        <f>E40*0.061</f>
        <v>1.5249999999999999</v>
      </c>
      <c r="G40" s="16">
        <f>(E40+F40)*0.02</f>
        <v>0.53049999999999997</v>
      </c>
      <c r="H40" s="2">
        <v>1</v>
      </c>
      <c r="I40" s="2">
        <f>SUM(E40:H40)</f>
        <v>28.055499999999999</v>
      </c>
      <c r="J40" t="b">
        <f>E40+G40=K40</f>
        <v>0</v>
      </c>
      <c r="K40" s="2">
        <v>25.5</v>
      </c>
      <c r="L40" s="16">
        <f>E40+G40+H40</f>
        <v>26.5305</v>
      </c>
    </row>
    <row r="41" spans="1:13" x14ac:dyDescent="0.25">
      <c r="D41">
        <v>18</v>
      </c>
      <c r="E41" s="16">
        <v>25.5</v>
      </c>
      <c r="F41" s="16">
        <f t="shared" ref="F41:F45" si="6">E41*0.061</f>
        <v>1.5554999999999999</v>
      </c>
      <c r="G41" s="16">
        <f t="shared" ref="G41:G45" si="7">(E41+F41)*0.02</f>
        <v>0.54110999999999998</v>
      </c>
      <c r="H41" s="2">
        <v>1</v>
      </c>
      <c r="I41" s="2">
        <f t="shared" ref="I41:I45" si="8">SUM(E41:H41)</f>
        <v>28.596609999999998</v>
      </c>
      <c r="K41" s="2">
        <v>26</v>
      </c>
      <c r="L41" s="16">
        <f t="shared" ref="L41:L44" si="9">E41+G41+H41</f>
        <v>27.04111</v>
      </c>
    </row>
    <row r="42" spans="1:13" x14ac:dyDescent="0.25">
      <c r="D42">
        <v>20</v>
      </c>
      <c r="E42" s="16">
        <v>26.5</v>
      </c>
      <c r="F42" s="16">
        <f t="shared" si="6"/>
        <v>1.6165</v>
      </c>
      <c r="G42" s="16">
        <f t="shared" si="7"/>
        <v>0.56233</v>
      </c>
      <c r="H42" s="2">
        <v>1</v>
      </c>
      <c r="I42" s="2">
        <f t="shared" si="8"/>
        <v>29.678829999999998</v>
      </c>
      <c r="K42" s="2">
        <v>27</v>
      </c>
      <c r="L42" s="16">
        <f t="shared" si="9"/>
        <v>28.062329999999999</v>
      </c>
    </row>
    <row r="43" spans="1:13" x14ac:dyDescent="0.25">
      <c r="D43">
        <v>22</v>
      </c>
      <c r="E43" s="18">
        <v>27.5</v>
      </c>
      <c r="F43" s="18">
        <f t="shared" si="6"/>
        <v>1.6775</v>
      </c>
      <c r="G43" s="18">
        <f t="shared" si="7"/>
        <v>0.58355000000000001</v>
      </c>
      <c r="H43" s="19">
        <v>1</v>
      </c>
      <c r="I43" s="19">
        <f t="shared" si="8"/>
        <v>30.761049999999997</v>
      </c>
      <c r="K43" s="2">
        <v>28</v>
      </c>
      <c r="L43" s="16">
        <f t="shared" si="9"/>
        <v>29.083549999999999</v>
      </c>
      <c r="M43" s="17">
        <f>E43+H43</f>
        <v>28.5</v>
      </c>
    </row>
    <row r="44" spans="1:13" x14ac:dyDescent="0.25">
      <c r="D44">
        <v>24</v>
      </c>
      <c r="E44" s="16">
        <v>28.5</v>
      </c>
      <c r="F44" s="16">
        <f t="shared" si="6"/>
        <v>1.7384999999999999</v>
      </c>
      <c r="G44" s="16">
        <f t="shared" si="7"/>
        <v>0.60477000000000003</v>
      </c>
      <c r="H44" s="2">
        <v>1</v>
      </c>
      <c r="I44" s="2">
        <f t="shared" si="8"/>
        <v>31.843269999999997</v>
      </c>
      <c r="K44" s="2">
        <v>29</v>
      </c>
      <c r="L44" s="16">
        <f t="shared" si="9"/>
        <v>30.104769999999998</v>
      </c>
    </row>
    <row r="45" spans="1:13" x14ac:dyDescent="0.25">
      <c r="D45">
        <v>28</v>
      </c>
      <c r="E45" s="16"/>
      <c r="F45" s="16">
        <f t="shared" si="6"/>
        <v>0</v>
      </c>
      <c r="G45" s="16">
        <f t="shared" si="7"/>
        <v>0</v>
      </c>
      <c r="H45" s="2">
        <v>1</v>
      </c>
      <c r="I45" s="2">
        <f t="shared" si="8"/>
        <v>1</v>
      </c>
    </row>
    <row r="48" spans="1:13" x14ac:dyDescent="0.25">
      <c r="A48" s="20" t="s">
        <v>47</v>
      </c>
    </row>
    <row r="49" spans="1:6" x14ac:dyDescent="0.25">
      <c r="A49" s="2"/>
      <c r="B49" s="2" t="s">
        <v>48</v>
      </c>
      <c r="C49" s="2" t="s">
        <v>49</v>
      </c>
      <c r="D49" s="2" t="s">
        <v>50</v>
      </c>
      <c r="E49" s="21" t="s">
        <v>28</v>
      </c>
      <c r="F49" s="2"/>
    </row>
    <row r="50" spans="1:6" x14ac:dyDescent="0.25">
      <c r="A50" s="2" t="s">
        <v>51</v>
      </c>
      <c r="B50" s="16">
        <v>20.32</v>
      </c>
      <c r="C50" s="16"/>
      <c r="D50" s="16">
        <f>B50*0.04</f>
        <v>0.81280000000000008</v>
      </c>
      <c r="E50" s="16"/>
      <c r="F50" s="16">
        <f>B50</f>
        <v>20.32</v>
      </c>
    </row>
    <row r="51" spans="1:6" x14ac:dyDescent="0.25">
      <c r="A51" s="2" t="s">
        <v>52</v>
      </c>
      <c r="B51" s="16">
        <v>18.05</v>
      </c>
      <c r="C51" s="16">
        <f>B51*0.061</f>
        <v>1.1010500000000001</v>
      </c>
      <c r="D51" s="16">
        <f>(B51+C51)*2%</f>
        <v>0.38302100000000006</v>
      </c>
      <c r="E51" s="16">
        <v>2</v>
      </c>
      <c r="F51" s="16">
        <f>SUM(B51:E51)</f>
        <v>21.534071000000001</v>
      </c>
    </row>
    <row r="52" spans="1:6" x14ac:dyDescent="0.25">
      <c r="A52" s="2"/>
      <c r="B52" s="2"/>
      <c r="C52" s="2"/>
      <c r="D52" s="2"/>
      <c r="E52" s="2"/>
      <c r="F52" s="16">
        <f>F51-F50</f>
        <v>1.2140710000000006</v>
      </c>
    </row>
    <row r="53" spans="1:6" x14ac:dyDescent="0.25">
      <c r="A53" s="22" t="s">
        <v>53</v>
      </c>
      <c r="B53" s="2"/>
      <c r="C53" s="2"/>
      <c r="D53" s="2"/>
      <c r="E53" s="2"/>
      <c r="F53" s="2"/>
    </row>
    <row r="54" spans="1:6" x14ac:dyDescent="0.25">
      <c r="A54" s="2"/>
      <c r="B54" s="2" t="s">
        <v>48</v>
      </c>
      <c r="C54" s="2" t="s">
        <v>49</v>
      </c>
      <c r="D54" s="2" t="s">
        <v>54</v>
      </c>
      <c r="E54" s="2" t="s">
        <v>28</v>
      </c>
      <c r="F54" s="2"/>
    </row>
    <row r="55" spans="1:6" x14ac:dyDescent="0.25">
      <c r="A55" s="2" t="s">
        <v>51</v>
      </c>
      <c r="B55" s="23">
        <v>19.03</v>
      </c>
      <c r="C55" s="23"/>
      <c r="D55" s="16">
        <f>B55*0.04</f>
        <v>0.7612000000000001</v>
      </c>
      <c r="E55" s="23"/>
      <c r="F55" s="23">
        <f>B55+E55</f>
        <v>19.03</v>
      </c>
    </row>
    <row r="56" spans="1:6" x14ac:dyDescent="0.25">
      <c r="A56" s="2" t="s">
        <v>52</v>
      </c>
      <c r="B56" s="23">
        <v>17.739999999999998</v>
      </c>
      <c r="C56" s="23"/>
      <c r="D56" s="16">
        <f>B56*0.04</f>
        <v>0.7095999999999999</v>
      </c>
      <c r="E56" s="23">
        <v>2</v>
      </c>
      <c r="F56" s="23">
        <f t="shared" ref="F56" si="10">B56+E56</f>
        <v>19.739999999999998</v>
      </c>
    </row>
    <row r="57" spans="1:6" x14ac:dyDescent="0.25">
      <c r="F57" s="194">
        <f>F56-F55</f>
        <v>0.7099999999999973</v>
      </c>
    </row>
    <row r="59" spans="1:6" ht="18.75" x14ac:dyDescent="0.3">
      <c r="A59" s="195" t="s">
        <v>324</v>
      </c>
      <c r="B59" s="196"/>
    </row>
    <row r="60" spans="1:6" x14ac:dyDescent="0.25">
      <c r="A60" s="20" t="s">
        <v>47</v>
      </c>
    </row>
    <row r="61" spans="1:6" x14ac:dyDescent="0.25">
      <c r="A61" s="2"/>
      <c r="B61" s="2" t="s">
        <v>48</v>
      </c>
      <c r="C61" s="2" t="s">
        <v>49</v>
      </c>
      <c r="D61" s="2" t="s">
        <v>50</v>
      </c>
      <c r="E61" s="21" t="s">
        <v>28</v>
      </c>
      <c r="F61" s="2"/>
    </row>
    <row r="62" spans="1:6" x14ac:dyDescent="0.25">
      <c r="A62" s="2" t="s">
        <v>51</v>
      </c>
      <c r="B62" s="16">
        <v>20.32</v>
      </c>
      <c r="C62" s="16"/>
      <c r="D62" s="16">
        <f>B62*0.04</f>
        <v>0.81280000000000008</v>
      </c>
      <c r="E62" s="16"/>
      <c r="F62" s="16">
        <f>B62</f>
        <v>20.32</v>
      </c>
    </row>
    <row r="63" spans="1:6" x14ac:dyDescent="0.25">
      <c r="A63" s="2" t="s">
        <v>52</v>
      </c>
      <c r="B63" s="16">
        <v>17.5</v>
      </c>
      <c r="C63" s="16">
        <f>B63*0.061</f>
        <v>1.0674999999999999</v>
      </c>
      <c r="D63" s="16">
        <f>(B63+C63)*2%</f>
        <v>0.37135000000000001</v>
      </c>
      <c r="E63" s="16">
        <v>2</v>
      </c>
      <c r="F63" s="16">
        <f>SUM(B63:E63)</f>
        <v>20.938849999999999</v>
      </c>
    </row>
    <row r="64" spans="1:6" x14ac:dyDescent="0.25">
      <c r="A64" s="2"/>
      <c r="B64" s="2"/>
      <c r="C64" s="2"/>
      <c r="D64" s="2"/>
      <c r="E64" s="2"/>
      <c r="F64" s="16">
        <f>F63-F62</f>
        <v>0.61884999999999835</v>
      </c>
    </row>
    <row r="65" spans="1:6" x14ac:dyDescent="0.25">
      <c r="A65" s="22" t="s">
        <v>53</v>
      </c>
      <c r="B65" s="2"/>
      <c r="C65" s="2"/>
      <c r="D65" s="2"/>
      <c r="E65" s="2"/>
      <c r="F65" s="2"/>
    </row>
    <row r="66" spans="1:6" x14ac:dyDescent="0.25">
      <c r="A66" s="2"/>
      <c r="B66" s="2" t="s">
        <v>48</v>
      </c>
      <c r="C66" s="2" t="s">
        <v>49</v>
      </c>
      <c r="D66" s="2" t="s">
        <v>54</v>
      </c>
      <c r="E66" s="2" t="s">
        <v>28</v>
      </c>
      <c r="F66" s="2"/>
    </row>
    <row r="67" spans="1:6" x14ac:dyDescent="0.25">
      <c r="A67" s="2" t="s">
        <v>51</v>
      </c>
      <c r="B67" s="23">
        <v>19.03</v>
      </c>
      <c r="C67" s="23"/>
      <c r="D67" s="16">
        <f>B67*0.04</f>
        <v>0.7612000000000001</v>
      </c>
      <c r="E67" s="23"/>
      <c r="F67" s="23">
        <f>B67+E67</f>
        <v>19.03</v>
      </c>
    </row>
    <row r="68" spans="1:6" x14ac:dyDescent="0.25">
      <c r="A68" s="2" t="s">
        <v>52</v>
      </c>
      <c r="B68" s="23">
        <v>17.22</v>
      </c>
      <c r="C68" s="23"/>
      <c r="D68" s="16">
        <f>B68*0.04</f>
        <v>0.68879999999999997</v>
      </c>
      <c r="E68" s="23">
        <v>2</v>
      </c>
      <c r="F68" s="23">
        <f t="shared" ref="F68" si="11">B68+E68</f>
        <v>19.22</v>
      </c>
    </row>
    <row r="69" spans="1:6" x14ac:dyDescent="0.25">
      <c r="F69" s="194">
        <f>F68-F67</f>
        <v>0.18999999999999773</v>
      </c>
    </row>
  </sheetData>
  <mergeCells count="2">
    <mergeCell ref="A21:B21"/>
    <mergeCell ref="A31:B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B20" workbookViewId="0">
      <selection activeCell="M34" sqref="M34"/>
    </sheetView>
  </sheetViews>
  <sheetFormatPr defaultRowHeight="15" x14ac:dyDescent="0.25"/>
  <cols>
    <col min="1" max="1" width="27.7109375" bestFit="1" customWidth="1"/>
    <col min="2" max="2" width="12.85546875" customWidth="1"/>
    <col min="3" max="3" width="10.5703125" bestFit="1" customWidth="1"/>
    <col min="4" max="4" width="12" customWidth="1"/>
    <col min="6" max="6" width="9.85546875" customWidth="1"/>
    <col min="7" max="7" width="10.5703125" bestFit="1" customWidth="1"/>
    <col min="8" max="8" width="10.5703125" customWidth="1"/>
    <col min="10" max="10" width="29.7109375" customWidth="1"/>
    <col min="11" max="11" width="19.5703125" customWidth="1"/>
    <col min="12" max="12" width="15" customWidth="1"/>
    <col min="14" max="14" width="9.5703125" bestFit="1" customWidth="1"/>
    <col min="15" max="15" width="10.5703125" bestFit="1" customWidth="1"/>
    <col min="246" max="246" width="27.7109375" bestFit="1" customWidth="1"/>
    <col min="247" max="247" width="12.85546875" customWidth="1"/>
    <col min="502" max="502" width="27.7109375" bestFit="1" customWidth="1"/>
    <col min="503" max="503" width="12.85546875" customWidth="1"/>
    <col min="758" max="758" width="27.7109375" bestFit="1" customWidth="1"/>
    <col min="759" max="759" width="12.85546875" customWidth="1"/>
    <col min="1014" max="1014" width="27.7109375" bestFit="1" customWidth="1"/>
    <col min="1015" max="1015" width="12.85546875" customWidth="1"/>
    <col min="1270" max="1270" width="27.7109375" bestFit="1" customWidth="1"/>
    <col min="1271" max="1271" width="12.85546875" customWidth="1"/>
    <col min="1526" max="1526" width="27.7109375" bestFit="1" customWidth="1"/>
    <col min="1527" max="1527" width="12.85546875" customWidth="1"/>
    <col min="1782" max="1782" width="27.7109375" bestFit="1" customWidth="1"/>
    <col min="1783" max="1783" width="12.85546875" customWidth="1"/>
    <col min="2038" max="2038" width="27.7109375" bestFit="1" customWidth="1"/>
    <col min="2039" max="2039" width="12.85546875" customWidth="1"/>
    <col min="2294" max="2294" width="27.7109375" bestFit="1" customWidth="1"/>
    <col min="2295" max="2295" width="12.85546875" customWidth="1"/>
    <col min="2550" max="2550" width="27.7109375" bestFit="1" customWidth="1"/>
    <col min="2551" max="2551" width="12.85546875" customWidth="1"/>
    <col min="2806" max="2806" width="27.7109375" bestFit="1" customWidth="1"/>
    <col min="2807" max="2807" width="12.85546875" customWidth="1"/>
    <col min="3062" max="3062" width="27.7109375" bestFit="1" customWidth="1"/>
    <col min="3063" max="3063" width="12.85546875" customWidth="1"/>
    <col min="3318" max="3318" width="27.7109375" bestFit="1" customWidth="1"/>
    <col min="3319" max="3319" width="12.85546875" customWidth="1"/>
    <col min="3574" max="3574" width="27.7109375" bestFit="1" customWidth="1"/>
    <col min="3575" max="3575" width="12.85546875" customWidth="1"/>
    <col min="3830" max="3830" width="27.7109375" bestFit="1" customWidth="1"/>
    <col min="3831" max="3831" width="12.85546875" customWidth="1"/>
    <col min="4086" max="4086" width="27.7109375" bestFit="1" customWidth="1"/>
    <col min="4087" max="4087" width="12.85546875" customWidth="1"/>
    <col min="4342" max="4342" width="27.7109375" bestFit="1" customWidth="1"/>
    <col min="4343" max="4343" width="12.85546875" customWidth="1"/>
    <col min="4598" max="4598" width="27.7109375" bestFit="1" customWidth="1"/>
    <col min="4599" max="4599" width="12.85546875" customWidth="1"/>
    <col min="4854" max="4854" width="27.7109375" bestFit="1" customWidth="1"/>
    <col min="4855" max="4855" width="12.85546875" customWidth="1"/>
    <col min="5110" max="5110" width="27.7109375" bestFit="1" customWidth="1"/>
    <col min="5111" max="5111" width="12.85546875" customWidth="1"/>
    <col min="5366" max="5366" width="27.7109375" bestFit="1" customWidth="1"/>
    <col min="5367" max="5367" width="12.85546875" customWidth="1"/>
    <col min="5622" max="5622" width="27.7109375" bestFit="1" customWidth="1"/>
    <col min="5623" max="5623" width="12.85546875" customWidth="1"/>
    <col min="5878" max="5878" width="27.7109375" bestFit="1" customWidth="1"/>
    <col min="5879" max="5879" width="12.85546875" customWidth="1"/>
    <col min="6134" max="6134" width="27.7109375" bestFit="1" customWidth="1"/>
    <col min="6135" max="6135" width="12.85546875" customWidth="1"/>
    <col min="6390" max="6390" width="27.7109375" bestFit="1" customWidth="1"/>
    <col min="6391" max="6391" width="12.85546875" customWidth="1"/>
    <col min="6646" max="6646" width="27.7109375" bestFit="1" customWidth="1"/>
    <col min="6647" max="6647" width="12.85546875" customWidth="1"/>
    <col min="6902" max="6902" width="27.7109375" bestFit="1" customWidth="1"/>
    <col min="6903" max="6903" width="12.85546875" customWidth="1"/>
    <col min="7158" max="7158" width="27.7109375" bestFit="1" customWidth="1"/>
    <col min="7159" max="7159" width="12.85546875" customWidth="1"/>
    <col min="7414" max="7414" width="27.7109375" bestFit="1" customWidth="1"/>
    <col min="7415" max="7415" width="12.85546875" customWidth="1"/>
    <col min="7670" max="7670" width="27.7109375" bestFit="1" customWidth="1"/>
    <col min="7671" max="7671" width="12.85546875" customWidth="1"/>
    <col min="7926" max="7926" width="27.7109375" bestFit="1" customWidth="1"/>
    <col min="7927" max="7927" width="12.85546875" customWidth="1"/>
    <col min="8182" max="8182" width="27.7109375" bestFit="1" customWidth="1"/>
    <col min="8183" max="8183" width="12.85546875" customWidth="1"/>
    <col min="8438" max="8438" width="27.7109375" bestFit="1" customWidth="1"/>
    <col min="8439" max="8439" width="12.85546875" customWidth="1"/>
    <col min="8694" max="8694" width="27.7109375" bestFit="1" customWidth="1"/>
    <col min="8695" max="8695" width="12.85546875" customWidth="1"/>
    <col min="8950" max="8950" width="27.7109375" bestFit="1" customWidth="1"/>
    <col min="8951" max="8951" width="12.85546875" customWidth="1"/>
    <col min="9206" max="9206" width="27.7109375" bestFit="1" customWidth="1"/>
    <col min="9207" max="9207" width="12.85546875" customWidth="1"/>
    <col min="9462" max="9462" width="27.7109375" bestFit="1" customWidth="1"/>
    <col min="9463" max="9463" width="12.85546875" customWidth="1"/>
    <col min="9718" max="9718" width="27.7109375" bestFit="1" customWidth="1"/>
    <col min="9719" max="9719" width="12.85546875" customWidth="1"/>
    <col min="9974" max="9974" width="27.7109375" bestFit="1" customWidth="1"/>
    <col min="9975" max="9975" width="12.85546875" customWidth="1"/>
    <col min="10230" max="10230" width="27.7109375" bestFit="1" customWidth="1"/>
    <col min="10231" max="10231" width="12.85546875" customWidth="1"/>
    <col min="10486" max="10486" width="27.7109375" bestFit="1" customWidth="1"/>
    <col min="10487" max="10487" width="12.85546875" customWidth="1"/>
    <col min="10742" max="10742" width="27.7109375" bestFit="1" customWidth="1"/>
    <col min="10743" max="10743" width="12.85546875" customWidth="1"/>
    <col min="10998" max="10998" width="27.7109375" bestFit="1" customWidth="1"/>
    <col min="10999" max="10999" width="12.85546875" customWidth="1"/>
    <col min="11254" max="11254" width="27.7109375" bestFit="1" customWidth="1"/>
    <col min="11255" max="11255" width="12.85546875" customWidth="1"/>
    <col min="11510" max="11510" width="27.7109375" bestFit="1" customWidth="1"/>
    <col min="11511" max="11511" width="12.85546875" customWidth="1"/>
    <col min="11766" max="11766" width="27.7109375" bestFit="1" customWidth="1"/>
    <col min="11767" max="11767" width="12.85546875" customWidth="1"/>
    <col min="12022" max="12022" width="27.7109375" bestFit="1" customWidth="1"/>
    <col min="12023" max="12023" width="12.85546875" customWidth="1"/>
    <col min="12278" max="12278" width="27.7109375" bestFit="1" customWidth="1"/>
    <col min="12279" max="12279" width="12.85546875" customWidth="1"/>
    <col min="12534" max="12534" width="27.7109375" bestFit="1" customWidth="1"/>
    <col min="12535" max="12535" width="12.85546875" customWidth="1"/>
    <col min="12790" max="12790" width="27.7109375" bestFit="1" customWidth="1"/>
    <col min="12791" max="12791" width="12.85546875" customWidth="1"/>
    <col min="13046" max="13046" width="27.7109375" bestFit="1" customWidth="1"/>
    <col min="13047" max="13047" width="12.85546875" customWidth="1"/>
    <col min="13302" max="13302" width="27.7109375" bestFit="1" customWidth="1"/>
    <col min="13303" max="13303" width="12.85546875" customWidth="1"/>
    <col min="13558" max="13558" width="27.7109375" bestFit="1" customWidth="1"/>
    <col min="13559" max="13559" width="12.85546875" customWidth="1"/>
    <col min="13814" max="13814" width="27.7109375" bestFit="1" customWidth="1"/>
    <col min="13815" max="13815" width="12.85546875" customWidth="1"/>
    <col min="14070" max="14070" width="27.7109375" bestFit="1" customWidth="1"/>
    <col min="14071" max="14071" width="12.85546875" customWidth="1"/>
    <col min="14326" max="14326" width="27.7109375" bestFit="1" customWidth="1"/>
    <col min="14327" max="14327" width="12.85546875" customWidth="1"/>
    <col min="14582" max="14582" width="27.7109375" bestFit="1" customWidth="1"/>
    <col min="14583" max="14583" width="12.85546875" customWidth="1"/>
    <col min="14838" max="14838" width="27.7109375" bestFit="1" customWidth="1"/>
    <col min="14839" max="14839" width="12.85546875" customWidth="1"/>
    <col min="15094" max="15094" width="27.7109375" bestFit="1" customWidth="1"/>
    <col min="15095" max="15095" width="12.85546875" customWidth="1"/>
    <col min="15350" max="15350" width="27.7109375" bestFit="1" customWidth="1"/>
    <col min="15351" max="15351" width="12.85546875" customWidth="1"/>
    <col min="15606" max="15606" width="27.7109375" bestFit="1" customWidth="1"/>
    <col min="15607" max="15607" width="12.85546875" customWidth="1"/>
    <col min="15862" max="15862" width="27.7109375" bestFit="1" customWidth="1"/>
    <col min="15863" max="15863" width="12.85546875" customWidth="1"/>
    <col min="16118" max="16118" width="27.7109375" bestFit="1" customWidth="1"/>
    <col min="16119" max="16119" width="12.85546875" customWidth="1"/>
  </cols>
  <sheetData>
    <row r="1" spans="1:11" ht="45" x14ac:dyDescent="0.25">
      <c r="A1" s="110" t="s">
        <v>170</v>
      </c>
    </row>
    <row r="2" spans="1:11" ht="30" x14ac:dyDescent="0.25">
      <c r="A2" s="110" t="s">
        <v>171</v>
      </c>
    </row>
    <row r="3" spans="1:11" x14ac:dyDescent="0.25">
      <c r="A3" s="111"/>
    </row>
    <row r="4" spans="1:11" x14ac:dyDescent="0.25">
      <c r="A4" s="2"/>
      <c r="B4" s="192" t="s">
        <v>172</v>
      </c>
      <c r="C4" s="192" t="s">
        <v>173</v>
      </c>
      <c r="D4" s="2"/>
      <c r="E4" s="2"/>
      <c r="J4" s="192">
        <v>91.44</v>
      </c>
      <c r="K4" s="192">
        <v>67.31</v>
      </c>
    </row>
    <row r="5" spans="1:11" x14ac:dyDescent="0.25">
      <c r="A5" s="2" t="s">
        <v>174</v>
      </c>
      <c r="B5" s="192">
        <v>71.12</v>
      </c>
      <c r="C5" s="192">
        <v>55.88</v>
      </c>
      <c r="D5" s="2"/>
      <c r="E5" s="2"/>
    </row>
    <row r="6" spans="1:11" x14ac:dyDescent="0.25">
      <c r="A6" s="2" t="s">
        <v>175</v>
      </c>
      <c r="B6" s="192">
        <f>B5*10</f>
        <v>711.2</v>
      </c>
      <c r="C6" s="192">
        <f>C5*10</f>
        <v>558.80000000000007</v>
      </c>
      <c r="D6" s="2"/>
      <c r="E6" s="2"/>
    </row>
    <row r="7" spans="1:11" x14ac:dyDescent="0.25">
      <c r="A7" s="2" t="s">
        <v>176</v>
      </c>
      <c r="B7" s="112">
        <f>B5/2.54</f>
        <v>28</v>
      </c>
      <c r="C7" s="112">
        <f>C5/2.54</f>
        <v>22</v>
      </c>
      <c r="D7" s="2"/>
      <c r="E7" s="2"/>
      <c r="H7" s="17"/>
      <c r="I7" s="194"/>
      <c r="J7" s="17"/>
      <c r="K7" s="17"/>
    </row>
    <row r="8" spans="1:11" x14ac:dyDescent="0.25">
      <c r="A8" s="2" t="s">
        <v>177</v>
      </c>
      <c r="B8" s="192" t="s">
        <v>172</v>
      </c>
      <c r="C8" s="192" t="s">
        <v>178</v>
      </c>
      <c r="D8" s="192" t="s">
        <v>179</v>
      </c>
      <c r="E8" s="192" t="s">
        <v>180</v>
      </c>
      <c r="G8" s="221"/>
      <c r="H8" s="17"/>
      <c r="I8" s="194"/>
      <c r="J8" s="17"/>
      <c r="K8" s="17"/>
    </row>
    <row r="9" spans="1:11" x14ac:dyDescent="0.25">
      <c r="A9" s="2"/>
      <c r="B9" s="192">
        <v>91</v>
      </c>
      <c r="C9" s="192">
        <v>55</v>
      </c>
      <c r="D9" s="192">
        <v>26</v>
      </c>
      <c r="E9" s="192">
        <v>12</v>
      </c>
      <c r="H9" s="17"/>
      <c r="I9" s="194"/>
      <c r="J9" s="17"/>
      <c r="K9" s="17"/>
    </row>
    <row r="10" spans="1:11" x14ac:dyDescent="0.25">
      <c r="A10" s="2" t="s">
        <v>181</v>
      </c>
      <c r="B10" s="192" t="s">
        <v>172</v>
      </c>
      <c r="C10" s="2">
        <f>B9+D9+(E9*2)</f>
        <v>141</v>
      </c>
      <c r="D10" s="2"/>
      <c r="E10" s="2"/>
      <c r="H10" s="17"/>
      <c r="I10" s="194"/>
      <c r="J10" s="17"/>
      <c r="K10" s="17"/>
    </row>
    <row r="11" spans="1:11" x14ac:dyDescent="0.25">
      <c r="A11" s="2"/>
      <c r="B11" s="192" t="s">
        <v>173</v>
      </c>
      <c r="C11" s="2">
        <f>(C9*2)+(D9*2)+E9</f>
        <v>174</v>
      </c>
      <c r="D11" s="2"/>
      <c r="E11" s="2"/>
    </row>
    <row r="12" spans="1:11" x14ac:dyDescent="0.25">
      <c r="A12" s="2"/>
      <c r="B12" s="192"/>
      <c r="C12" s="2"/>
      <c r="D12" s="2"/>
      <c r="E12" s="2"/>
    </row>
    <row r="13" spans="1:11" x14ac:dyDescent="0.25">
      <c r="A13" s="2" t="s">
        <v>182</v>
      </c>
      <c r="B13" s="15">
        <f>B6/C10</f>
        <v>5.0439716312056744</v>
      </c>
      <c r="C13" s="23">
        <f>C6/C11</f>
        <v>3.2114942528735635</v>
      </c>
      <c r="D13" s="2">
        <v>15</v>
      </c>
      <c r="E13" s="2"/>
    </row>
    <row r="14" spans="1:11" x14ac:dyDescent="0.25">
      <c r="A14" s="2" t="s">
        <v>183</v>
      </c>
      <c r="B14" s="192">
        <f>B6/C11</f>
        <v>4.0873563218390805</v>
      </c>
      <c r="C14" s="2">
        <f>C6/C10</f>
        <v>3.9631205673758871</v>
      </c>
      <c r="D14" s="2">
        <v>12</v>
      </c>
      <c r="E14" s="2"/>
    </row>
    <row r="15" spans="1:11" x14ac:dyDescent="0.25">
      <c r="A15" s="8" t="s">
        <v>184</v>
      </c>
      <c r="B15" s="192"/>
      <c r="C15" s="2"/>
      <c r="D15" s="8">
        <f>MAX(D14,D13)</f>
        <v>15</v>
      </c>
      <c r="E15" s="2"/>
      <c r="J15" s="77" t="s">
        <v>224</v>
      </c>
    </row>
    <row r="16" spans="1:11" x14ac:dyDescent="0.25">
      <c r="A16" s="248"/>
      <c r="B16" s="248"/>
      <c r="C16" s="248"/>
      <c r="D16" s="248"/>
      <c r="E16" s="248"/>
      <c r="F16" s="248"/>
      <c r="J16" s="77"/>
    </row>
    <row r="17" spans="1:15" x14ac:dyDescent="0.25">
      <c r="A17" s="113" t="s">
        <v>185</v>
      </c>
      <c r="B17" s="114"/>
      <c r="C17" s="114"/>
      <c r="D17" s="113"/>
      <c r="E17" s="114"/>
      <c r="F17" s="114" t="s">
        <v>64</v>
      </c>
      <c r="J17" s="115" t="s">
        <v>186</v>
      </c>
      <c r="K17" s="115"/>
      <c r="L17" s="2"/>
    </row>
    <row r="18" spans="1:15" x14ac:dyDescent="0.25">
      <c r="A18" s="16" t="s">
        <v>187</v>
      </c>
      <c r="B18" s="116">
        <v>91</v>
      </c>
      <c r="C18" s="116">
        <v>55</v>
      </c>
      <c r="D18" s="116">
        <v>26</v>
      </c>
      <c r="E18" s="16"/>
      <c r="F18" s="16"/>
      <c r="J18" s="115"/>
      <c r="K18" s="115"/>
      <c r="L18" s="2"/>
    </row>
    <row r="19" spans="1:15" ht="45" x14ac:dyDescent="0.25">
      <c r="A19" s="16" t="s">
        <v>188</v>
      </c>
      <c r="B19" s="15">
        <f>B5</f>
        <v>71.12</v>
      </c>
      <c r="C19" s="112">
        <f>C5</f>
        <v>55.88</v>
      </c>
      <c r="D19" s="116">
        <f>D15</f>
        <v>15</v>
      </c>
      <c r="E19" s="16"/>
      <c r="F19" s="16"/>
      <c r="J19" s="117" t="s">
        <v>189</v>
      </c>
      <c r="K19" s="118"/>
      <c r="L19" s="232" t="s">
        <v>372</v>
      </c>
    </row>
    <row r="20" spans="1:15" x14ac:dyDescent="0.25">
      <c r="A20" s="16" t="s">
        <v>5</v>
      </c>
      <c r="B20" s="16"/>
      <c r="C20" s="16">
        <v>285</v>
      </c>
      <c r="D20" s="16"/>
      <c r="E20" s="16"/>
      <c r="F20" s="16"/>
      <c r="J20" s="117" t="s">
        <v>190</v>
      </c>
      <c r="K20" s="119">
        <v>42003</v>
      </c>
      <c r="L20" s="2"/>
    </row>
    <row r="21" spans="1:15" ht="25.5" x14ac:dyDescent="0.25">
      <c r="A21" s="16" t="s">
        <v>191</v>
      </c>
      <c r="B21" s="16"/>
      <c r="C21" s="16">
        <f>1000/D15</f>
        <v>66.666666666666671</v>
      </c>
      <c r="D21" s="16"/>
      <c r="E21" s="16"/>
      <c r="F21" s="16"/>
      <c r="J21" s="120" t="s">
        <v>192</v>
      </c>
      <c r="K21" s="121" t="s">
        <v>186</v>
      </c>
      <c r="L21" s="2"/>
    </row>
    <row r="22" spans="1:15" x14ac:dyDescent="0.25">
      <c r="A22" s="16" t="s">
        <v>193</v>
      </c>
      <c r="B22" s="16"/>
      <c r="C22" s="16">
        <f>+B19*C19*C20/10000000*1000/D19</f>
        <v>7.5509526400000011</v>
      </c>
      <c r="D22" s="16"/>
      <c r="E22" s="16"/>
      <c r="F22" s="16"/>
      <c r="G22" s="226" t="s">
        <v>53</v>
      </c>
      <c r="H22" s="227" t="s">
        <v>370</v>
      </c>
      <c r="J22" s="120" t="s">
        <v>194</v>
      </c>
      <c r="K22" s="122" t="s">
        <v>195</v>
      </c>
      <c r="L22" s="2"/>
    </row>
    <row r="23" spans="1:15" x14ac:dyDescent="0.25">
      <c r="A23" s="16" t="s">
        <v>196</v>
      </c>
      <c r="B23" s="16"/>
      <c r="C23" s="18">
        <v>76</v>
      </c>
      <c r="D23" s="16"/>
      <c r="E23" s="16"/>
      <c r="F23" s="16">
        <f>+C23*C22</f>
        <v>573.87240064000014</v>
      </c>
      <c r="G23" s="192">
        <v>70.3</v>
      </c>
      <c r="H23" s="224">
        <v>76</v>
      </c>
      <c r="I23" s="229">
        <f>G23/H23</f>
        <v>0.92499999999999993</v>
      </c>
      <c r="J23" s="120" t="s">
        <v>197</v>
      </c>
      <c r="K23" s="123">
        <v>500000</v>
      </c>
      <c r="L23" s="2"/>
    </row>
    <row r="24" spans="1:15" x14ac:dyDescent="0.25">
      <c r="A24" s="16" t="s">
        <v>198</v>
      </c>
      <c r="B24" s="16">
        <f>(2.1+1)*2.54</f>
        <v>7.8740000000000006</v>
      </c>
      <c r="C24" s="16"/>
      <c r="D24" s="16"/>
      <c r="E24" s="16"/>
      <c r="F24" s="16"/>
      <c r="G24" s="192"/>
      <c r="H24" s="224"/>
      <c r="I24" s="204"/>
      <c r="J24" s="115"/>
      <c r="K24" s="115"/>
      <c r="L24" s="2"/>
      <c r="N24">
        <v>172.24</v>
      </c>
    </row>
    <row r="25" spans="1:15" x14ac:dyDescent="0.25">
      <c r="A25" s="16" t="s">
        <v>71</v>
      </c>
      <c r="B25" s="16">
        <v>6</v>
      </c>
      <c r="C25" s="18">
        <v>50</v>
      </c>
      <c r="D25" s="16"/>
      <c r="E25" s="16"/>
      <c r="F25" s="16">
        <f>C25*B25/D19</f>
        <v>20</v>
      </c>
      <c r="G25" s="192">
        <v>43.6</v>
      </c>
      <c r="H25" s="224">
        <v>50</v>
      </c>
      <c r="I25" s="229">
        <f t="shared" ref="I25:I30" si="0">G25/H25</f>
        <v>0.872</v>
      </c>
      <c r="J25" s="115" t="s">
        <v>199</v>
      </c>
      <c r="K25" s="124">
        <v>610.84972505315056</v>
      </c>
      <c r="L25" s="233">
        <f>K25*0.925</f>
        <v>565.03599567416427</v>
      </c>
      <c r="N25" t="s">
        <v>375</v>
      </c>
    </row>
    <row r="26" spans="1:15" x14ac:dyDescent="0.25">
      <c r="A26" s="16" t="s">
        <v>200</v>
      </c>
      <c r="B26" s="16">
        <v>6</v>
      </c>
      <c r="C26" s="16">
        <v>85</v>
      </c>
      <c r="D26" s="16"/>
      <c r="E26" s="16"/>
      <c r="F26" s="16">
        <f>C26*B26/D19</f>
        <v>34</v>
      </c>
      <c r="G26" s="192"/>
      <c r="H26" s="224"/>
      <c r="I26" s="229"/>
      <c r="J26" s="115" t="s">
        <v>201</v>
      </c>
      <c r="K26" s="124">
        <v>172.23576844057402</v>
      </c>
      <c r="L26" s="233">
        <v>163.82</v>
      </c>
      <c r="N26">
        <f>50+85</f>
        <v>135</v>
      </c>
    </row>
    <row r="27" spans="1:15" x14ac:dyDescent="0.25">
      <c r="A27" s="16" t="s">
        <v>202</v>
      </c>
      <c r="B27" s="125">
        <f>B19*C19/10000*0.006*1000/D19</f>
        <v>0.158967424</v>
      </c>
      <c r="C27" s="16">
        <v>170</v>
      </c>
      <c r="D27" s="16"/>
      <c r="E27" s="16"/>
      <c r="F27" s="16">
        <v>0</v>
      </c>
      <c r="G27" s="15"/>
      <c r="H27" s="225"/>
      <c r="I27" s="229"/>
      <c r="J27" s="115" t="s">
        <v>203</v>
      </c>
      <c r="K27" s="124">
        <v>104.31974732328767</v>
      </c>
      <c r="L27" s="233">
        <f>K27*I29</f>
        <v>90.907208381722114</v>
      </c>
      <c r="N27" s="228">
        <f>50/135</f>
        <v>0.37037037037037035</v>
      </c>
      <c r="O27" s="228">
        <f>85/135</f>
        <v>0.62962962962962965</v>
      </c>
    </row>
    <row r="28" spans="1:15" x14ac:dyDescent="0.25">
      <c r="A28" s="16" t="s">
        <v>204</v>
      </c>
      <c r="B28" s="15" t="s">
        <v>205</v>
      </c>
      <c r="C28" s="16">
        <v>150</v>
      </c>
      <c r="D28" s="16"/>
      <c r="E28" s="16"/>
      <c r="F28" s="16">
        <v>0</v>
      </c>
      <c r="G28" s="15"/>
      <c r="H28" s="225"/>
      <c r="I28" s="229"/>
      <c r="J28" s="115" t="s">
        <v>206</v>
      </c>
      <c r="K28" s="124">
        <v>121.52514508521183</v>
      </c>
      <c r="L28" s="233">
        <f>K28*I30</f>
        <v>105.90048357425603</v>
      </c>
      <c r="N28">
        <v>172</v>
      </c>
    </row>
    <row r="29" spans="1:15" x14ac:dyDescent="0.25">
      <c r="A29" s="16" t="s">
        <v>207</v>
      </c>
      <c r="B29" s="16" t="s">
        <v>208</v>
      </c>
      <c r="C29" s="18">
        <v>2.8</v>
      </c>
      <c r="D29" s="16">
        <v>1000</v>
      </c>
      <c r="E29" s="16"/>
      <c r="F29" s="16">
        <v>104</v>
      </c>
      <c r="G29" s="192">
        <v>2.44</v>
      </c>
      <c r="H29" s="225">
        <v>2.8</v>
      </c>
      <c r="I29" s="229">
        <f t="shared" si="0"/>
        <v>0.87142857142857144</v>
      </c>
      <c r="J29" s="115" t="s">
        <v>209</v>
      </c>
      <c r="K29" s="124">
        <v>37.009889106327464</v>
      </c>
      <c r="L29" s="2">
        <v>37.01</v>
      </c>
      <c r="N29" s="223">
        <f>N28*37%</f>
        <v>63.64</v>
      </c>
      <c r="O29" s="223">
        <f>N28*63%</f>
        <v>108.36</v>
      </c>
    </row>
    <row r="30" spans="1:15" x14ac:dyDescent="0.25">
      <c r="A30" s="16" t="s">
        <v>210</v>
      </c>
      <c r="B30" s="16" t="s">
        <v>211</v>
      </c>
      <c r="C30" s="18">
        <v>1.4</v>
      </c>
      <c r="D30" s="16">
        <v>100</v>
      </c>
      <c r="E30" s="16"/>
      <c r="F30" s="16">
        <v>121</v>
      </c>
      <c r="G30" s="192">
        <v>1.22</v>
      </c>
      <c r="H30" s="225">
        <v>1.4</v>
      </c>
      <c r="I30" s="229">
        <f t="shared" si="0"/>
        <v>0.87142857142857144</v>
      </c>
      <c r="J30" s="115" t="s">
        <v>212</v>
      </c>
      <c r="K30" s="124">
        <v>36.735561643835617</v>
      </c>
      <c r="L30" s="231">
        <f>K30</f>
        <v>36.735561643835617</v>
      </c>
      <c r="N30" s="17">
        <f>N29*I30</f>
        <v>55.457714285714289</v>
      </c>
      <c r="O30" s="234">
        <f>N30+O29</f>
        <v>163.81771428571429</v>
      </c>
    </row>
    <row r="31" spans="1:15" x14ac:dyDescent="0.25">
      <c r="A31" s="16" t="s">
        <v>213</v>
      </c>
      <c r="B31" s="15" t="s">
        <v>205</v>
      </c>
      <c r="C31" s="16">
        <v>125</v>
      </c>
      <c r="D31" s="16"/>
      <c r="E31" s="16"/>
      <c r="F31" s="16">
        <f>C31/D19</f>
        <v>8.3333333333333339</v>
      </c>
      <c r="I31" t="s">
        <v>53</v>
      </c>
      <c r="J31" s="115" t="s">
        <v>214</v>
      </c>
      <c r="K31" s="124">
        <v>26.232810278356162</v>
      </c>
      <c r="L31" s="231">
        <f>K31</f>
        <v>26.232810278356162</v>
      </c>
    </row>
    <row r="32" spans="1:15" x14ac:dyDescent="0.25">
      <c r="A32" s="16"/>
      <c r="B32" s="16"/>
      <c r="C32" s="16"/>
      <c r="D32" s="16"/>
      <c r="E32" s="126"/>
      <c r="F32" s="126">
        <f>SUM(F23:F31)</f>
        <v>861.20573397333351</v>
      </c>
      <c r="I32" s="17">
        <f>F32-G32</f>
        <v>861.20573397333351</v>
      </c>
      <c r="J32" s="115"/>
      <c r="K32" s="135">
        <f>SUM(K25:K31)</f>
        <v>1108.9086469307431</v>
      </c>
      <c r="L32" s="230">
        <f>SUM(L25:L31)</f>
        <v>1025.6420595523339</v>
      </c>
      <c r="M32">
        <f>L32*0.146</f>
        <v>149.74374069464074</v>
      </c>
      <c r="N32">
        <f>L32-M32</f>
        <v>875.89831885769308</v>
      </c>
    </row>
    <row r="33" spans="1:14" ht="15.75" x14ac:dyDescent="0.25">
      <c r="A33" s="16" t="s">
        <v>15</v>
      </c>
      <c r="B33" s="16"/>
      <c r="C33" s="16"/>
      <c r="D33" s="127">
        <v>0.04</v>
      </c>
      <c r="E33" s="16"/>
      <c r="F33" s="16">
        <f>F23*D33</f>
        <v>22.954896025600007</v>
      </c>
      <c r="I33">
        <f>I32*D33</f>
        <v>34.448229358933339</v>
      </c>
      <c r="J33" s="128" t="s">
        <v>215</v>
      </c>
      <c r="K33" s="129">
        <f>SUM(K25:K31)</f>
        <v>1108.9086469307431</v>
      </c>
      <c r="L33" s="230">
        <f>L32</f>
        <v>1025.6420595523339</v>
      </c>
      <c r="M33" s="238">
        <f>K33-L33</f>
        <v>83.266587378409213</v>
      </c>
      <c r="N33">
        <v>45</v>
      </c>
    </row>
    <row r="34" spans="1:14" x14ac:dyDescent="0.25">
      <c r="A34" s="16" t="s">
        <v>216</v>
      </c>
      <c r="B34" s="15" t="s">
        <v>217</v>
      </c>
      <c r="C34" s="16">
        <v>12</v>
      </c>
      <c r="D34" s="16"/>
      <c r="E34" s="16"/>
      <c r="F34" s="16">
        <f>C34</f>
        <v>12</v>
      </c>
      <c r="I34" s="16">
        <f>C34</f>
        <v>12</v>
      </c>
      <c r="J34" s="115"/>
      <c r="K34" s="115"/>
      <c r="L34" s="2"/>
      <c r="N34">
        <v>20</v>
      </c>
    </row>
    <row r="35" spans="1:14" x14ac:dyDescent="0.25">
      <c r="A35" s="16" t="s">
        <v>218</v>
      </c>
      <c r="B35" s="15" t="s">
        <v>217</v>
      </c>
      <c r="C35" s="16">
        <v>8</v>
      </c>
      <c r="D35" s="16"/>
      <c r="E35" s="16"/>
      <c r="F35" s="16">
        <f>C35</f>
        <v>8</v>
      </c>
      <c r="I35" s="16">
        <f>C35</f>
        <v>8</v>
      </c>
      <c r="J35" s="120" t="s">
        <v>371</v>
      </c>
      <c r="K35" s="130">
        <v>45.745432346537186</v>
      </c>
      <c r="L35" s="230">
        <f>L33*4.13%</f>
        <v>42.359017059511388</v>
      </c>
      <c r="N35">
        <f>SUM(N32:N34)</f>
        <v>940.89831885769308</v>
      </c>
    </row>
    <row r="36" spans="1:14" ht="15.75" x14ac:dyDescent="0.25">
      <c r="A36" s="16" t="s">
        <v>215</v>
      </c>
      <c r="B36" s="16"/>
      <c r="C36" s="16"/>
      <c r="D36" s="16"/>
      <c r="E36" s="16"/>
      <c r="F36" s="16">
        <f>SUM(F32:F35)</f>
        <v>904.16062999893347</v>
      </c>
      <c r="I36" s="17">
        <f>SUM(I32:I35)</f>
        <v>915.65396333226681</v>
      </c>
      <c r="J36" s="128" t="s">
        <v>220</v>
      </c>
      <c r="K36" s="129">
        <f>K33+K35</f>
        <v>1154.6540792772803</v>
      </c>
      <c r="L36" s="230">
        <f>L33+L35</f>
        <v>1068.0010766118453</v>
      </c>
    </row>
    <row r="37" spans="1:14" ht="15.75" x14ac:dyDescent="0.25">
      <c r="A37" s="16" t="s">
        <v>221</v>
      </c>
      <c r="B37" s="16"/>
      <c r="C37" s="16"/>
      <c r="D37" s="131">
        <v>0.1</v>
      </c>
      <c r="E37" s="132"/>
      <c r="F37" s="132">
        <f>F32*D37</f>
        <v>86.120573397333359</v>
      </c>
      <c r="I37">
        <f>I36*0.1</f>
        <v>91.565396333226687</v>
      </c>
      <c r="J37" s="128"/>
      <c r="K37" s="129"/>
      <c r="L37" s="2"/>
    </row>
    <row r="38" spans="1:14" x14ac:dyDescent="0.25">
      <c r="A38" s="16" t="s">
        <v>222</v>
      </c>
      <c r="B38" s="16"/>
      <c r="C38" s="16"/>
      <c r="D38" s="16"/>
      <c r="E38" s="132"/>
      <c r="F38" s="132">
        <f>F36+F37</f>
        <v>990.28120339626685</v>
      </c>
      <c r="I38" s="17">
        <f>SUM(I36:I37)</f>
        <v>1007.2193596654935</v>
      </c>
      <c r="J38" s="120" t="s">
        <v>223</v>
      </c>
      <c r="K38" s="130">
        <v>20.404008000000001</v>
      </c>
      <c r="L38" s="2">
        <v>20.399999999999999</v>
      </c>
    </row>
    <row r="39" spans="1:14" ht="15.75" x14ac:dyDescent="0.25">
      <c r="A39" s="133"/>
      <c r="B39" s="134"/>
      <c r="C39" s="134"/>
      <c r="D39" s="134"/>
      <c r="E39" s="134"/>
      <c r="F39" s="134"/>
      <c r="J39" s="128" t="s">
        <v>220</v>
      </c>
      <c r="K39" s="129">
        <f>+K36+K38</f>
        <v>1175.0580872772803</v>
      </c>
      <c r="L39" s="230">
        <f>L36+L38</f>
        <v>1088.4010766118454</v>
      </c>
    </row>
    <row r="40" spans="1:14" ht="15.75" x14ac:dyDescent="0.25">
      <c r="J40" s="236" t="s">
        <v>272</v>
      </c>
      <c r="K40" s="2">
        <v>1070</v>
      </c>
      <c r="L40" s="2"/>
    </row>
    <row r="41" spans="1:14" ht="21" x14ac:dyDescent="0.35">
      <c r="J41" s="236" t="s">
        <v>373</v>
      </c>
      <c r="K41" s="237">
        <f>K39*0.911</f>
        <v>1070.4779175096023</v>
      </c>
      <c r="L41" s="237">
        <f>L39*0.911</f>
        <v>991.53338079339119</v>
      </c>
    </row>
    <row r="43" spans="1:14" x14ac:dyDescent="0.25">
      <c r="A43" t="s">
        <v>277</v>
      </c>
    </row>
    <row r="44" spans="1:14" ht="30" x14ac:dyDescent="0.25">
      <c r="B44" s="8" t="s">
        <v>25</v>
      </c>
      <c r="C44" s="8" t="s">
        <v>49</v>
      </c>
      <c r="D44" s="110" t="s">
        <v>276</v>
      </c>
      <c r="E44" s="8" t="s">
        <v>106</v>
      </c>
      <c r="F44" s="8" t="s">
        <v>29</v>
      </c>
      <c r="G44" s="8" t="s">
        <v>275</v>
      </c>
      <c r="H44" s="220"/>
    </row>
    <row r="45" spans="1:14" x14ac:dyDescent="0.25">
      <c r="A45" s="162" t="s">
        <v>273</v>
      </c>
      <c r="B45" s="2">
        <v>990</v>
      </c>
      <c r="C45" s="2"/>
      <c r="D45" s="2">
        <f>B45*0.04</f>
        <v>39.6</v>
      </c>
      <c r="E45" s="2"/>
      <c r="F45" s="2">
        <f>SUM(B45:E45)</f>
        <v>1029.5999999999999</v>
      </c>
      <c r="G45" s="2">
        <f>B45</f>
        <v>990</v>
      </c>
      <c r="H45" s="73"/>
    </row>
    <row r="46" spans="1:14" x14ac:dyDescent="0.25">
      <c r="A46" s="162" t="s">
        <v>274</v>
      </c>
      <c r="B46" s="2">
        <v>1070</v>
      </c>
      <c r="C46" s="2"/>
      <c r="D46" s="2">
        <f>B46*0.01</f>
        <v>10.700000000000001</v>
      </c>
      <c r="E46" s="2"/>
      <c r="F46" s="2">
        <f>SUM(B46:E46)</f>
        <v>1080.7</v>
      </c>
      <c r="G46" s="2">
        <f>F46</f>
        <v>1080.7</v>
      </c>
      <c r="H46" s="73"/>
    </row>
    <row r="47" spans="1:14" x14ac:dyDescent="0.25">
      <c r="G47">
        <f>G46-G45</f>
        <v>90.700000000000045</v>
      </c>
    </row>
    <row r="49" spans="1:8" x14ac:dyDescent="0.25">
      <c r="A49" s="2" t="s">
        <v>268</v>
      </c>
      <c r="B49" s="2"/>
      <c r="C49" s="2"/>
      <c r="D49" s="2"/>
      <c r="E49" s="2"/>
      <c r="F49" s="2"/>
      <c r="G49" s="2"/>
      <c r="H49" s="73"/>
    </row>
    <row r="50" spans="1:8" x14ac:dyDescent="0.25">
      <c r="A50" s="2"/>
      <c r="B50" s="8" t="s">
        <v>25</v>
      </c>
      <c r="C50" s="8" t="s">
        <v>49</v>
      </c>
      <c r="D50" s="110" t="s">
        <v>269</v>
      </c>
      <c r="E50" s="8" t="s">
        <v>106</v>
      </c>
      <c r="F50" s="8" t="s">
        <v>29</v>
      </c>
      <c r="G50" s="8" t="s">
        <v>275</v>
      </c>
      <c r="H50" s="220"/>
    </row>
    <row r="51" spans="1:8" x14ac:dyDescent="0.25">
      <c r="A51" s="2" t="s">
        <v>273</v>
      </c>
      <c r="B51" s="2">
        <v>938</v>
      </c>
      <c r="C51" s="2"/>
      <c r="D51" s="2">
        <f>B51*0.12</f>
        <v>112.56</v>
      </c>
      <c r="E51" s="2"/>
      <c r="F51" s="2">
        <f>SUM(B51:E51)</f>
        <v>1050.56</v>
      </c>
      <c r="G51" s="2">
        <f>B51</f>
        <v>938</v>
      </c>
      <c r="H51" s="73"/>
    </row>
    <row r="52" spans="1:8" x14ac:dyDescent="0.25">
      <c r="A52" s="2" t="s">
        <v>274</v>
      </c>
      <c r="B52" s="2">
        <v>991</v>
      </c>
      <c r="C52" s="2"/>
      <c r="D52" s="2">
        <f t="shared" ref="D52" si="1">B52*0.12</f>
        <v>118.92</v>
      </c>
      <c r="E52" s="2"/>
      <c r="F52" s="2">
        <f>SUM(B52:E52)</f>
        <v>1109.92</v>
      </c>
      <c r="G52" s="2">
        <f>B52</f>
        <v>991</v>
      </c>
      <c r="H52" s="73"/>
    </row>
    <row r="53" spans="1:8" x14ac:dyDescent="0.25">
      <c r="G53">
        <f>G52-G51</f>
        <v>53</v>
      </c>
    </row>
    <row r="55" spans="1:8" x14ac:dyDescent="0.25">
      <c r="A55" s="2" t="s">
        <v>268</v>
      </c>
      <c r="B55" s="2"/>
      <c r="C55" s="2"/>
      <c r="D55" s="2"/>
      <c r="E55" s="2"/>
      <c r="F55" s="2"/>
      <c r="G55" s="2"/>
      <c r="H55" s="73"/>
    </row>
    <row r="56" spans="1:8" x14ac:dyDescent="0.25">
      <c r="A56" s="2"/>
      <c r="B56" s="8" t="s">
        <v>25</v>
      </c>
      <c r="C56" s="8" t="s">
        <v>49</v>
      </c>
      <c r="D56" s="110" t="s">
        <v>365</v>
      </c>
      <c r="E56" s="8" t="s">
        <v>106</v>
      </c>
      <c r="F56" s="8" t="s">
        <v>29</v>
      </c>
      <c r="G56" s="8" t="s">
        <v>275</v>
      </c>
      <c r="H56" s="220"/>
    </row>
    <row r="57" spans="1:8" x14ac:dyDescent="0.25">
      <c r="A57" s="2" t="s">
        <v>273</v>
      </c>
      <c r="B57" s="2">
        <v>938</v>
      </c>
      <c r="C57" s="2"/>
      <c r="D57" s="2">
        <f>B57*0.04</f>
        <v>37.520000000000003</v>
      </c>
      <c r="E57" s="2"/>
      <c r="F57" s="2">
        <f>SUM(B57:E57)</f>
        <v>975.52</v>
      </c>
      <c r="G57" s="2">
        <f>B57</f>
        <v>938</v>
      </c>
      <c r="H57" s="73"/>
    </row>
    <row r="58" spans="1:8" x14ac:dyDescent="0.25">
      <c r="A58" s="2" t="s">
        <v>274</v>
      </c>
      <c r="B58" s="2">
        <v>991</v>
      </c>
      <c r="C58" s="2"/>
      <c r="D58" s="2">
        <f>B58*0.04</f>
        <v>39.64</v>
      </c>
      <c r="E58" s="2"/>
      <c r="F58" s="2">
        <f>SUM(B58:E58)</f>
        <v>1030.6400000000001</v>
      </c>
      <c r="G58" s="2">
        <f>B58</f>
        <v>991</v>
      </c>
      <c r="H58" s="73"/>
    </row>
    <row r="59" spans="1:8" x14ac:dyDescent="0.25">
      <c r="G59">
        <f>G58-G57</f>
        <v>53</v>
      </c>
    </row>
    <row r="60" spans="1:8" x14ac:dyDescent="0.25">
      <c r="A60" s="2" t="s">
        <v>278</v>
      </c>
      <c r="B60" s="2"/>
      <c r="C60" s="2" t="s">
        <v>290</v>
      </c>
      <c r="D60" s="2"/>
      <c r="E60" s="2"/>
      <c r="F60" s="2"/>
    </row>
    <row r="61" spans="1:8" ht="63" x14ac:dyDescent="0.25">
      <c r="A61" s="35" t="s">
        <v>284</v>
      </c>
      <c r="B61" s="35" t="s">
        <v>283</v>
      </c>
      <c r="C61" s="35" t="s">
        <v>285</v>
      </c>
      <c r="D61" s="35" t="s">
        <v>286</v>
      </c>
      <c r="E61" s="35" t="s">
        <v>288</v>
      </c>
      <c r="F61" s="35" t="s">
        <v>289</v>
      </c>
    </row>
    <row r="62" spans="1:8" ht="15.75" x14ac:dyDescent="0.25">
      <c r="A62" s="35" t="s">
        <v>294</v>
      </c>
      <c r="B62" s="16">
        <f>B45</f>
        <v>990</v>
      </c>
      <c r="C62" s="2">
        <f>13333.33/1000</f>
        <v>13.33333</v>
      </c>
      <c r="D62" s="23">
        <f>B62*C62</f>
        <v>13199.9967</v>
      </c>
      <c r="E62" s="163">
        <f>D64/D62</f>
        <v>5.2525252525252537E-2</v>
      </c>
      <c r="F62" s="165">
        <f>1500*D64</f>
        <v>1039999.7400000002</v>
      </c>
    </row>
    <row r="63" spans="1:8" ht="15.75" x14ac:dyDescent="0.25">
      <c r="A63" s="35" t="s">
        <v>295</v>
      </c>
      <c r="B63" s="23">
        <f>B51</f>
        <v>938</v>
      </c>
      <c r="C63" s="2">
        <f>13333.33/1000</f>
        <v>13.33333</v>
      </c>
      <c r="D63" s="23">
        <f>B63*C63</f>
        <v>12506.66354</v>
      </c>
      <c r="E63" s="2"/>
      <c r="F63" s="2"/>
    </row>
    <row r="64" spans="1:8" ht="15.75" x14ac:dyDescent="0.25">
      <c r="A64" s="35" t="s">
        <v>281</v>
      </c>
      <c r="B64" s="2">
        <f>B62-B63</f>
        <v>52</v>
      </c>
      <c r="C64" s="2" t="s">
        <v>287</v>
      </c>
      <c r="D64" s="2">
        <f>D62-D63</f>
        <v>693.33316000000013</v>
      </c>
      <c r="E64" s="2"/>
      <c r="F64" s="2"/>
    </row>
    <row r="66" spans="1:9" x14ac:dyDescent="0.25">
      <c r="A66" s="2"/>
      <c r="B66" s="2"/>
      <c r="C66" s="72">
        <v>0.06</v>
      </c>
      <c r="D66" s="2"/>
      <c r="E66" s="2"/>
      <c r="F66" s="2"/>
      <c r="G66" s="2"/>
      <c r="H66" s="2"/>
      <c r="I66" s="2"/>
    </row>
    <row r="67" spans="1:9" x14ac:dyDescent="0.25">
      <c r="A67" s="2"/>
      <c r="B67" s="2" t="s">
        <v>25</v>
      </c>
      <c r="C67" s="222">
        <v>0.125</v>
      </c>
      <c r="D67" s="16" t="s">
        <v>369</v>
      </c>
      <c r="E67" s="2" t="s">
        <v>27</v>
      </c>
      <c r="F67" s="2" t="s">
        <v>28</v>
      </c>
      <c r="G67" s="2" t="s">
        <v>46</v>
      </c>
      <c r="H67" s="2" t="s">
        <v>53</v>
      </c>
      <c r="I67" s="2"/>
    </row>
    <row r="68" spans="1:9" x14ac:dyDescent="0.25">
      <c r="A68" s="235" t="s">
        <v>185</v>
      </c>
      <c r="B68" s="16">
        <v>69.075000000000003</v>
      </c>
      <c r="C68" s="23">
        <f>B68*$C$66</f>
        <v>4.1444999999999999</v>
      </c>
      <c r="D68" s="23">
        <f>0.091523</f>
        <v>9.1522999999999993E-2</v>
      </c>
      <c r="E68" s="23">
        <f>(B68+C68)*0.02</f>
        <v>1.4643899999999999</v>
      </c>
      <c r="F68" s="23">
        <v>1.22</v>
      </c>
      <c r="G68" s="16">
        <f>SUM(B68:F68)</f>
        <v>75.995412999999985</v>
      </c>
      <c r="H68" s="16">
        <f>B68+F68</f>
        <v>70.295000000000002</v>
      </c>
      <c r="I68" s="2">
        <v>70.3</v>
      </c>
    </row>
    <row r="69" spans="1:9" x14ac:dyDescent="0.25">
      <c r="A69" s="235" t="s">
        <v>71</v>
      </c>
      <c r="B69" s="16">
        <v>43.6</v>
      </c>
      <c r="C69" s="23">
        <f>B69*$C$67</f>
        <v>5.45</v>
      </c>
      <c r="D69" s="23"/>
      <c r="E69" s="23">
        <f>(B69+C69)*0.02</f>
        <v>0.98100000000000009</v>
      </c>
      <c r="F69" s="23"/>
      <c r="G69" s="16">
        <f>SUM(B69:F69)</f>
        <v>50.031000000000006</v>
      </c>
      <c r="H69" s="16">
        <f t="shared" ref="H69:H71" si="2">B69+F69</f>
        <v>43.6</v>
      </c>
      <c r="I69" s="2">
        <v>43.6</v>
      </c>
    </row>
    <row r="70" spans="1:9" x14ac:dyDescent="0.25">
      <c r="A70" s="235" t="s">
        <v>367</v>
      </c>
      <c r="B70" s="16">
        <v>2.44</v>
      </c>
      <c r="C70" s="23">
        <f>B70*$C$67</f>
        <v>0.30499999999999999</v>
      </c>
      <c r="D70" s="23"/>
      <c r="E70" s="23">
        <f>(B70+C70)*0.02</f>
        <v>5.4900000000000004E-2</v>
      </c>
      <c r="F70" s="23"/>
      <c r="G70" s="16">
        <f>SUM(B70:F70)</f>
        <v>2.7999000000000001</v>
      </c>
      <c r="H70" s="16">
        <f t="shared" si="2"/>
        <v>2.44</v>
      </c>
      <c r="I70" s="2">
        <v>2.44</v>
      </c>
    </row>
    <row r="71" spans="1:9" x14ac:dyDescent="0.25">
      <c r="A71" s="235" t="s">
        <v>368</v>
      </c>
      <c r="B71" s="16">
        <v>1.22</v>
      </c>
      <c r="C71" s="23">
        <f>B71*$C$67</f>
        <v>0.1525</v>
      </c>
      <c r="D71" s="23"/>
      <c r="E71" s="23">
        <f>(B71+C71)*0.02</f>
        <v>2.7450000000000002E-2</v>
      </c>
      <c r="F71" s="23"/>
      <c r="G71" s="16">
        <f>SUM(B71:F71)</f>
        <v>1.39995</v>
      </c>
      <c r="H71" s="16">
        <f t="shared" si="2"/>
        <v>1.22</v>
      </c>
      <c r="I71" s="2">
        <v>1.22</v>
      </c>
    </row>
    <row r="73" spans="1:9" x14ac:dyDescent="0.25">
      <c r="A73" t="s">
        <v>64</v>
      </c>
      <c r="B73" t="s">
        <v>374</v>
      </c>
    </row>
    <row r="74" spans="1:9" x14ac:dyDescent="0.25">
      <c r="A74" s="2">
        <v>1090825</v>
      </c>
      <c r="B74" s="2">
        <v>15792</v>
      </c>
      <c r="C74" s="2">
        <f>A74/B74</f>
        <v>69.074531408308005</v>
      </c>
    </row>
    <row r="75" spans="1:9" x14ac:dyDescent="0.25">
      <c r="A75" s="2">
        <f>A74*0.06</f>
        <v>65449.5</v>
      </c>
      <c r="B75" s="2"/>
      <c r="C75" s="2">
        <f>A75/B74</f>
        <v>4.14447188449848</v>
      </c>
    </row>
    <row r="76" spans="1:9" x14ac:dyDescent="0.25">
      <c r="A76" s="2">
        <f>(A74+A75)*0.00125</f>
        <v>1445.3431250000001</v>
      </c>
      <c r="B76" s="2"/>
      <c r="C76" s="2">
        <f>A76/B74</f>
        <v>9.1523754116008119E-2</v>
      </c>
      <c r="D76" s="17"/>
    </row>
    <row r="77" spans="1:9" x14ac:dyDescent="0.25">
      <c r="A77" s="2">
        <f>SUM(A74:A76)*0.02</f>
        <v>23154.396862499998</v>
      </c>
      <c r="B77" s="2"/>
      <c r="C77" s="2">
        <f>A77/B74</f>
        <v>1.4662105409384498</v>
      </c>
      <c r="D77" s="194"/>
      <c r="E77" s="194"/>
      <c r="F77" s="194"/>
      <c r="G77" s="17"/>
      <c r="H77" s="17"/>
    </row>
    <row r="78" spans="1:9" x14ac:dyDescent="0.25">
      <c r="A78" s="2"/>
      <c r="B78" s="2"/>
      <c r="C78" s="2">
        <f>SUM(C74:C77)</f>
        <v>74.77673758786095</v>
      </c>
      <c r="D78" s="194"/>
      <c r="E78" s="194"/>
      <c r="F78" s="194"/>
      <c r="G78" s="17"/>
      <c r="H78" s="17"/>
    </row>
    <row r="79" spans="1:9" x14ac:dyDescent="0.25">
      <c r="C79">
        <v>76</v>
      </c>
      <c r="D79" s="194"/>
      <c r="E79" s="194"/>
      <c r="F79" s="194"/>
      <c r="G79" s="17"/>
      <c r="H79" s="17"/>
    </row>
    <row r="80" spans="1:9" x14ac:dyDescent="0.25">
      <c r="B80" s="17"/>
      <c r="C80" s="194"/>
      <c r="D80" s="194"/>
      <c r="E80" s="194"/>
      <c r="F80" s="194"/>
      <c r="G80" s="17"/>
      <c r="H80" s="17"/>
    </row>
  </sheetData>
  <mergeCells count="1">
    <mergeCell ref="A16:F1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2" workbookViewId="0">
      <selection activeCell="L33" sqref="L33"/>
    </sheetView>
  </sheetViews>
  <sheetFormatPr defaultRowHeight="15" x14ac:dyDescent="0.25"/>
  <cols>
    <col min="2" max="2" width="46.85546875" bestFit="1" customWidth="1"/>
    <col min="3" max="4" width="10.85546875" customWidth="1"/>
    <col min="5" max="5" width="14.140625" bestFit="1" customWidth="1"/>
    <col min="6" max="6" width="12" customWidth="1"/>
    <col min="7" max="7" width="12.28515625" customWidth="1"/>
    <col min="8" max="8" width="16" bestFit="1" customWidth="1"/>
  </cols>
  <sheetData>
    <row r="1" spans="1:12" x14ac:dyDescent="0.25">
      <c r="A1" t="s">
        <v>228</v>
      </c>
    </row>
    <row r="5" spans="1:12" ht="15.75" x14ac:dyDescent="0.25">
      <c r="B5" t="s">
        <v>229</v>
      </c>
      <c r="C5" t="s">
        <v>230</v>
      </c>
      <c r="D5" t="s">
        <v>231</v>
      </c>
      <c r="L5" s="156" t="s">
        <v>257</v>
      </c>
    </row>
    <row r="6" spans="1:12" ht="15.75" x14ac:dyDescent="0.25">
      <c r="B6" t="s">
        <v>232</v>
      </c>
      <c r="C6">
        <v>8515</v>
      </c>
      <c r="D6">
        <v>6593</v>
      </c>
      <c r="L6" s="157" t="s">
        <v>258</v>
      </c>
    </row>
    <row r="7" spans="1:12" x14ac:dyDescent="0.25">
      <c r="B7" t="s">
        <v>233</v>
      </c>
      <c r="C7">
        <v>2750</v>
      </c>
      <c r="D7">
        <v>1650</v>
      </c>
    </row>
    <row r="8" spans="1:12" x14ac:dyDescent="0.25">
      <c r="B8" t="s">
        <v>234</v>
      </c>
      <c r="C8">
        <f>C6-C7</f>
        <v>5765</v>
      </c>
      <c r="D8">
        <f>D6-D7</f>
        <v>4943</v>
      </c>
    </row>
    <row r="11" spans="1:12" x14ac:dyDescent="0.25">
      <c r="B11" t="s">
        <v>235</v>
      </c>
      <c r="C11">
        <v>5765</v>
      </c>
      <c r="D11">
        <v>4943</v>
      </c>
    </row>
    <row r="12" spans="1:12" x14ac:dyDescent="0.25">
      <c r="B12" t="s">
        <v>236</v>
      </c>
      <c r="C12">
        <v>2260</v>
      </c>
      <c r="D12">
        <v>1470</v>
      </c>
    </row>
    <row r="13" spans="1:12" x14ac:dyDescent="0.25">
      <c r="B13" t="s">
        <v>237</v>
      </c>
      <c r="C13">
        <f>SUM(C11:C12)</f>
        <v>8025</v>
      </c>
      <c r="D13">
        <f>SUM(D11:D12)</f>
        <v>6413</v>
      </c>
      <c r="F13">
        <f>C6-C13</f>
        <v>490</v>
      </c>
      <c r="G13">
        <f>D6-D13</f>
        <v>180</v>
      </c>
    </row>
    <row r="16" spans="1:12" x14ac:dyDescent="0.25">
      <c r="B16" s="8" t="s">
        <v>238</v>
      </c>
      <c r="C16" s="8" t="s">
        <v>239</v>
      </c>
      <c r="D16" s="8" t="s">
        <v>240</v>
      </c>
      <c r="E16" s="8" t="s">
        <v>167</v>
      </c>
      <c r="F16" s="8" t="s">
        <v>241</v>
      </c>
      <c r="G16" s="8" t="s">
        <v>242</v>
      </c>
      <c r="H16" s="62" t="s">
        <v>243</v>
      </c>
    </row>
    <row r="17" spans="2:12" x14ac:dyDescent="0.25">
      <c r="B17" s="2" t="s">
        <v>230</v>
      </c>
      <c r="C17" s="2">
        <v>7885</v>
      </c>
      <c r="D17" s="16">
        <f>C17*0.125</f>
        <v>985.625</v>
      </c>
      <c r="E17" s="16">
        <f>(C17+D17)*2%</f>
        <v>177.41249999999999</v>
      </c>
      <c r="F17" s="2">
        <v>500</v>
      </c>
      <c r="G17" s="16">
        <f>SUM(C17:F17)</f>
        <v>9548.0375000000004</v>
      </c>
      <c r="H17" s="2" t="s">
        <v>244</v>
      </c>
    </row>
    <row r="18" spans="2:12" x14ac:dyDescent="0.25">
      <c r="B18" s="2" t="s">
        <v>231</v>
      </c>
      <c r="C18" s="2">
        <v>6313</v>
      </c>
      <c r="D18" s="16">
        <f>C18*0.125</f>
        <v>789.125</v>
      </c>
      <c r="E18" s="16">
        <f>(C18+D18)*2%</f>
        <v>142.04249999999999</v>
      </c>
      <c r="F18" s="2">
        <v>400</v>
      </c>
      <c r="G18" s="16">
        <f>SUM(C18:F18)</f>
        <v>7644.1674999999996</v>
      </c>
      <c r="H18" s="2" t="s">
        <v>244</v>
      </c>
    </row>
    <row r="19" spans="2:12" x14ac:dyDescent="0.25">
      <c r="B19" s="73"/>
      <c r="C19" s="73"/>
      <c r="D19" s="73"/>
      <c r="E19" s="73"/>
      <c r="F19" s="73"/>
      <c r="G19" s="73"/>
      <c r="H19" s="73"/>
    </row>
    <row r="20" spans="2:12" x14ac:dyDescent="0.25">
      <c r="B20" s="73"/>
      <c r="C20" s="73"/>
      <c r="D20" s="73"/>
      <c r="E20" s="73"/>
      <c r="F20" s="73"/>
      <c r="G20" s="73"/>
      <c r="H20" s="73"/>
      <c r="K20" s="158">
        <v>7885</v>
      </c>
    </row>
    <row r="21" spans="2:12" x14ac:dyDescent="0.25">
      <c r="B21" t="s">
        <v>235</v>
      </c>
      <c r="C21">
        <v>5800</v>
      </c>
      <c r="D21">
        <v>4800</v>
      </c>
      <c r="E21" s="73"/>
      <c r="F21" s="73"/>
      <c r="G21" s="73"/>
      <c r="H21" s="73"/>
      <c r="K21" s="158">
        <v>6313</v>
      </c>
    </row>
    <row r="22" spans="2:12" x14ac:dyDescent="0.25">
      <c r="B22" t="s">
        <v>236</v>
      </c>
      <c r="C22">
        <v>2390</v>
      </c>
      <c r="D22">
        <v>1550</v>
      </c>
      <c r="E22" s="73"/>
      <c r="F22" s="73"/>
      <c r="G22" s="73"/>
      <c r="H22" s="73"/>
    </row>
    <row r="23" spans="2:12" x14ac:dyDescent="0.25">
      <c r="B23" t="s">
        <v>237</v>
      </c>
      <c r="C23">
        <f>SUM(C21:C22)</f>
        <v>8190</v>
      </c>
      <c r="D23">
        <f>SUM(D21:D22)</f>
        <v>6350</v>
      </c>
      <c r="E23" s="73"/>
      <c r="F23" s="73"/>
      <c r="G23" s="73"/>
      <c r="H23" s="73"/>
    </row>
    <row r="24" spans="2:12" x14ac:dyDescent="0.25">
      <c r="B24" s="73"/>
      <c r="C24" s="73"/>
      <c r="D24" s="73"/>
      <c r="E24" s="73"/>
      <c r="F24" s="73"/>
      <c r="G24" s="73"/>
      <c r="H24" s="73"/>
    </row>
    <row r="28" spans="2:12" x14ac:dyDescent="0.25">
      <c r="B28" s="2" t="s">
        <v>245</v>
      </c>
      <c r="C28" s="2" t="s">
        <v>239</v>
      </c>
      <c r="D28" s="2" t="s">
        <v>240</v>
      </c>
      <c r="E28" s="2" t="s">
        <v>82</v>
      </c>
      <c r="F28" s="2" t="s">
        <v>241</v>
      </c>
      <c r="G28" s="2" t="s">
        <v>46</v>
      </c>
      <c r="H28" s="34" t="s">
        <v>243</v>
      </c>
    </row>
    <row r="29" spans="2:12" x14ac:dyDescent="0.25">
      <c r="B29" s="2" t="s">
        <v>230</v>
      </c>
      <c r="C29" s="2">
        <v>8050</v>
      </c>
      <c r="D29" s="100" t="s">
        <v>246</v>
      </c>
      <c r="E29" s="2">
        <f>C29*4%</f>
        <v>322</v>
      </c>
      <c r="F29" s="2"/>
      <c r="G29" s="2">
        <f>C29+E29</f>
        <v>8372</v>
      </c>
      <c r="H29" s="2" t="s">
        <v>244</v>
      </c>
    </row>
    <row r="30" spans="2:12" x14ac:dyDescent="0.25">
      <c r="B30" s="2" t="s">
        <v>231</v>
      </c>
      <c r="C30" s="2">
        <v>6250</v>
      </c>
      <c r="D30" s="100" t="s">
        <v>246</v>
      </c>
      <c r="E30" s="2">
        <f>C30*4%</f>
        <v>250</v>
      </c>
      <c r="F30" s="2"/>
      <c r="G30" s="2">
        <f>C30+E30</f>
        <v>6500</v>
      </c>
      <c r="H30" s="2" t="s">
        <v>244</v>
      </c>
    </row>
    <row r="32" spans="2:12" x14ac:dyDescent="0.25">
      <c r="J32" t="s">
        <v>25</v>
      </c>
      <c r="K32">
        <v>70</v>
      </c>
      <c r="L32">
        <v>30</v>
      </c>
    </row>
    <row r="33" spans="1:14" x14ac:dyDescent="0.25">
      <c r="I33" t="s">
        <v>259</v>
      </c>
      <c r="J33">
        <v>7885</v>
      </c>
      <c r="K33">
        <f>J33*0.7</f>
        <v>5519.5</v>
      </c>
      <c r="L33">
        <f>J33*0.3</f>
        <v>2365.5</v>
      </c>
      <c r="M33">
        <f>K33*0.02</f>
        <v>110.39</v>
      </c>
      <c r="N33">
        <f>J33-M33</f>
        <v>7774.61</v>
      </c>
    </row>
    <row r="34" spans="1:14" x14ac:dyDescent="0.25">
      <c r="B34" s="8" t="s">
        <v>247</v>
      </c>
      <c r="C34" s="8" t="s">
        <v>230</v>
      </c>
      <c r="D34" s="8" t="s">
        <v>231</v>
      </c>
      <c r="I34" t="s">
        <v>260</v>
      </c>
      <c r="J34">
        <v>8050</v>
      </c>
      <c r="K34">
        <f>J34*0.7</f>
        <v>5635</v>
      </c>
      <c r="L34">
        <f>J34*0.3</f>
        <v>2415</v>
      </c>
      <c r="M34">
        <f>K34*0.146</f>
        <v>822.70999999999992</v>
      </c>
      <c r="N34">
        <f>J34-M34</f>
        <v>7227.29</v>
      </c>
    </row>
    <row r="35" spans="1:14" x14ac:dyDescent="0.25">
      <c r="B35" s="2" t="s">
        <v>248</v>
      </c>
      <c r="C35" s="16">
        <f>G17</f>
        <v>9548.0375000000004</v>
      </c>
      <c r="D35" s="16">
        <f>G18</f>
        <v>7644.1674999999996</v>
      </c>
    </row>
    <row r="36" spans="1:14" x14ac:dyDescent="0.25">
      <c r="B36" s="2" t="s">
        <v>249</v>
      </c>
      <c r="C36" s="2">
        <f>C29</f>
        <v>8050</v>
      </c>
      <c r="D36" s="2">
        <f>C30</f>
        <v>6250</v>
      </c>
    </row>
    <row r="37" spans="1:14" x14ac:dyDescent="0.25">
      <c r="B37" s="2" t="s">
        <v>250</v>
      </c>
      <c r="C37" s="16">
        <f>C35-C36</f>
        <v>1498.0375000000004</v>
      </c>
      <c r="D37" s="16">
        <f>D35-D36</f>
        <v>1394.1674999999996</v>
      </c>
    </row>
    <row r="38" spans="1:14" x14ac:dyDescent="0.25">
      <c r="B38" s="2" t="s">
        <v>251</v>
      </c>
      <c r="C38" s="2">
        <v>350</v>
      </c>
      <c r="D38" s="2">
        <v>250</v>
      </c>
    </row>
    <row r="39" spans="1:14" x14ac:dyDescent="0.25">
      <c r="B39" s="62" t="s">
        <v>252</v>
      </c>
      <c r="C39" s="155">
        <f>SUM(C37:C38)</f>
        <v>1848.0375000000004</v>
      </c>
      <c r="D39" s="155">
        <f>SUM(D37:D38)</f>
        <v>1644.1674999999996</v>
      </c>
    </row>
    <row r="41" spans="1:14" x14ac:dyDescent="0.25">
      <c r="B41" s="2" t="s">
        <v>253</v>
      </c>
      <c r="C41" s="2" t="s">
        <v>254</v>
      </c>
      <c r="D41" s="2" t="s">
        <v>255</v>
      </c>
      <c r="E41" s="2" t="s">
        <v>256</v>
      </c>
    </row>
    <row r="42" spans="1:14" x14ac:dyDescent="0.25">
      <c r="B42" s="2" t="s">
        <v>230</v>
      </c>
      <c r="C42" s="2">
        <v>10000</v>
      </c>
      <c r="D42" s="2">
        <f>1.848</f>
        <v>1.8480000000000001</v>
      </c>
      <c r="E42" s="2">
        <f>C42*D42</f>
        <v>18480</v>
      </c>
    </row>
    <row r="43" spans="1:14" x14ac:dyDescent="0.25">
      <c r="B43" s="2" t="s">
        <v>231</v>
      </c>
      <c r="C43" s="2">
        <v>20000</v>
      </c>
      <c r="D43" s="2">
        <f>1.64417</f>
        <v>1.6441699999999999</v>
      </c>
      <c r="E43" s="2">
        <f>C43*D43</f>
        <v>32883.4</v>
      </c>
    </row>
    <row r="46" spans="1:14" x14ac:dyDescent="0.25">
      <c r="B46" s="2" t="s">
        <v>261</v>
      </c>
      <c r="C46" s="2"/>
      <c r="D46" s="2"/>
      <c r="E46" s="2"/>
      <c r="F46" s="2"/>
      <c r="G46" s="2"/>
      <c r="H46" s="2"/>
    </row>
    <row r="47" spans="1:14" x14ac:dyDescent="0.25">
      <c r="B47" s="2"/>
      <c r="C47" s="2" t="s">
        <v>25</v>
      </c>
      <c r="D47" s="2" t="s">
        <v>49</v>
      </c>
      <c r="E47" s="2" t="s">
        <v>105</v>
      </c>
      <c r="F47" s="2" t="s">
        <v>262</v>
      </c>
      <c r="G47" s="2" t="s">
        <v>242</v>
      </c>
      <c r="H47" s="2" t="s">
        <v>263</v>
      </c>
    </row>
    <row r="48" spans="1:14" x14ac:dyDescent="0.25">
      <c r="A48" t="s">
        <v>264</v>
      </c>
      <c r="B48" s="2" t="s">
        <v>265</v>
      </c>
      <c r="C48" s="100">
        <v>7885</v>
      </c>
      <c r="D48" s="15">
        <f>C48*0.125</f>
        <v>985.625</v>
      </c>
      <c r="E48" s="15">
        <f>(C48+D48)*2%</f>
        <v>177.41249999999999</v>
      </c>
      <c r="F48" s="100">
        <v>500</v>
      </c>
      <c r="G48" s="15">
        <f>SUM(C48:F48)</f>
        <v>9548.0375000000004</v>
      </c>
      <c r="H48" s="15">
        <f>G48</f>
        <v>9548.0375000000004</v>
      </c>
    </row>
    <row r="49" spans="1:8" x14ac:dyDescent="0.25">
      <c r="A49" t="s">
        <v>266</v>
      </c>
      <c r="B49" s="2" t="s">
        <v>267</v>
      </c>
      <c r="C49" s="100">
        <v>8050</v>
      </c>
      <c r="D49" s="100" t="s">
        <v>246</v>
      </c>
      <c r="E49" s="100">
        <f>C49*4%</f>
        <v>322</v>
      </c>
      <c r="F49" s="100"/>
      <c r="G49" s="100">
        <f>C49+E49</f>
        <v>8372</v>
      </c>
      <c r="H49" s="100">
        <f>C49</f>
        <v>8050</v>
      </c>
    </row>
    <row r="50" spans="1:8" x14ac:dyDescent="0.25">
      <c r="B50" s="2"/>
      <c r="C50" s="2"/>
      <c r="D50" s="2"/>
      <c r="E50" s="2"/>
      <c r="F50" s="2"/>
      <c r="G50" s="2"/>
      <c r="H50" s="159">
        <f>H48-H49</f>
        <v>1498.0375000000004</v>
      </c>
    </row>
    <row r="52" spans="1:8" x14ac:dyDescent="0.25">
      <c r="B52" t="s">
        <v>268</v>
      </c>
    </row>
    <row r="53" spans="1:8" x14ac:dyDescent="0.25">
      <c r="B53" s="2"/>
      <c r="C53" s="2" t="s">
        <v>25</v>
      </c>
      <c r="D53" s="2" t="s">
        <v>269</v>
      </c>
      <c r="E53" s="2"/>
      <c r="F53" s="2" t="s">
        <v>262</v>
      </c>
      <c r="G53" s="2" t="s">
        <v>242</v>
      </c>
      <c r="H53" s="2" t="s">
        <v>270</v>
      </c>
    </row>
    <row r="54" spans="1:8" x14ac:dyDescent="0.25">
      <c r="B54" s="2" t="s">
        <v>265</v>
      </c>
      <c r="C54" s="100">
        <f>N33</f>
        <v>7774.61</v>
      </c>
      <c r="D54" s="15">
        <f>C54*0.12</f>
        <v>932.95319999999992</v>
      </c>
      <c r="E54" s="15"/>
      <c r="F54" s="100">
        <v>500</v>
      </c>
      <c r="G54" s="15">
        <f>SUM(C54:F54)</f>
        <v>9207.5632000000005</v>
      </c>
      <c r="H54" s="15">
        <f>C54+F54</f>
        <v>8274.61</v>
      </c>
    </row>
    <row r="55" spans="1:8" x14ac:dyDescent="0.25">
      <c r="B55" s="2" t="s">
        <v>271</v>
      </c>
      <c r="C55" s="100">
        <f>N34</f>
        <v>7227.29</v>
      </c>
      <c r="D55" s="100">
        <f>C55*0.12</f>
        <v>867.27479999999991</v>
      </c>
      <c r="E55" s="100"/>
      <c r="F55" s="100"/>
      <c r="G55" s="100">
        <f>C55+E55</f>
        <v>7227.29</v>
      </c>
      <c r="H55" s="100">
        <f>C55</f>
        <v>7227.29</v>
      </c>
    </row>
    <row r="56" spans="1:8" x14ac:dyDescent="0.25">
      <c r="B56" s="2"/>
      <c r="C56" s="2"/>
      <c r="D56" s="2"/>
      <c r="E56" s="2"/>
      <c r="F56" s="2"/>
      <c r="G56" s="2"/>
      <c r="H56" s="159">
        <f>H54-H55</f>
        <v>1047.3200000000006</v>
      </c>
    </row>
    <row r="59" spans="1:8" x14ac:dyDescent="0.25">
      <c r="B59" s="2" t="s">
        <v>278</v>
      </c>
      <c r="C59" s="2"/>
      <c r="D59" s="2" t="s">
        <v>291</v>
      </c>
      <c r="E59" s="2"/>
      <c r="F59" s="2"/>
      <c r="G59" s="2"/>
    </row>
    <row r="60" spans="1:8" ht="47.25" x14ac:dyDescent="0.25">
      <c r="B60" s="35" t="s">
        <v>284</v>
      </c>
      <c r="C60" s="35" t="s">
        <v>283</v>
      </c>
      <c r="D60" s="35" t="s">
        <v>285</v>
      </c>
      <c r="E60" s="35" t="s">
        <v>286</v>
      </c>
      <c r="F60" s="35" t="s">
        <v>288</v>
      </c>
      <c r="G60" s="35" t="s">
        <v>289</v>
      </c>
    </row>
    <row r="61" spans="1:8" ht="15.75" x14ac:dyDescent="0.25">
      <c r="B61" s="35" t="s">
        <v>279</v>
      </c>
      <c r="C61" s="16">
        <f>H48</f>
        <v>9548.0375000000004</v>
      </c>
      <c r="D61" s="2">
        <f>10000/1000</f>
        <v>10</v>
      </c>
      <c r="E61" s="23">
        <f>C61*D61</f>
        <v>95480.375</v>
      </c>
      <c r="F61" s="163">
        <f>E63/E61</f>
        <v>0.24306015765019781</v>
      </c>
      <c r="G61" s="165">
        <f>20*E63</f>
        <v>464149.50000000012</v>
      </c>
    </row>
    <row r="62" spans="1:8" ht="15.75" x14ac:dyDescent="0.25">
      <c r="B62" s="35" t="s">
        <v>280</v>
      </c>
      <c r="C62" s="23">
        <f>C55</f>
        <v>7227.29</v>
      </c>
      <c r="D62" s="2">
        <f>10000/1000</f>
        <v>10</v>
      </c>
      <c r="E62" s="23">
        <f>C62*D62</f>
        <v>72272.899999999994</v>
      </c>
      <c r="F62" s="2"/>
      <c r="G62" s="2"/>
    </row>
    <row r="63" spans="1:8" ht="15.75" x14ac:dyDescent="0.25">
      <c r="B63" s="35" t="s">
        <v>281</v>
      </c>
      <c r="C63" s="2">
        <f>C61-C62</f>
        <v>2320.7475000000004</v>
      </c>
      <c r="D63" s="2" t="s">
        <v>287</v>
      </c>
      <c r="E63" s="2">
        <f>E61-E62</f>
        <v>23207.475000000006</v>
      </c>
      <c r="F63" s="2"/>
      <c r="G6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A2" workbookViewId="0">
      <selection activeCell="G21" sqref="G21"/>
    </sheetView>
  </sheetViews>
  <sheetFormatPr defaultRowHeight="15" x14ac:dyDescent="0.25"/>
  <cols>
    <col min="2" max="2" width="16.85546875" customWidth="1"/>
    <col min="7" max="7" width="10" bestFit="1" customWidth="1"/>
  </cols>
  <sheetData>
    <row r="1" spans="1:23" x14ac:dyDescent="0.25">
      <c r="A1" s="107">
        <v>42614</v>
      </c>
      <c r="B1" s="174" t="s">
        <v>306</v>
      </c>
      <c r="C1" s="175"/>
      <c r="D1" s="175"/>
      <c r="E1" s="175"/>
      <c r="F1" s="175"/>
      <c r="G1" s="175"/>
      <c r="H1" s="175"/>
      <c r="I1" s="175"/>
      <c r="J1" s="175"/>
      <c r="K1" s="175"/>
      <c r="M1" s="107">
        <v>42614</v>
      </c>
      <c r="N1" s="174" t="s">
        <v>306</v>
      </c>
      <c r="O1" s="175"/>
      <c r="P1" s="175"/>
      <c r="Q1" s="175"/>
      <c r="R1" s="175"/>
      <c r="S1" s="175"/>
      <c r="T1" s="175"/>
      <c r="U1" s="175"/>
      <c r="V1" s="175"/>
      <c r="W1" s="175"/>
    </row>
    <row r="2" spans="1:23" x14ac:dyDescent="0.25">
      <c r="A2" s="2"/>
      <c r="B2" s="175"/>
      <c r="C2" s="175"/>
      <c r="D2" s="175"/>
      <c r="E2" s="175"/>
      <c r="F2" s="175"/>
      <c r="G2" s="175"/>
      <c r="H2" s="175"/>
      <c r="I2" s="175"/>
      <c r="J2" s="175"/>
      <c r="K2" s="175"/>
      <c r="M2" s="2"/>
      <c r="N2" s="175"/>
      <c r="O2" s="175"/>
      <c r="P2" s="175"/>
      <c r="Q2" s="175"/>
      <c r="R2" s="175"/>
      <c r="S2" s="175"/>
      <c r="T2" s="175"/>
      <c r="U2" s="175"/>
      <c r="V2" s="175"/>
      <c r="W2" s="175"/>
    </row>
    <row r="3" spans="1:23" x14ac:dyDescent="0.25">
      <c r="A3" s="2"/>
      <c r="B3" s="175" t="s">
        <v>307</v>
      </c>
      <c r="C3" s="175"/>
      <c r="D3" s="175"/>
      <c r="E3" s="175"/>
      <c r="F3" s="175"/>
      <c r="G3" s="175"/>
      <c r="H3" s="175"/>
      <c r="I3" s="176" t="s">
        <v>308</v>
      </c>
      <c r="J3" s="176"/>
      <c r="K3" s="176" t="s">
        <v>309</v>
      </c>
      <c r="M3" s="2"/>
      <c r="N3" s="175" t="s">
        <v>307</v>
      </c>
      <c r="O3" s="175"/>
      <c r="P3" s="175"/>
      <c r="Q3" s="175"/>
      <c r="R3" s="175"/>
      <c r="S3" s="175"/>
      <c r="T3" s="175"/>
      <c r="U3" s="176" t="s">
        <v>308</v>
      </c>
      <c r="V3" s="176"/>
      <c r="W3" s="176" t="s">
        <v>309</v>
      </c>
    </row>
    <row r="4" spans="1:23" x14ac:dyDescent="0.25">
      <c r="A4" s="2"/>
      <c r="B4" s="175" t="s">
        <v>310</v>
      </c>
      <c r="C4" s="175" t="s">
        <v>43</v>
      </c>
      <c r="D4" s="249" t="s">
        <v>83</v>
      </c>
      <c r="E4" s="249"/>
      <c r="F4" s="176"/>
      <c r="G4" s="176"/>
      <c r="H4" s="176" t="s">
        <v>311</v>
      </c>
      <c r="I4" s="176" t="s">
        <v>312</v>
      </c>
      <c r="J4" s="175"/>
      <c r="K4" s="176" t="s">
        <v>312</v>
      </c>
      <c r="M4" s="2"/>
      <c r="N4" s="175" t="s">
        <v>310</v>
      </c>
      <c r="O4" s="175" t="s">
        <v>43</v>
      </c>
      <c r="P4" s="249" t="s">
        <v>83</v>
      </c>
      <c r="Q4" s="249"/>
      <c r="R4" s="176"/>
      <c r="S4" s="176"/>
      <c r="T4" s="176" t="s">
        <v>311</v>
      </c>
      <c r="U4" s="176" t="s">
        <v>312</v>
      </c>
      <c r="V4" s="175"/>
      <c r="W4" s="176" t="s">
        <v>312</v>
      </c>
    </row>
    <row r="5" spans="1:23" x14ac:dyDescent="0.25">
      <c r="A5" s="2"/>
      <c r="B5" s="175" t="s">
        <v>313</v>
      </c>
      <c r="C5" s="177">
        <v>130</v>
      </c>
      <c r="D5" s="178">
        <v>0.125</v>
      </c>
      <c r="E5" s="179">
        <f>C5*D5</f>
        <v>16.25</v>
      </c>
      <c r="F5" s="180">
        <v>0.02</v>
      </c>
      <c r="G5" s="179">
        <f>(C5+E5)*F5</f>
        <v>2.9250000000000003</v>
      </c>
      <c r="H5" s="179">
        <v>0</v>
      </c>
      <c r="I5" s="181">
        <v>130</v>
      </c>
      <c r="J5" s="181"/>
      <c r="K5" s="177">
        <f>I5</f>
        <v>130</v>
      </c>
      <c r="M5" s="2"/>
      <c r="N5" s="175" t="s">
        <v>313</v>
      </c>
      <c r="O5" s="177">
        <v>130</v>
      </c>
      <c r="P5" s="178">
        <v>0.125</v>
      </c>
      <c r="Q5" s="179">
        <f>O5*P5</f>
        <v>16.25</v>
      </c>
      <c r="R5" s="180">
        <v>0.02</v>
      </c>
      <c r="S5" s="179">
        <f>(O5+Q5)*R5</f>
        <v>2.9250000000000003</v>
      </c>
      <c r="T5" s="179">
        <v>1</v>
      </c>
      <c r="U5" s="181">
        <f>O5+S5+T5</f>
        <v>133.92500000000001</v>
      </c>
      <c r="V5" s="181"/>
      <c r="W5" s="177">
        <f>U5</f>
        <v>133.92500000000001</v>
      </c>
    </row>
    <row r="6" spans="1:23" x14ac:dyDescent="0.25">
      <c r="A6" s="2"/>
      <c r="B6" s="175" t="s">
        <v>200</v>
      </c>
      <c r="C6" s="175"/>
      <c r="D6" s="175"/>
      <c r="E6" s="175"/>
      <c r="F6" s="175"/>
      <c r="G6" s="175"/>
      <c r="H6" s="175"/>
      <c r="I6" s="175">
        <v>21</v>
      </c>
      <c r="J6" s="175"/>
      <c r="K6" s="175">
        <v>0</v>
      </c>
      <c r="M6" s="2"/>
      <c r="N6" s="175" t="s">
        <v>200</v>
      </c>
      <c r="O6" s="175"/>
      <c r="P6" s="175"/>
      <c r="Q6" s="175"/>
      <c r="R6" s="175"/>
      <c r="S6" s="175"/>
      <c r="T6" s="175"/>
      <c r="U6" s="175">
        <v>21</v>
      </c>
      <c r="V6" s="175"/>
      <c r="W6" s="175">
        <v>0</v>
      </c>
    </row>
    <row r="7" spans="1:23" x14ac:dyDescent="0.25">
      <c r="A7" s="2"/>
      <c r="B7" s="175" t="s">
        <v>314</v>
      </c>
      <c r="C7" s="175"/>
      <c r="D7" s="175"/>
      <c r="E7" s="175"/>
      <c r="F7" s="175"/>
      <c r="G7" s="175"/>
      <c r="H7" s="175"/>
      <c r="I7" s="177">
        <v>4</v>
      </c>
      <c r="J7" s="177"/>
      <c r="K7" s="177">
        <v>4</v>
      </c>
      <c r="M7" s="2"/>
      <c r="N7" s="175" t="s">
        <v>314</v>
      </c>
      <c r="O7" s="175"/>
      <c r="P7" s="175"/>
      <c r="Q7" s="175"/>
      <c r="R7" s="175"/>
      <c r="S7" s="175"/>
      <c r="T7" s="175"/>
      <c r="U7" s="177">
        <v>4</v>
      </c>
      <c r="V7" s="177"/>
      <c r="W7" s="177">
        <v>4</v>
      </c>
    </row>
    <row r="8" spans="1:23" x14ac:dyDescent="0.25">
      <c r="A8" s="2"/>
      <c r="B8" s="175" t="s">
        <v>315</v>
      </c>
      <c r="C8" s="175"/>
      <c r="D8" s="175"/>
      <c r="E8" s="175"/>
      <c r="F8" s="175"/>
      <c r="G8" s="175"/>
      <c r="H8" s="175"/>
      <c r="I8" s="177">
        <v>4.75</v>
      </c>
      <c r="J8" s="177"/>
      <c r="K8" s="177">
        <v>4.75</v>
      </c>
      <c r="M8" s="2"/>
      <c r="N8" s="175" t="s">
        <v>315</v>
      </c>
      <c r="O8" s="175"/>
      <c r="P8" s="175"/>
      <c r="Q8" s="175"/>
      <c r="R8" s="175"/>
      <c r="S8" s="175"/>
      <c r="T8" s="175"/>
      <c r="U8" s="177">
        <v>4.75</v>
      </c>
      <c r="V8" s="177"/>
      <c r="W8" s="177">
        <v>4.75</v>
      </c>
    </row>
    <row r="9" spans="1:23" x14ac:dyDescent="0.25">
      <c r="A9" s="2"/>
      <c r="B9" s="175" t="s">
        <v>215</v>
      </c>
      <c r="C9" s="175"/>
      <c r="D9" s="175"/>
      <c r="E9" s="175"/>
      <c r="F9" s="175"/>
      <c r="G9" s="175"/>
      <c r="H9" s="175"/>
      <c r="I9" s="177">
        <f>SUM(I5:I8)</f>
        <v>159.75</v>
      </c>
      <c r="J9" s="177"/>
      <c r="K9" s="177">
        <f>SUM(K5:K8)</f>
        <v>138.75</v>
      </c>
      <c r="M9" s="2"/>
      <c r="N9" s="175" t="s">
        <v>215</v>
      </c>
      <c r="O9" s="175"/>
      <c r="P9" s="175"/>
      <c r="Q9" s="175"/>
      <c r="R9" s="175"/>
      <c r="S9" s="175"/>
      <c r="T9" s="175"/>
      <c r="U9" s="177">
        <f>SUM(U5:U8)</f>
        <v>163.67500000000001</v>
      </c>
      <c r="V9" s="177"/>
      <c r="W9" s="177">
        <f>SUM(W5:W8)</f>
        <v>142.67500000000001</v>
      </c>
    </row>
    <row r="10" spans="1:23" x14ac:dyDescent="0.25">
      <c r="A10" s="2"/>
      <c r="B10" s="175" t="s">
        <v>15</v>
      </c>
      <c r="C10" s="175"/>
      <c r="D10" s="175"/>
      <c r="E10" s="175"/>
      <c r="F10" s="175"/>
      <c r="G10" s="175"/>
      <c r="H10" s="182">
        <v>0.05</v>
      </c>
      <c r="I10" s="177">
        <f>I5*H10</f>
        <v>6.5</v>
      </c>
      <c r="J10" s="183">
        <v>0.02</v>
      </c>
      <c r="K10" s="177">
        <f>K5*J10</f>
        <v>2.6</v>
      </c>
      <c r="M10" s="2"/>
      <c r="N10" s="175" t="s">
        <v>15</v>
      </c>
      <c r="O10" s="175"/>
      <c r="P10" s="175"/>
      <c r="Q10" s="175"/>
      <c r="R10" s="175"/>
      <c r="S10" s="175"/>
      <c r="T10" s="182">
        <v>0.05</v>
      </c>
      <c r="U10" s="177">
        <f>U5*T10</f>
        <v>6.6962500000000009</v>
      </c>
      <c r="V10" s="183">
        <v>0.02</v>
      </c>
      <c r="W10" s="177">
        <f>W5*V10</f>
        <v>2.6785000000000001</v>
      </c>
    </row>
    <row r="11" spans="1:23" x14ac:dyDescent="0.25">
      <c r="A11" s="2"/>
      <c r="B11" s="175" t="s">
        <v>316</v>
      </c>
      <c r="C11" s="175"/>
      <c r="D11" s="175"/>
      <c r="E11" s="175"/>
      <c r="F11" s="175"/>
      <c r="G11" s="175"/>
      <c r="H11" s="184">
        <v>0.08</v>
      </c>
      <c r="I11" s="177">
        <f>I9*H11</f>
        <v>12.780000000000001</v>
      </c>
      <c r="J11" s="183">
        <v>0.08</v>
      </c>
      <c r="K11" s="177">
        <f>K9*J11</f>
        <v>11.1</v>
      </c>
      <c r="M11" s="2"/>
      <c r="N11" s="175" t="s">
        <v>316</v>
      </c>
      <c r="O11" s="175"/>
      <c r="P11" s="175"/>
      <c r="Q11" s="175"/>
      <c r="R11" s="175"/>
      <c r="S11" s="175"/>
      <c r="T11" s="184">
        <v>0.08</v>
      </c>
      <c r="U11" s="177">
        <f>U9*T11</f>
        <v>13.094000000000001</v>
      </c>
      <c r="V11" s="183">
        <v>0.08</v>
      </c>
      <c r="W11" s="177">
        <f>W9*V11</f>
        <v>11.414000000000001</v>
      </c>
    </row>
    <row r="12" spans="1:23" x14ac:dyDescent="0.25">
      <c r="A12" s="2"/>
      <c r="B12" s="175" t="s">
        <v>317</v>
      </c>
      <c r="C12" s="175"/>
      <c r="D12" s="175"/>
      <c r="E12" s="175"/>
      <c r="F12" s="175"/>
      <c r="G12" s="175"/>
      <c r="H12" s="175"/>
      <c r="I12" s="177">
        <v>0.4</v>
      </c>
      <c r="J12" s="177"/>
      <c r="K12" s="177">
        <v>0.4</v>
      </c>
      <c r="M12" s="2"/>
      <c r="N12" s="175" t="s">
        <v>317</v>
      </c>
      <c r="O12" s="175"/>
      <c r="P12" s="175"/>
      <c r="Q12" s="175"/>
      <c r="R12" s="175"/>
      <c r="S12" s="175"/>
      <c r="T12" s="175"/>
      <c r="U12" s="177">
        <v>0.4</v>
      </c>
      <c r="V12" s="177"/>
      <c r="W12" s="177">
        <v>0.4</v>
      </c>
    </row>
    <row r="13" spans="1:23" x14ac:dyDescent="0.25">
      <c r="A13" s="2"/>
      <c r="B13" s="174" t="s">
        <v>222</v>
      </c>
      <c r="C13" s="175"/>
      <c r="D13" s="175"/>
      <c r="E13" s="175"/>
      <c r="F13" s="175"/>
      <c r="G13" s="175"/>
      <c r="H13" s="175"/>
      <c r="I13" s="177">
        <f>SUM(I9:I12)</f>
        <v>179.43</v>
      </c>
      <c r="J13" s="177"/>
      <c r="K13" s="185">
        <f>SUM(K9:K12)</f>
        <v>152.85</v>
      </c>
      <c r="M13" s="2"/>
      <c r="N13" s="174" t="s">
        <v>222</v>
      </c>
      <c r="O13" s="175"/>
      <c r="P13" s="175"/>
      <c r="Q13" s="175"/>
      <c r="R13" s="175"/>
      <c r="S13" s="175" t="s">
        <v>25</v>
      </c>
      <c r="T13" s="175"/>
      <c r="U13" s="177">
        <f>SUM(U9:U12)</f>
        <v>183.86525</v>
      </c>
      <c r="V13" s="177"/>
      <c r="W13" s="185">
        <f>SUM(W9:W12)</f>
        <v>157.16750000000005</v>
      </c>
    </row>
    <row r="14" spans="1:23" x14ac:dyDescent="0.25">
      <c r="M14" s="2"/>
      <c r="N14" s="2"/>
      <c r="O14" s="2"/>
      <c r="P14" s="2"/>
      <c r="Q14" s="2"/>
      <c r="R14" s="2"/>
      <c r="S14" s="2" t="s">
        <v>49</v>
      </c>
      <c r="T14" s="186">
        <v>0.125</v>
      </c>
      <c r="U14" s="16">
        <f>U13*T14</f>
        <v>22.98315625</v>
      </c>
      <c r="V14" s="2"/>
      <c r="W14" s="16">
        <f>W13*T14</f>
        <v>19.645937500000006</v>
      </c>
    </row>
    <row r="15" spans="1:23" x14ac:dyDescent="0.25">
      <c r="H15" t="s">
        <v>362</v>
      </c>
      <c r="I15" t="s">
        <v>363</v>
      </c>
      <c r="J15" t="s">
        <v>364</v>
      </c>
      <c r="M15" s="2"/>
      <c r="N15" s="2"/>
      <c r="O15" s="2"/>
      <c r="P15" s="2"/>
      <c r="Q15" s="2"/>
      <c r="R15" s="2"/>
      <c r="S15" s="2" t="s">
        <v>27</v>
      </c>
      <c r="T15" s="72">
        <v>0.02</v>
      </c>
      <c r="U15" s="16">
        <f>(U13+T15)*T15</f>
        <v>3.6777050000000004</v>
      </c>
      <c r="V15" s="2"/>
      <c r="W15" s="16">
        <f>(W13+W14)*T15</f>
        <v>3.536268750000001</v>
      </c>
    </row>
    <row r="16" spans="1:23" x14ac:dyDescent="0.25">
      <c r="G16" s="219"/>
      <c r="H16" s="219">
        <v>146.25</v>
      </c>
      <c r="I16" s="17">
        <f>C5+G5</f>
        <v>132.92500000000001</v>
      </c>
      <c r="M16" s="2"/>
      <c r="N16" s="2"/>
      <c r="O16" s="2"/>
      <c r="P16" s="2"/>
      <c r="Q16" s="2"/>
      <c r="R16" s="2"/>
      <c r="S16" s="187" t="s">
        <v>28</v>
      </c>
      <c r="T16" s="2"/>
      <c r="U16" s="2">
        <v>4.5</v>
      </c>
      <c r="V16" s="2"/>
      <c r="W16" s="2">
        <v>4.5</v>
      </c>
    </row>
    <row r="17" spans="1:23" ht="78.75" x14ac:dyDescent="0.25">
      <c r="A17" s="2"/>
      <c r="B17" s="35" t="s">
        <v>122</v>
      </c>
      <c r="C17" s="35" t="s">
        <v>123</v>
      </c>
      <c r="D17" s="35" t="s">
        <v>126</v>
      </c>
      <c r="E17" s="35" t="s">
        <v>127</v>
      </c>
      <c r="F17" s="35" t="s">
        <v>128</v>
      </c>
      <c r="G17" s="17">
        <v>156.07</v>
      </c>
      <c r="H17">
        <f>G17*0.125</f>
        <v>19.508749999999999</v>
      </c>
      <c r="I17">
        <f>(G17+H17)*0.02</f>
        <v>3.5115749999999997</v>
      </c>
      <c r="J17">
        <v>4.5</v>
      </c>
      <c r="K17" s="17">
        <f>SUM(G17:J17)</f>
        <v>183.59032499999998</v>
      </c>
      <c r="M17" s="2"/>
      <c r="N17" s="2"/>
      <c r="O17" s="2"/>
      <c r="P17" s="2"/>
      <c r="Q17" s="2"/>
      <c r="R17" s="2"/>
      <c r="S17" s="2"/>
      <c r="T17" s="2"/>
      <c r="U17" s="16">
        <f>SUM(U13:U16)</f>
        <v>215.02611125000001</v>
      </c>
      <c r="V17" s="2"/>
      <c r="W17" s="16">
        <f>SUM(W13:W16)</f>
        <v>184.84970625000005</v>
      </c>
    </row>
    <row r="18" spans="1:23" x14ac:dyDescent="0.25">
      <c r="A18" s="2" t="s">
        <v>108</v>
      </c>
      <c r="B18" s="16">
        <v>156.07</v>
      </c>
      <c r="C18" s="188">
        <v>183.59</v>
      </c>
      <c r="D18" s="2">
        <v>152.85</v>
      </c>
      <c r="E18" s="155">
        <f>D18+D18*0.12+4.5</f>
        <v>175.69200000000001</v>
      </c>
      <c r="F18" s="155">
        <f>D18+D18*0.04+4.5</f>
        <v>163.464</v>
      </c>
    </row>
    <row r="19" spans="1:23" x14ac:dyDescent="0.25">
      <c r="A19" s="2" t="s">
        <v>57</v>
      </c>
      <c r="B19" s="16">
        <v>170.73</v>
      </c>
      <c r="C19" s="189">
        <f>B19</f>
        <v>170.73</v>
      </c>
      <c r="D19" s="2">
        <v>152.85</v>
      </c>
      <c r="E19" s="155">
        <f>D19+D19*0.12</f>
        <v>171.19200000000001</v>
      </c>
      <c r="F19" s="155">
        <f>D19+D19*0.04</f>
        <v>158.964</v>
      </c>
    </row>
    <row r="20" spans="1:23" x14ac:dyDescent="0.25">
      <c r="C20" s="17">
        <f>C18-C19</f>
        <v>12.860000000000014</v>
      </c>
      <c r="E20" s="17">
        <f>E18-E19</f>
        <v>4.5</v>
      </c>
      <c r="F20" s="17">
        <f>F18-F19</f>
        <v>4.5</v>
      </c>
    </row>
    <row r="25" spans="1:23" x14ac:dyDescent="0.25">
      <c r="B25" s="2" t="s">
        <v>278</v>
      </c>
      <c r="C25" s="2"/>
      <c r="D25" s="2" t="s">
        <v>318</v>
      </c>
      <c r="E25" s="2"/>
      <c r="F25" s="2"/>
      <c r="G25" s="2"/>
    </row>
    <row r="26" spans="1:23" ht="63" x14ac:dyDescent="0.25">
      <c r="B26" s="35" t="s">
        <v>284</v>
      </c>
      <c r="C26" s="35" t="s">
        <v>283</v>
      </c>
      <c r="D26" s="35" t="s">
        <v>285</v>
      </c>
      <c r="E26" s="35" t="s">
        <v>286</v>
      </c>
      <c r="F26" s="35" t="s">
        <v>288</v>
      </c>
      <c r="G26" s="35" t="s">
        <v>289</v>
      </c>
    </row>
    <row r="27" spans="1:23" ht="15.75" x14ac:dyDescent="0.25">
      <c r="B27" s="35" t="s">
        <v>279</v>
      </c>
      <c r="C27" s="16">
        <f>C19</f>
        <v>170.73</v>
      </c>
      <c r="D27" s="2">
        <v>7</v>
      </c>
      <c r="E27" s="2">
        <f>C27*D27</f>
        <v>1195.1099999999999</v>
      </c>
      <c r="F27" s="163">
        <f>E29/E27</f>
        <v>0.1047267615533297</v>
      </c>
      <c r="G27" s="165">
        <f>1500*E29</f>
        <v>187739.99999999977</v>
      </c>
    </row>
    <row r="28" spans="1:23" ht="15.75" x14ac:dyDescent="0.25">
      <c r="B28" s="35" t="s">
        <v>280</v>
      </c>
      <c r="C28" s="2">
        <f>D19</f>
        <v>152.85</v>
      </c>
      <c r="D28" s="2">
        <v>7</v>
      </c>
      <c r="E28" s="2">
        <f>C28*D28</f>
        <v>1069.95</v>
      </c>
      <c r="F28" s="2"/>
      <c r="G28" s="2"/>
    </row>
    <row r="29" spans="1:23" ht="31.5" x14ac:dyDescent="0.25">
      <c r="B29" s="35" t="s">
        <v>281</v>
      </c>
      <c r="C29" s="2">
        <f>C27-C28</f>
        <v>17.879999999999995</v>
      </c>
      <c r="D29" s="2" t="s">
        <v>287</v>
      </c>
      <c r="E29" s="2">
        <f>E27-E28</f>
        <v>125.15999999999985</v>
      </c>
      <c r="F29" s="2"/>
      <c r="G29" s="2"/>
    </row>
  </sheetData>
  <mergeCells count="2">
    <mergeCell ref="D4:E4"/>
    <mergeCell ref="P4:Q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8"/>
  <sheetViews>
    <sheetView workbookViewId="0">
      <selection activeCell="F19" sqref="F19"/>
    </sheetView>
  </sheetViews>
  <sheetFormatPr defaultColWidth="19.7109375" defaultRowHeight="15" x14ac:dyDescent="0.25"/>
  <cols>
    <col min="2" max="2" width="14.28515625" customWidth="1"/>
    <col min="4" max="4" width="12.5703125" customWidth="1"/>
    <col min="5" max="5" width="14.7109375" bestFit="1" customWidth="1"/>
  </cols>
  <sheetData>
    <row r="4" spans="2:7" ht="30.75" x14ac:dyDescent="0.3">
      <c r="B4" s="166" t="s">
        <v>92</v>
      </c>
      <c r="C4" s="167" t="s">
        <v>296</v>
      </c>
      <c r="D4" s="168" t="s">
        <v>300</v>
      </c>
      <c r="E4" s="2" t="s">
        <v>301</v>
      </c>
    </row>
    <row r="5" spans="2:7" ht="16.5" x14ac:dyDescent="0.3">
      <c r="B5" s="167" t="s">
        <v>297</v>
      </c>
      <c r="C5" s="170">
        <v>51645670</v>
      </c>
      <c r="D5" s="163">
        <f>Wrapper!F87</f>
        <v>0.17134516056591068</v>
      </c>
      <c r="E5" s="165">
        <f>C5*D5</f>
        <v>8849235.6186840367</v>
      </c>
    </row>
    <row r="6" spans="2:7" ht="16.5" x14ac:dyDescent="0.3">
      <c r="B6" s="167" t="s">
        <v>298</v>
      </c>
      <c r="C6" s="170">
        <v>21819770</v>
      </c>
      <c r="D6" s="163">
        <f>Stiffener!F68</f>
        <v>8.0026542800265568E-2</v>
      </c>
      <c r="E6" s="165">
        <f t="shared" ref="E6:E7" si="0">C6*D6</f>
        <v>1746160.7577969506</v>
      </c>
    </row>
    <row r="7" spans="2:7" ht="16.5" x14ac:dyDescent="0.3">
      <c r="B7" s="167" t="s">
        <v>299</v>
      </c>
      <c r="C7" s="170">
        <v>21322843.199999999</v>
      </c>
      <c r="D7" s="163">
        <f>'123'!E60</f>
        <v>8.81773399014779E-2</v>
      </c>
      <c r="E7" s="165">
        <f t="shared" si="0"/>
        <v>1880191.5925123165</v>
      </c>
    </row>
    <row r="8" spans="2:7" x14ac:dyDescent="0.25">
      <c r="B8" s="2"/>
      <c r="C8" s="164"/>
      <c r="D8" s="2"/>
      <c r="E8" s="165">
        <f>SUM(E5:E7)</f>
        <v>12475587.968993304</v>
      </c>
    </row>
    <row r="9" spans="2:7" x14ac:dyDescent="0.25">
      <c r="B9" s="2"/>
      <c r="C9" s="164"/>
      <c r="D9" s="2"/>
      <c r="E9" s="169"/>
    </row>
    <row r="10" spans="2:7" ht="30.75" x14ac:dyDescent="0.3">
      <c r="B10" s="166" t="s">
        <v>92</v>
      </c>
      <c r="C10" s="171" t="s">
        <v>302</v>
      </c>
      <c r="D10" s="168" t="s">
        <v>300</v>
      </c>
      <c r="E10" s="169" t="s">
        <v>301</v>
      </c>
    </row>
    <row r="11" spans="2:7" ht="16.5" x14ac:dyDescent="0.3">
      <c r="B11" s="167" t="s">
        <v>304</v>
      </c>
      <c r="C11" s="170">
        <v>38570065</v>
      </c>
      <c r="D11" s="163">
        <f>'Carton DOY'!E62</f>
        <v>0.12626262626262627</v>
      </c>
      <c r="E11" s="165">
        <f>C11*D11</f>
        <v>4869957.7020202028</v>
      </c>
    </row>
    <row r="12" spans="2:7" ht="17.25" thickBot="1" x14ac:dyDescent="0.35">
      <c r="B12" s="167" t="s">
        <v>299</v>
      </c>
      <c r="C12" s="170">
        <v>3855910</v>
      </c>
      <c r="D12" s="163">
        <f>D7</f>
        <v>8.81773399014779E-2</v>
      </c>
      <c r="E12" s="165">
        <f t="shared" ref="E12:E13" si="1">C12*D12</f>
        <v>340003.88669950765</v>
      </c>
    </row>
    <row r="13" spans="2:7" ht="17.25" thickBot="1" x14ac:dyDescent="0.35">
      <c r="B13" s="2"/>
      <c r="C13" s="190">
        <v>2917200</v>
      </c>
      <c r="D13" s="163">
        <f>'BOPP Film'!F27</f>
        <v>0.1047267615533297</v>
      </c>
      <c r="E13" s="165">
        <f t="shared" si="1"/>
        <v>305508.9088033734</v>
      </c>
      <c r="G13" s="172"/>
    </row>
    <row r="14" spans="2:7" ht="17.25" thickBot="1" x14ac:dyDescent="0.35">
      <c r="B14" s="2"/>
      <c r="C14" s="2"/>
      <c r="D14" s="2"/>
      <c r="E14" s="165">
        <f>SUM(E11:E13)</f>
        <v>5515470.4975230843</v>
      </c>
      <c r="G14" s="172"/>
    </row>
    <row r="15" spans="2:7" ht="33.75" thickBot="1" x14ac:dyDescent="0.35">
      <c r="B15" s="166" t="s">
        <v>92</v>
      </c>
      <c r="C15" s="171" t="s">
        <v>303</v>
      </c>
      <c r="D15" s="168" t="s">
        <v>300</v>
      </c>
      <c r="E15" s="169" t="s">
        <v>301</v>
      </c>
      <c r="G15" s="172"/>
    </row>
    <row r="16" spans="2:7" ht="16.5" x14ac:dyDescent="0.3">
      <c r="B16" s="167" t="s">
        <v>305</v>
      </c>
      <c r="C16" s="170">
        <v>5204975</v>
      </c>
      <c r="D16" s="163">
        <f>'CO-EX Tube'!F61</f>
        <v>0.24306015765019781</v>
      </c>
      <c r="E16" s="165">
        <f>C16*D16</f>
        <v>1265122.0440653383</v>
      </c>
    </row>
    <row r="17" spans="2:5" ht="16.5" x14ac:dyDescent="0.3">
      <c r="B17" s="167" t="s">
        <v>299</v>
      </c>
      <c r="C17" s="170">
        <v>458396</v>
      </c>
      <c r="D17" s="163">
        <f>D12</f>
        <v>8.81773399014779E-2</v>
      </c>
      <c r="E17" s="165">
        <f t="shared" ref="E17" si="2">C17*D17</f>
        <v>40420.139901477865</v>
      </c>
    </row>
    <row r="18" spans="2:5" x14ac:dyDescent="0.25">
      <c r="B18" s="2"/>
      <c r="C18" s="2"/>
      <c r="D18" s="2"/>
      <c r="E18" s="173">
        <f>SUM(E16:E17)</f>
        <v>1305542.1839668162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26"/>
  <sheetViews>
    <sheetView workbookViewId="0">
      <selection activeCell="A11" sqref="A11"/>
    </sheetView>
  </sheetViews>
  <sheetFormatPr defaultRowHeight="15" x14ac:dyDescent="0.25"/>
  <cols>
    <col min="1" max="1" width="16" customWidth="1"/>
    <col min="6" max="6" width="9.7109375" customWidth="1"/>
    <col min="9" max="9" width="15.5703125" customWidth="1"/>
  </cols>
  <sheetData>
    <row r="2" spans="1:14" x14ac:dyDescent="0.25">
      <c r="A2" s="152"/>
      <c r="I2" s="152"/>
    </row>
    <row r="3" spans="1:14" x14ac:dyDescent="0.25">
      <c r="A3" s="136"/>
      <c r="B3" s="136"/>
      <c r="C3" s="136"/>
      <c r="D3" s="136"/>
      <c r="E3" s="136"/>
      <c r="F3" s="137" t="s">
        <v>57</v>
      </c>
      <c r="I3" s="136"/>
      <c r="J3" s="136"/>
      <c r="K3" s="136"/>
      <c r="L3" s="136"/>
      <c r="M3" s="136"/>
      <c r="N3" s="137"/>
    </row>
    <row r="4" spans="1:14" ht="15.75" x14ac:dyDescent="0.25">
      <c r="A4" s="31" t="s">
        <v>61</v>
      </c>
      <c r="B4" s="31" t="s">
        <v>62</v>
      </c>
      <c r="C4" s="31" t="s">
        <v>63</v>
      </c>
      <c r="D4" s="31" t="s">
        <v>5</v>
      </c>
      <c r="E4" s="31" t="s">
        <v>64</v>
      </c>
      <c r="F4" s="31" t="s">
        <v>65</v>
      </c>
      <c r="I4" s="138"/>
      <c r="J4" s="138"/>
      <c r="K4" s="138"/>
      <c r="L4" s="138"/>
      <c r="M4" s="138"/>
      <c r="N4" s="138"/>
    </row>
    <row r="5" spans="1:14" ht="15.75" x14ac:dyDescent="0.25">
      <c r="A5" s="32"/>
      <c r="B5" s="32"/>
      <c r="C5" s="32"/>
      <c r="D5" s="32"/>
      <c r="E5" s="32"/>
      <c r="F5" s="32"/>
      <c r="I5" s="139"/>
      <c r="J5" s="139"/>
      <c r="K5" s="139"/>
      <c r="L5" s="139"/>
      <c r="M5" s="139"/>
      <c r="N5" s="139"/>
    </row>
    <row r="6" spans="1:14" ht="15.75" x14ac:dyDescent="0.25">
      <c r="A6" s="35" t="s">
        <v>67</v>
      </c>
      <c r="B6" s="36">
        <v>12</v>
      </c>
      <c r="C6" s="36">
        <v>1.4</v>
      </c>
      <c r="D6" s="36">
        <f>B6*C6</f>
        <v>16.799999999999997</v>
      </c>
      <c r="E6" s="153">
        <v>116</v>
      </c>
      <c r="F6" s="65">
        <f>E6*D6/D12</f>
        <v>41.945759793370641</v>
      </c>
      <c r="I6" s="140"/>
      <c r="J6" s="141"/>
      <c r="K6" s="141"/>
      <c r="L6" s="141"/>
      <c r="M6" s="142"/>
      <c r="N6" s="143"/>
    </row>
    <row r="7" spans="1:14" ht="13.5" customHeight="1" x14ac:dyDescent="0.25">
      <c r="A7" s="35" t="s">
        <v>227</v>
      </c>
      <c r="B7" s="36">
        <v>28</v>
      </c>
      <c r="C7" s="36">
        <v>0.97</v>
      </c>
      <c r="D7" s="36">
        <f>B7*C7</f>
        <v>27.16</v>
      </c>
      <c r="E7" s="153">
        <v>136</v>
      </c>
      <c r="F7" s="65">
        <f>E7*D7/D12</f>
        <v>79.504089539388744</v>
      </c>
      <c r="I7" s="140"/>
      <c r="J7" s="141"/>
      <c r="K7" s="141"/>
      <c r="L7" s="141"/>
      <c r="M7" s="142"/>
      <c r="N7" s="143"/>
    </row>
    <row r="8" spans="1:14" ht="15.75" x14ac:dyDescent="0.25">
      <c r="A8" s="35" t="s">
        <v>69</v>
      </c>
      <c r="B8" s="36"/>
      <c r="C8" s="36"/>
      <c r="D8" s="36">
        <v>0</v>
      </c>
      <c r="E8" s="36">
        <v>151</v>
      </c>
      <c r="F8" s="65">
        <f>E8*D8/D12</f>
        <v>0</v>
      </c>
      <c r="I8" s="140"/>
      <c r="J8" s="141"/>
      <c r="K8" s="141"/>
      <c r="L8" s="141"/>
      <c r="M8" s="141"/>
      <c r="N8" s="143"/>
    </row>
    <row r="9" spans="1:14" ht="15.75" x14ac:dyDescent="0.25">
      <c r="A9" s="35" t="s">
        <v>70</v>
      </c>
      <c r="B9" s="36"/>
      <c r="C9" s="36"/>
      <c r="D9" s="36">
        <v>0</v>
      </c>
      <c r="E9" s="153">
        <v>104</v>
      </c>
      <c r="F9" s="65">
        <f>E9*D9/D12</f>
        <v>0</v>
      </c>
      <c r="I9" s="140"/>
      <c r="J9" s="141"/>
      <c r="K9" s="141"/>
      <c r="L9" s="141"/>
      <c r="M9" s="142"/>
      <c r="N9" s="143"/>
    </row>
    <row r="10" spans="1:14" ht="15.75" x14ac:dyDescent="0.25">
      <c r="A10" s="35" t="s">
        <v>71</v>
      </c>
      <c r="B10" s="36"/>
      <c r="C10" s="36"/>
      <c r="D10" s="36">
        <v>0.5</v>
      </c>
      <c r="E10" s="36">
        <v>1700</v>
      </c>
      <c r="F10" s="65">
        <f>E10*D10/D12</f>
        <v>18.295307791648732</v>
      </c>
      <c r="I10" s="140"/>
      <c r="J10" s="141"/>
      <c r="K10" s="141"/>
      <c r="L10" s="141"/>
      <c r="M10" s="141"/>
      <c r="N10" s="143"/>
    </row>
    <row r="11" spans="1:14" ht="15.75" x14ac:dyDescent="0.25">
      <c r="A11" s="35" t="s">
        <v>72</v>
      </c>
      <c r="B11" s="36"/>
      <c r="C11" s="36"/>
      <c r="D11" s="36">
        <v>2</v>
      </c>
      <c r="E11" s="36">
        <v>375</v>
      </c>
      <c r="F11" s="65">
        <f>E11*D11/D12</f>
        <v>16.142918639690059</v>
      </c>
      <c r="I11" s="140"/>
      <c r="J11" s="141"/>
      <c r="K11" s="141"/>
      <c r="L11" s="141"/>
      <c r="M11" s="141"/>
      <c r="N11" s="143"/>
    </row>
    <row r="12" spans="1:14" ht="15.75" x14ac:dyDescent="0.25">
      <c r="A12" s="46" t="s">
        <v>73</v>
      </c>
      <c r="B12" s="47"/>
      <c r="C12" s="47"/>
      <c r="D12" s="47">
        <f>SUM(D6:D11)</f>
        <v>46.459999999999994</v>
      </c>
      <c r="E12" s="47"/>
      <c r="F12" s="69">
        <f>SUM(F6:F11)</f>
        <v>155.88807576409818</v>
      </c>
      <c r="I12" s="144"/>
      <c r="J12" s="145"/>
      <c r="K12" s="145"/>
      <c r="L12" s="145"/>
      <c r="M12" s="145"/>
      <c r="N12" s="146"/>
    </row>
    <row r="13" spans="1:14" ht="15.75" x14ac:dyDescent="0.25">
      <c r="A13" s="35" t="s">
        <v>74</v>
      </c>
      <c r="B13" s="53">
        <v>0.1</v>
      </c>
      <c r="C13" s="36"/>
      <c r="D13" s="36"/>
      <c r="E13" s="36"/>
      <c r="F13" s="65">
        <f>F12*B13</f>
        <v>15.588807576409819</v>
      </c>
      <c r="I13" s="140"/>
      <c r="J13" s="147"/>
      <c r="K13" s="141"/>
      <c r="L13" s="141"/>
      <c r="M13" s="141"/>
      <c r="N13" s="143"/>
    </row>
    <row r="14" spans="1:14" ht="15.75" x14ac:dyDescent="0.25">
      <c r="A14" s="35"/>
      <c r="B14" s="36"/>
      <c r="C14" s="36"/>
      <c r="D14" s="36"/>
      <c r="E14" s="36" t="s">
        <v>46</v>
      </c>
      <c r="F14" s="65">
        <f>F12+F13</f>
        <v>171.47688334050798</v>
      </c>
      <c r="I14" s="140"/>
      <c r="J14" s="141"/>
      <c r="K14" s="141"/>
      <c r="L14" s="141"/>
      <c r="M14" s="141"/>
      <c r="N14" s="143"/>
    </row>
    <row r="15" spans="1:14" ht="15.75" x14ac:dyDescent="0.25">
      <c r="A15" s="35" t="s">
        <v>75</v>
      </c>
      <c r="B15" s="36"/>
      <c r="C15" s="36"/>
      <c r="D15" s="36"/>
      <c r="E15" s="36"/>
      <c r="F15" s="65">
        <v>3</v>
      </c>
      <c r="I15" s="140"/>
      <c r="J15" s="141"/>
      <c r="K15" s="141"/>
      <c r="L15" s="141"/>
      <c r="M15" s="141"/>
      <c r="N15" s="143"/>
    </row>
    <row r="16" spans="1:14" ht="15.75" x14ac:dyDescent="0.25">
      <c r="A16" s="35" t="s">
        <v>76</v>
      </c>
      <c r="B16" s="36"/>
      <c r="C16" s="36"/>
      <c r="D16" s="36"/>
      <c r="E16" s="36"/>
      <c r="F16" s="65">
        <v>1.75</v>
      </c>
      <c r="I16" s="140"/>
      <c r="J16" s="141"/>
      <c r="K16" s="141"/>
      <c r="L16" s="141"/>
      <c r="M16" s="141"/>
      <c r="N16" s="143"/>
    </row>
    <row r="17" spans="1:14" ht="15.75" x14ac:dyDescent="0.25">
      <c r="A17" s="35" t="s">
        <v>77</v>
      </c>
      <c r="B17" s="36"/>
      <c r="C17" s="36"/>
      <c r="D17" s="36"/>
      <c r="E17" s="36"/>
      <c r="F17" s="65">
        <v>0</v>
      </c>
      <c r="I17" s="140"/>
      <c r="J17" s="141"/>
      <c r="K17" s="141"/>
      <c r="L17" s="141"/>
      <c r="M17" s="141"/>
      <c r="N17" s="143"/>
    </row>
    <row r="18" spans="1:14" ht="15.75" x14ac:dyDescent="0.25">
      <c r="A18" s="58" t="s">
        <v>78</v>
      </c>
      <c r="B18" s="53">
        <v>0.17</v>
      </c>
      <c r="C18" s="36"/>
      <c r="D18" s="36"/>
      <c r="E18" s="36"/>
      <c r="F18" s="65">
        <f>F14*B18</f>
        <v>29.15107016788636</v>
      </c>
      <c r="I18" s="148"/>
      <c r="J18" s="147"/>
      <c r="K18" s="141"/>
      <c r="L18" s="141"/>
      <c r="M18" s="141"/>
      <c r="N18" s="143"/>
    </row>
    <row r="19" spans="1:14" ht="15.75" x14ac:dyDescent="0.25">
      <c r="A19" s="46" t="s">
        <v>79</v>
      </c>
      <c r="B19" s="36"/>
      <c r="C19" s="36"/>
      <c r="D19" s="36"/>
      <c r="E19" s="36"/>
      <c r="F19" s="154">
        <f>SUM(F15:F18)</f>
        <v>33.90107016788636</v>
      </c>
      <c r="I19" s="144"/>
      <c r="J19" s="141"/>
      <c r="K19" s="141"/>
      <c r="L19" s="141"/>
      <c r="M19" s="141"/>
      <c r="N19" s="149"/>
    </row>
    <row r="20" spans="1:14" ht="15.75" x14ac:dyDescent="0.25">
      <c r="A20" s="35" t="s">
        <v>46</v>
      </c>
      <c r="B20" s="36"/>
      <c r="C20" s="36"/>
      <c r="D20" s="36"/>
      <c r="E20" s="36"/>
      <c r="F20" s="65">
        <f>F14+F19</f>
        <v>205.37795350839434</v>
      </c>
      <c r="I20" s="140"/>
      <c r="J20" s="141"/>
      <c r="K20" s="141"/>
      <c r="L20" s="141"/>
      <c r="M20" s="141"/>
      <c r="N20" s="143"/>
    </row>
    <row r="21" spans="1:14" ht="15.75" x14ac:dyDescent="0.25">
      <c r="A21" s="35" t="s">
        <v>80</v>
      </c>
      <c r="B21" s="36"/>
      <c r="C21" s="36"/>
      <c r="D21" s="36"/>
      <c r="E21" s="36"/>
      <c r="F21" s="65"/>
      <c r="I21" s="140"/>
      <c r="J21" s="141"/>
      <c r="K21" s="141"/>
      <c r="L21" s="141"/>
      <c r="M21" s="141"/>
      <c r="N21" s="143"/>
    </row>
    <row r="22" spans="1:14" ht="15.75" x14ac:dyDescent="0.25">
      <c r="A22" s="65"/>
      <c r="B22" s="65"/>
      <c r="C22" s="65"/>
      <c r="D22" s="65"/>
      <c r="E22" s="65" t="s">
        <v>225</v>
      </c>
      <c r="F22" s="65">
        <f>F20*5%</f>
        <v>10.268897675419717</v>
      </c>
      <c r="I22" s="143"/>
      <c r="J22" s="143"/>
      <c r="K22" s="143"/>
      <c r="L22" s="143"/>
      <c r="M22" s="143"/>
      <c r="N22" s="143"/>
    </row>
    <row r="23" spans="1:14" ht="15.75" x14ac:dyDescent="0.25">
      <c r="A23" s="68"/>
      <c r="B23" s="68"/>
      <c r="C23" s="68"/>
      <c r="D23" s="68"/>
      <c r="E23" s="65" t="s">
        <v>84</v>
      </c>
      <c r="F23" s="65">
        <f>-F22</f>
        <v>-10.268897675419717</v>
      </c>
      <c r="I23" s="150"/>
      <c r="J23" s="150"/>
      <c r="K23" s="150"/>
      <c r="L23" s="150"/>
      <c r="M23" s="143"/>
      <c r="N23" s="143"/>
    </row>
    <row r="24" spans="1:14" ht="15.75" x14ac:dyDescent="0.25">
      <c r="A24" s="58" t="s">
        <v>85</v>
      </c>
      <c r="B24" s="36"/>
      <c r="C24" s="36"/>
      <c r="D24" s="36"/>
      <c r="E24" s="36"/>
      <c r="F24" s="65">
        <v>1</v>
      </c>
      <c r="I24" s="148"/>
      <c r="J24" s="141"/>
      <c r="K24" s="141"/>
      <c r="L24" s="141"/>
      <c r="M24" s="141"/>
      <c r="N24" s="143"/>
    </row>
    <row r="25" spans="1:14" ht="31.5" x14ac:dyDescent="0.25">
      <c r="A25" s="46" t="s">
        <v>86</v>
      </c>
      <c r="B25" s="68"/>
      <c r="C25" s="68"/>
      <c r="D25" s="68"/>
      <c r="E25" s="68"/>
      <c r="F25" s="69">
        <f>SUM(F20:F24)</f>
        <v>206.37795350839434</v>
      </c>
      <c r="I25" s="144"/>
      <c r="J25" s="150"/>
      <c r="K25" s="150"/>
      <c r="L25" s="150"/>
      <c r="M25" s="150"/>
      <c r="N25" s="146"/>
    </row>
    <row r="26" spans="1:14" ht="15.75" x14ac:dyDescent="0.25">
      <c r="A26" s="35" t="s">
        <v>226</v>
      </c>
      <c r="B26" s="2"/>
      <c r="C26" s="2"/>
      <c r="D26" s="2"/>
      <c r="E26" s="72">
        <v>0.02</v>
      </c>
      <c r="F26" s="16">
        <f>F25*E26</f>
        <v>4.1275590701678873</v>
      </c>
      <c r="I26" s="140"/>
      <c r="M26" s="151"/>
      <c r="N26" s="17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62"/>
  <sheetViews>
    <sheetView workbookViewId="0">
      <selection activeCell="B16" sqref="B16"/>
    </sheetView>
  </sheetViews>
  <sheetFormatPr defaultRowHeight="15" x14ac:dyDescent="0.25"/>
  <cols>
    <col min="1" max="1" width="33.140625" bestFit="1" customWidth="1"/>
    <col min="2" max="2" width="12.7109375" bestFit="1" customWidth="1"/>
    <col min="3" max="3" width="16.140625" bestFit="1" customWidth="1"/>
    <col min="4" max="4" width="9.140625" bestFit="1" customWidth="1"/>
    <col min="5" max="5" width="24" bestFit="1" customWidth="1"/>
    <col min="6" max="6" width="11.28515625" bestFit="1" customWidth="1"/>
    <col min="7" max="9" width="12" bestFit="1" customWidth="1"/>
    <col min="10" max="10" width="8.140625" bestFit="1" customWidth="1"/>
    <col min="11" max="11" width="6.140625" bestFit="1" customWidth="1"/>
    <col min="12" max="12" width="12" bestFit="1" customWidth="1"/>
    <col min="13" max="13" width="11.42578125" bestFit="1" customWidth="1"/>
    <col min="14" max="14" width="12" bestFit="1" customWidth="1"/>
  </cols>
  <sheetData>
    <row r="4" spans="1:14" x14ac:dyDescent="0.25">
      <c r="A4" s="1">
        <v>42681</v>
      </c>
    </row>
    <row r="5" spans="1:14" x14ac:dyDescent="0.25">
      <c r="A5" s="3" t="s">
        <v>18</v>
      </c>
      <c r="B5" s="2" t="s">
        <v>0</v>
      </c>
      <c r="C5" s="2" t="s">
        <v>1</v>
      </c>
      <c r="D5" s="2" t="s">
        <v>2</v>
      </c>
      <c r="E5" s="2" t="s">
        <v>3</v>
      </c>
      <c r="F5" s="2" t="s">
        <v>3</v>
      </c>
      <c r="G5" s="2" t="s">
        <v>3</v>
      </c>
      <c r="H5" s="2" t="s">
        <v>3</v>
      </c>
      <c r="I5" s="4" t="s">
        <v>4</v>
      </c>
      <c r="J5" s="4" t="s">
        <v>5</v>
      </c>
      <c r="K5" s="4" t="s">
        <v>6</v>
      </c>
      <c r="L5" s="2" t="s">
        <v>7</v>
      </c>
      <c r="M5" s="2" t="s">
        <v>8</v>
      </c>
      <c r="N5" s="2" t="s">
        <v>9</v>
      </c>
    </row>
    <row r="6" spans="1:14" x14ac:dyDescent="0.25">
      <c r="A6" s="7"/>
      <c r="B6" s="2" t="s">
        <v>10</v>
      </c>
      <c r="C6" s="2" t="s">
        <v>10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/>
      <c r="J6" s="2"/>
      <c r="K6" s="2"/>
      <c r="L6" s="2" t="s">
        <v>15</v>
      </c>
      <c r="M6" s="2" t="s">
        <v>16</v>
      </c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 t="s">
        <v>19</v>
      </c>
      <c r="B8" s="2">
        <v>374</v>
      </c>
      <c r="C8" s="2">
        <v>334</v>
      </c>
      <c r="D8" s="2">
        <v>168</v>
      </c>
      <c r="E8" s="2">
        <f>B8+5</f>
        <v>379</v>
      </c>
      <c r="F8" s="2">
        <f>C8+5</f>
        <v>339</v>
      </c>
      <c r="G8" s="2">
        <f>D8+5</f>
        <v>173</v>
      </c>
      <c r="H8" s="2">
        <f>(E8+F8)*2+30+10</f>
        <v>1476</v>
      </c>
      <c r="I8" s="2">
        <f>F8+G8+10</f>
        <v>522</v>
      </c>
      <c r="J8" s="2"/>
      <c r="K8" s="2"/>
      <c r="L8" s="2"/>
      <c r="M8" s="2"/>
      <c r="N8" s="2"/>
    </row>
    <row r="9" spans="1:14" x14ac:dyDescent="0.25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/>
      <c r="B10" s="2">
        <f>B8+5</f>
        <v>379</v>
      </c>
      <c r="C10" s="2">
        <f>C8+5</f>
        <v>339</v>
      </c>
      <c r="D10" s="2">
        <f>D8+5</f>
        <v>173</v>
      </c>
      <c r="E10" s="2">
        <f>(B10+C10)*2+30+10</f>
        <v>1476</v>
      </c>
      <c r="F10" s="2">
        <f>C10+D10+10</f>
        <v>522</v>
      </c>
      <c r="G10" s="2">
        <f>E10/25.41</f>
        <v>58.087367178276267</v>
      </c>
      <c r="H10" s="2">
        <f>F10/25.41</f>
        <v>20.543093270365997</v>
      </c>
      <c r="I10" s="2">
        <f>(G10*H10)/1550</f>
        <v>0.76986722695053278</v>
      </c>
      <c r="J10" s="2">
        <v>180</v>
      </c>
      <c r="K10" s="2">
        <v>1</v>
      </c>
      <c r="L10" s="2">
        <f>I10*J10*K10*1.04/1000</f>
        <v>0.14411914488513974</v>
      </c>
      <c r="M10" s="2">
        <v>34</v>
      </c>
      <c r="N10" s="2">
        <f>L10*M10</f>
        <v>4.9000509260947513</v>
      </c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>
        <v>100</v>
      </c>
      <c r="K11" s="2">
        <v>4.66</v>
      </c>
      <c r="L11" s="2">
        <f>I10*J11*K11*1.04/1000</f>
        <v>0.37310845286930622</v>
      </c>
      <c r="M11" s="2">
        <v>34</v>
      </c>
      <c r="N11" s="2">
        <f>L11*M11</f>
        <v>12.685687397556411</v>
      </c>
    </row>
    <row r="12" spans="1:14" x14ac:dyDescent="0.25">
      <c r="A12" s="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6">
        <f>SUM(L10:L11)</f>
        <v>0.51722759775444593</v>
      </c>
      <c r="M12" s="2"/>
      <c r="N12" s="2"/>
    </row>
    <row r="13" spans="1:14" x14ac:dyDescent="0.25">
      <c r="A13" s="2">
        <v>35.799999999999997</v>
      </c>
      <c r="B13" s="2">
        <f>31+4.8</f>
        <v>35.799999999999997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f>SUM(N10:N11)</f>
        <v>17.585738323651164</v>
      </c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1">
        <v>42681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8" t="s">
        <v>319</v>
      </c>
      <c r="B16" s="2">
        <f>28+4.8+1</f>
        <v>33.799999999999997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0" x14ac:dyDescent="0.25">
      <c r="A17" s="2" t="s">
        <v>320</v>
      </c>
    </row>
    <row r="19" spans="1:10" ht="15.75" thickBot="1" x14ac:dyDescent="0.3">
      <c r="A19" t="s">
        <v>20</v>
      </c>
      <c r="B19" t="s">
        <v>21</v>
      </c>
      <c r="E19" t="s">
        <v>22</v>
      </c>
    </row>
    <row r="20" spans="1:10" ht="15.75" thickBot="1" x14ac:dyDescent="0.3">
      <c r="A20" s="246" t="s">
        <v>23</v>
      </c>
      <c r="B20" s="247"/>
      <c r="C20" s="9" t="s">
        <v>24</v>
      </c>
      <c r="E20" t="s">
        <v>25</v>
      </c>
      <c r="F20" t="s">
        <v>26</v>
      </c>
      <c r="G20" t="s">
        <v>27</v>
      </c>
      <c r="H20" t="s">
        <v>28</v>
      </c>
      <c r="I20" t="s">
        <v>29</v>
      </c>
    </row>
    <row r="21" spans="1:10" ht="15.75" thickBot="1" x14ac:dyDescent="0.3">
      <c r="A21" s="10" t="s">
        <v>30</v>
      </c>
      <c r="B21" s="11">
        <f>29.5-1.5</f>
        <v>28</v>
      </c>
      <c r="C21" s="11">
        <f>29.5-1.5</f>
        <v>28</v>
      </c>
      <c r="E21" s="2">
        <v>25</v>
      </c>
      <c r="F21" s="2">
        <f>E21*0.061</f>
        <v>1.5249999999999999</v>
      </c>
      <c r="G21" s="2">
        <f>(E21+F21)*0.02</f>
        <v>0.53049999999999997</v>
      </c>
      <c r="H21" s="2">
        <v>1</v>
      </c>
      <c r="I21" s="2">
        <f>SUM(E21:H21)</f>
        <v>28.055499999999999</v>
      </c>
    </row>
    <row r="22" spans="1:10" ht="15.75" thickBot="1" x14ac:dyDescent="0.3">
      <c r="A22" s="10" t="s">
        <v>31</v>
      </c>
      <c r="B22" s="11">
        <f>32-1.5</f>
        <v>30.5</v>
      </c>
      <c r="C22" s="11">
        <f>32-1.5</f>
        <v>30.5</v>
      </c>
      <c r="E22" s="2">
        <v>26.8</v>
      </c>
      <c r="F22" s="2">
        <f t="shared" ref="F22:F26" si="0">E22*0.061</f>
        <v>1.6348</v>
      </c>
      <c r="G22" s="2">
        <f t="shared" ref="G22:G26" si="1">(E22+F22)*0.02</f>
        <v>0.56869599999999998</v>
      </c>
      <c r="H22" s="2">
        <v>1</v>
      </c>
      <c r="I22" s="2">
        <f t="shared" ref="I22:I26" si="2">SUM(E22:H22)</f>
        <v>30.003495999999998</v>
      </c>
    </row>
    <row r="23" spans="1:10" ht="15.75" thickBot="1" x14ac:dyDescent="0.3">
      <c r="A23" s="10" t="s">
        <v>32</v>
      </c>
      <c r="B23" s="11">
        <f>33-1.5</f>
        <v>31.5</v>
      </c>
      <c r="C23" s="11">
        <f>33-1.5</f>
        <v>31.5</v>
      </c>
      <c r="E23" s="2">
        <v>28.2</v>
      </c>
      <c r="F23" s="2">
        <f t="shared" si="0"/>
        <v>1.7202</v>
      </c>
      <c r="G23" s="2">
        <f t="shared" si="1"/>
        <v>0.59840399999999994</v>
      </c>
      <c r="H23" s="2">
        <v>1</v>
      </c>
      <c r="I23" s="2">
        <f t="shared" si="2"/>
        <v>31.518603999999996</v>
      </c>
    </row>
    <row r="24" spans="1:10" ht="15.75" thickBot="1" x14ac:dyDescent="0.3">
      <c r="A24" s="10" t="s">
        <v>33</v>
      </c>
      <c r="B24" s="11">
        <f>36-1.5</f>
        <v>34.5</v>
      </c>
      <c r="C24" s="11">
        <f>36-1.5</f>
        <v>34.5</v>
      </c>
      <c r="E24" s="2">
        <v>31</v>
      </c>
      <c r="F24" s="2">
        <f t="shared" si="0"/>
        <v>1.891</v>
      </c>
      <c r="G24" s="2">
        <f t="shared" si="1"/>
        <v>0.65781999999999996</v>
      </c>
      <c r="H24" s="2">
        <v>1</v>
      </c>
      <c r="I24" s="2">
        <f t="shared" si="2"/>
        <v>34.548819999999999</v>
      </c>
    </row>
    <row r="25" spans="1:10" ht="15.75" thickBot="1" x14ac:dyDescent="0.3">
      <c r="A25" s="10" t="s">
        <v>34</v>
      </c>
      <c r="B25" s="11">
        <f>38-1.5</f>
        <v>36.5</v>
      </c>
      <c r="C25" s="11">
        <f>38-1.5</f>
        <v>36.5</v>
      </c>
      <c r="E25" s="2">
        <v>32.799999999999997</v>
      </c>
      <c r="F25" s="2">
        <f t="shared" si="0"/>
        <v>2.0007999999999999</v>
      </c>
      <c r="G25" s="2">
        <f t="shared" si="1"/>
        <v>0.69601599999999997</v>
      </c>
      <c r="H25" s="2">
        <v>1</v>
      </c>
      <c r="I25" s="2">
        <f t="shared" si="2"/>
        <v>36.496815999999995</v>
      </c>
    </row>
    <row r="26" spans="1:10" ht="15.75" thickBot="1" x14ac:dyDescent="0.3">
      <c r="A26" s="10" t="s">
        <v>35</v>
      </c>
      <c r="B26" s="11">
        <f>39-1.5</f>
        <v>37.5</v>
      </c>
      <c r="C26" s="11">
        <f>39-1.5</f>
        <v>37.5</v>
      </c>
      <c r="E26" s="2">
        <v>34</v>
      </c>
      <c r="F26" s="2">
        <f t="shared" si="0"/>
        <v>2.0739999999999998</v>
      </c>
      <c r="G26" s="2">
        <f t="shared" si="1"/>
        <v>0.72148000000000001</v>
      </c>
      <c r="H26" s="2">
        <v>1</v>
      </c>
      <c r="I26" s="2">
        <f t="shared" si="2"/>
        <v>37.795479999999998</v>
      </c>
    </row>
    <row r="29" spans="1:10" ht="15.75" thickBot="1" x14ac:dyDescent="0.3">
      <c r="A29" t="s">
        <v>20</v>
      </c>
      <c r="B29" t="s">
        <v>36</v>
      </c>
    </row>
    <row r="30" spans="1:10" ht="18.75" thickBot="1" x14ac:dyDescent="0.3">
      <c r="A30" s="246" t="s">
        <v>37</v>
      </c>
      <c r="B30" s="247"/>
      <c r="C30" s="9" t="s">
        <v>24</v>
      </c>
      <c r="E30" s="4"/>
      <c r="F30" s="12" t="s">
        <v>38</v>
      </c>
      <c r="G30" s="12" t="s">
        <v>39</v>
      </c>
      <c r="H30" s="12" t="s">
        <v>40</v>
      </c>
      <c r="I30" s="12" t="s">
        <v>41</v>
      </c>
      <c r="J30" s="12" t="s">
        <v>42</v>
      </c>
    </row>
    <row r="31" spans="1:10" ht="16.5" thickBot="1" x14ac:dyDescent="0.3">
      <c r="A31" s="10" t="s">
        <v>30</v>
      </c>
      <c r="B31" s="11">
        <f>29.5-1.5</f>
        <v>28</v>
      </c>
      <c r="C31" s="11">
        <f>29.5-1.5</f>
        <v>28</v>
      </c>
      <c r="E31" s="13" t="s">
        <v>43</v>
      </c>
      <c r="F31" s="14">
        <v>28</v>
      </c>
      <c r="G31" s="14">
        <v>29</v>
      </c>
      <c r="H31" s="14">
        <v>27</v>
      </c>
      <c r="I31" s="14">
        <v>26</v>
      </c>
      <c r="J31" s="14">
        <v>25.5</v>
      </c>
    </row>
    <row r="32" spans="1:10" ht="15.75" thickBot="1" x14ac:dyDescent="0.3">
      <c r="A32" s="10" t="s">
        <v>31</v>
      </c>
      <c r="B32" s="11">
        <f>32-1.5</f>
        <v>30.5</v>
      </c>
      <c r="C32" s="11">
        <f>32-1.5</f>
        <v>30.5</v>
      </c>
      <c r="E32" s="4" t="s">
        <v>44</v>
      </c>
      <c r="F32" s="4">
        <v>6</v>
      </c>
      <c r="G32" s="4">
        <v>6</v>
      </c>
      <c r="H32" s="4">
        <v>6</v>
      </c>
      <c r="I32" s="4">
        <v>6</v>
      </c>
      <c r="J32" s="4">
        <v>6</v>
      </c>
    </row>
    <row r="33" spans="1:12" ht="15.75" thickBot="1" x14ac:dyDescent="0.3">
      <c r="A33" s="10" t="s">
        <v>32</v>
      </c>
      <c r="B33" s="11">
        <f>33-1.5</f>
        <v>31.5</v>
      </c>
      <c r="C33" s="11">
        <f>33-1.5</f>
        <v>31.5</v>
      </c>
      <c r="E33" s="4" t="s">
        <v>45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</row>
    <row r="34" spans="1:12" ht="15.75" thickBot="1" x14ac:dyDescent="0.3">
      <c r="A34" s="10" t="s">
        <v>33</v>
      </c>
      <c r="B34" s="11">
        <f>36-1.5</f>
        <v>34.5</v>
      </c>
      <c r="C34" s="11">
        <f>36-1.5</f>
        <v>34.5</v>
      </c>
      <c r="E34" s="4" t="s">
        <v>46</v>
      </c>
      <c r="F34" s="15">
        <f>SUM(F31:F33)</f>
        <v>35</v>
      </c>
      <c r="G34" s="15">
        <f t="shared" ref="G34:J34" si="3">SUM(G31:G33)</f>
        <v>36</v>
      </c>
      <c r="H34" s="15">
        <f t="shared" si="3"/>
        <v>34</v>
      </c>
      <c r="I34" s="15">
        <f t="shared" si="3"/>
        <v>33</v>
      </c>
      <c r="J34" s="15">
        <f t="shared" si="3"/>
        <v>32.5</v>
      </c>
    </row>
    <row r="35" spans="1:12" ht="15.75" thickBot="1" x14ac:dyDescent="0.3">
      <c r="A35" s="10" t="s">
        <v>34</v>
      </c>
      <c r="B35" s="11">
        <f>38-1.5</f>
        <v>36.5</v>
      </c>
      <c r="C35" s="11">
        <f>38-1.5</f>
        <v>36.5</v>
      </c>
    </row>
    <row r="36" spans="1:12" ht="15.75" thickBot="1" x14ac:dyDescent="0.3">
      <c r="A36" s="10" t="s">
        <v>35</v>
      </c>
      <c r="B36" s="11">
        <f>39-1.5</f>
        <v>37.5</v>
      </c>
      <c r="C36" s="11">
        <f>39-1.5</f>
        <v>37.5</v>
      </c>
    </row>
    <row r="37" spans="1:12" x14ac:dyDescent="0.25">
      <c r="E37" t="s">
        <v>22</v>
      </c>
    </row>
    <row r="38" spans="1:12" x14ac:dyDescent="0.25">
      <c r="E38" t="s">
        <v>25</v>
      </c>
      <c r="F38" t="s">
        <v>26</v>
      </c>
      <c r="G38" t="s">
        <v>27</v>
      </c>
      <c r="H38" t="s">
        <v>28</v>
      </c>
      <c r="I38" t="s">
        <v>29</v>
      </c>
    </row>
    <row r="39" spans="1:12" x14ac:dyDescent="0.25">
      <c r="D39">
        <v>16</v>
      </c>
      <c r="E39" s="16">
        <v>25</v>
      </c>
      <c r="F39" s="16">
        <f>E39*0.061</f>
        <v>1.5249999999999999</v>
      </c>
      <c r="G39" s="16">
        <f>(E39+F39)*0.02</f>
        <v>0.53049999999999997</v>
      </c>
      <c r="H39" s="2">
        <v>1</v>
      </c>
      <c r="I39" s="2">
        <f>SUM(E39:H39)</f>
        <v>28.055499999999999</v>
      </c>
      <c r="J39" t="b">
        <f>E39+G39=K39</f>
        <v>0</v>
      </c>
      <c r="K39">
        <v>25.5</v>
      </c>
      <c r="L39" s="17">
        <f>K39+H39</f>
        <v>26.5</v>
      </c>
    </row>
    <row r="40" spans="1:12" x14ac:dyDescent="0.25">
      <c r="D40">
        <v>18</v>
      </c>
      <c r="E40" s="16">
        <v>25.5</v>
      </c>
      <c r="F40" s="16">
        <f t="shared" ref="F40:F44" si="4">E40*0.061</f>
        <v>1.5554999999999999</v>
      </c>
      <c r="G40" s="16">
        <f t="shared" ref="G40:G44" si="5">(E40+F40)*0.02</f>
        <v>0.54110999999999998</v>
      </c>
      <c r="H40" s="2">
        <v>1</v>
      </c>
      <c r="I40" s="2">
        <f t="shared" ref="I40:I44" si="6">SUM(E40:H40)</f>
        <v>28.596609999999998</v>
      </c>
      <c r="K40">
        <v>26</v>
      </c>
      <c r="L40" s="17">
        <f t="shared" ref="L40:L43" si="7">K40+H40</f>
        <v>27</v>
      </c>
    </row>
    <row r="41" spans="1:12" x14ac:dyDescent="0.25">
      <c r="D41">
        <v>20</v>
      </c>
      <c r="E41" s="16">
        <v>26.5</v>
      </c>
      <c r="F41" s="16">
        <f t="shared" si="4"/>
        <v>1.6165</v>
      </c>
      <c r="G41" s="16">
        <f t="shared" si="5"/>
        <v>0.56233</v>
      </c>
      <c r="H41" s="2">
        <v>1</v>
      </c>
      <c r="I41" s="2">
        <f t="shared" si="6"/>
        <v>29.678829999999998</v>
      </c>
      <c r="K41">
        <v>27</v>
      </c>
      <c r="L41" s="17">
        <f t="shared" si="7"/>
        <v>28</v>
      </c>
    </row>
    <row r="42" spans="1:12" x14ac:dyDescent="0.25">
      <c r="D42">
        <v>22</v>
      </c>
      <c r="E42" s="18">
        <v>27.5</v>
      </c>
      <c r="F42" s="18">
        <f t="shared" si="4"/>
        <v>1.6775</v>
      </c>
      <c r="G42" s="18">
        <f t="shared" si="5"/>
        <v>0.58355000000000001</v>
      </c>
      <c r="H42" s="19">
        <v>1</v>
      </c>
      <c r="I42" s="19">
        <f t="shared" si="6"/>
        <v>30.761049999999997</v>
      </c>
      <c r="K42">
        <v>28</v>
      </c>
      <c r="L42" s="17">
        <f>K42+H42+G42</f>
        <v>29.583549999999999</v>
      </c>
    </row>
    <row r="43" spans="1:12" x14ac:dyDescent="0.25">
      <c r="D43">
        <v>24</v>
      </c>
      <c r="E43" s="16">
        <v>28.5</v>
      </c>
      <c r="F43" s="16">
        <f t="shared" si="4"/>
        <v>1.7384999999999999</v>
      </c>
      <c r="G43" s="16">
        <f t="shared" si="5"/>
        <v>0.60477000000000003</v>
      </c>
      <c r="H43" s="2">
        <v>1</v>
      </c>
      <c r="I43" s="2">
        <f t="shared" si="6"/>
        <v>31.843269999999997</v>
      </c>
      <c r="K43">
        <v>29</v>
      </c>
      <c r="L43" s="17">
        <f t="shared" si="7"/>
        <v>30</v>
      </c>
    </row>
    <row r="44" spans="1:12" x14ac:dyDescent="0.25">
      <c r="D44">
        <v>28</v>
      </c>
      <c r="E44" s="16"/>
      <c r="F44" s="16">
        <f t="shared" si="4"/>
        <v>0</v>
      </c>
      <c r="G44" s="16">
        <f t="shared" si="5"/>
        <v>0</v>
      </c>
      <c r="H44" s="2">
        <v>1</v>
      </c>
      <c r="I44" s="2">
        <f t="shared" si="6"/>
        <v>1</v>
      </c>
    </row>
    <row r="47" spans="1:12" x14ac:dyDescent="0.25">
      <c r="A47" s="20" t="s">
        <v>47</v>
      </c>
    </row>
    <row r="48" spans="1:12" x14ac:dyDescent="0.25">
      <c r="A48" s="2"/>
      <c r="B48" s="2" t="s">
        <v>48</v>
      </c>
      <c r="C48" s="2" t="s">
        <v>49</v>
      </c>
      <c r="D48" s="2" t="s">
        <v>50</v>
      </c>
      <c r="E48" s="21" t="s">
        <v>28</v>
      </c>
      <c r="F48" s="2"/>
    </row>
    <row r="49" spans="1:6" x14ac:dyDescent="0.25">
      <c r="A49" s="2" t="s">
        <v>51</v>
      </c>
      <c r="B49" s="16">
        <v>20.3</v>
      </c>
      <c r="C49" s="16"/>
      <c r="D49" s="16">
        <f>B49*0.04</f>
        <v>0.81200000000000006</v>
      </c>
      <c r="E49" s="16"/>
      <c r="F49" s="16">
        <f>B49</f>
        <v>20.3</v>
      </c>
    </row>
    <row r="50" spans="1:6" x14ac:dyDescent="0.25">
      <c r="A50" s="2" t="s">
        <v>52</v>
      </c>
      <c r="B50" s="16">
        <v>18</v>
      </c>
      <c r="C50" s="16">
        <f>B50*0.061</f>
        <v>1.0979999999999999</v>
      </c>
      <c r="D50" s="16">
        <f>(B50+C50)*2%</f>
        <v>0.38195999999999997</v>
      </c>
      <c r="E50" s="16">
        <v>2</v>
      </c>
      <c r="F50" s="16">
        <f>SUM(B50:E50)</f>
        <v>21.479959999999998</v>
      </c>
    </row>
    <row r="51" spans="1:6" x14ac:dyDescent="0.25">
      <c r="A51" s="2"/>
      <c r="B51" s="2"/>
      <c r="C51" s="2"/>
      <c r="D51" s="2"/>
      <c r="E51" s="2"/>
      <c r="F51" s="16">
        <f>F50-F49</f>
        <v>1.1799599999999977</v>
      </c>
    </row>
    <row r="52" spans="1:6" x14ac:dyDescent="0.25">
      <c r="A52" s="22" t="s">
        <v>53</v>
      </c>
      <c r="B52" s="2"/>
      <c r="C52" s="2"/>
      <c r="D52" s="2"/>
      <c r="E52" s="2"/>
      <c r="F52" s="2"/>
    </row>
    <row r="53" spans="1:6" x14ac:dyDescent="0.25">
      <c r="A53" s="2"/>
      <c r="B53" s="2" t="s">
        <v>48</v>
      </c>
      <c r="C53" s="2" t="s">
        <v>49</v>
      </c>
      <c r="D53" s="2" t="s">
        <v>54</v>
      </c>
      <c r="E53" s="2" t="s">
        <v>28</v>
      </c>
      <c r="F53" s="2"/>
    </row>
    <row r="54" spans="1:6" x14ac:dyDescent="0.25">
      <c r="A54" s="2" t="s">
        <v>51</v>
      </c>
      <c r="B54" s="23">
        <v>18.510000000000002</v>
      </c>
      <c r="C54" s="23"/>
      <c r="D54" s="16">
        <f>B54*0.04</f>
        <v>0.74040000000000006</v>
      </c>
      <c r="E54" s="23"/>
      <c r="F54" s="23">
        <f>B54+E54</f>
        <v>18.510000000000002</v>
      </c>
    </row>
    <row r="55" spans="1:6" x14ac:dyDescent="0.25">
      <c r="A55" s="2" t="s">
        <v>52</v>
      </c>
      <c r="B55" s="23">
        <v>17.32</v>
      </c>
      <c r="C55" s="23"/>
      <c r="D55" s="16">
        <f>B55*0.04</f>
        <v>0.69279999999999997</v>
      </c>
      <c r="E55" s="23">
        <v>2</v>
      </c>
      <c r="F55" s="23">
        <f t="shared" ref="F55" si="8">B55+E55</f>
        <v>19.32</v>
      </c>
    </row>
    <row r="56" spans="1:6" x14ac:dyDescent="0.25">
      <c r="F56" s="160">
        <f>F55-F54</f>
        <v>0.80999999999999872</v>
      </c>
    </row>
    <row r="58" spans="1:6" x14ac:dyDescent="0.25">
      <c r="A58" s="2" t="s">
        <v>278</v>
      </c>
      <c r="B58" s="2"/>
      <c r="C58" s="2" t="s">
        <v>282</v>
      </c>
      <c r="D58" s="2"/>
      <c r="E58" s="2"/>
      <c r="F58" s="2"/>
    </row>
    <row r="59" spans="1:6" ht="47.25" x14ac:dyDescent="0.25">
      <c r="A59" s="35" t="s">
        <v>284</v>
      </c>
      <c r="B59" s="35" t="s">
        <v>283</v>
      </c>
      <c r="C59" s="35" t="s">
        <v>285</v>
      </c>
      <c r="D59" s="35" t="s">
        <v>286</v>
      </c>
      <c r="E59" s="35" t="s">
        <v>288</v>
      </c>
      <c r="F59" s="35" t="s">
        <v>289</v>
      </c>
    </row>
    <row r="60" spans="1:6" ht="15.75" x14ac:dyDescent="0.25">
      <c r="A60" s="35" t="s">
        <v>292</v>
      </c>
      <c r="B60" s="16">
        <f>B49</f>
        <v>20.3</v>
      </c>
      <c r="C60" s="2">
        <v>72</v>
      </c>
      <c r="D60" s="2">
        <f>B60*C60</f>
        <v>1461.6000000000001</v>
      </c>
      <c r="E60" s="163">
        <f>D62/D60</f>
        <v>8.81773399014779E-2</v>
      </c>
      <c r="F60" s="165">
        <f>15000*D62</f>
        <v>1933200.0000000016</v>
      </c>
    </row>
    <row r="61" spans="1:6" ht="15.75" x14ac:dyDescent="0.25">
      <c r="A61" s="35" t="s">
        <v>293</v>
      </c>
      <c r="B61" s="23">
        <f>B54</f>
        <v>18.510000000000002</v>
      </c>
      <c r="C61" s="2">
        <v>72</v>
      </c>
      <c r="D61" s="2">
        <f>B61*C61</f>
        <v>1332.72</v>
      </c>
      <c r="E61" s="2"/>
      <c r="F61" s="2"/>
    </row>
    <row r="62" spans="1:6" ht="15.75" x14ac:dyDescent="0.25">
      <c r="A62" s="35" t="s">
        <v>281</v>
      </c>
      <c r="B62" s="2">
        <f>B60-B61</f>
        <v>1.7899999999999991</v>
      </c>
      <c r="C62" s="2" t="s">
        <v>287</v>
      </c>
      <c r="D62" s="2">
        <f>D60-D61</f>
        <v>128.88000000000011</v>
      </c>
      <c r="E62" s="2"/>
      <c r="F62" s="2"/>
    </row>
  </sheetData>
  <mergeCells count="2">
    <mergeCell ref="A20:B20"/>
    <mergeCell ref="A30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Wrapper</vt:lpstr>
      <vt:lpstr>Stiffener</vt:lpstr>
      <vt:lpstr>CFB</vt:lpstr>
      <vt:lpstr>Carton DOY (2)</vt:lpstr>
      <vt:lpstr>CO-EX Tube</vt:lpstr>
      <vt:lpstr>BOPP Film</vt:lpstr>
      <vt:lpstr>Benefit Analysis</vt:lpstr>
      <vt:lpstr>Laminate</vt:lpstr>
      <vt:lpstr>123</vt:lpstr>
      <vt:lpstr>Carton DOY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Ranajeet Desai</dc:creator>
  <cp:lastModifiedBy>Ranajeet  Desai</cp:lastModifiedBy>
  <dcterms:created xsi:type="dcterms:W3CDTF">2016-09-30T05:14:33Z</dcterms:created>
  <dcterms:modified xsi:type="dcterms:W3CDTF">2017-01-23T23:56:55Z</dcterms:modified>
</cp:coreProperties>
</file>