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R&amp;D calc" sheetId="1" r:id="rId1"/>
    <sheet name="Syndate plant calc" sheetId="2" r:id="rId2"/>
    <sheet name="E-wax costing" sheetId="3" r:id="rId3"/>
  </sheets>
  <calcPr calcId="145621" iterate="1"/>
</workbook>
</file>

<file path=xl/calcChain.xml><?xml version="1.0" encoding="utf-8"?>
<calcChain xmlns="http://schemas.openxmlformats.org/spreadsheetml/2006/main">
  <c r="E129" i="3" l="1"/>
  <c r="E127" i="3"/>
  <c r="E126" i="3"/>
  <c r="E128" i="3" s="1"/>
  <c r="E65" i="3"/>
  <c r="E63" i="3"/>
  <c r="E62" i="3"/>
  <c r="E61" i="3"/>
  <c r="E59" i="3"/>
  <c r="E58" i="3"/>
  <c r="E8" i="3"/>
  <c r="E60" i="3" s="1"/>
  <c r="H56" i="2" l="1"/>
  <c r="H53" i="2"/>
  <c r="H54" i="2" s="1"/>
  <c r="H58" i="2" s="1"/>
  <c r="H59" i="2" s="1"/>
  <c r="H61" i="2" s="1"/>
  <c r="D53" i="2"/>
  <c r="D57" i="2" s="1"/>
  <c r="D59" i="2" s="1"/>
  <c r="D60" i="2" s="1"/>
  <c r="D63" i="2" s="1"/>
  <c r="D47" i="2"/>
  <c r="D48" i="2" s="1"/>
  <c r="D51" i="2" s="1"/>
  <c r="D38" i="2"/>
  <c r="D37" i="2"/>
  <c r="D39" i="2" s="1"/>
  <c r="D40" i="2" s="1"/>
  <c r="D36" i="2"/>
  <c r="D31" i="2"/>
  <c r="D35" i="2" s="1"/>
  <c r="D30" i="2"/>
  <c r="D22" i="2"/>
  <c r="D16" i="2"/>
  <c r="D17" i="2" s="1"/>
  <c r="D18" i="2" s="1"/>
  <c r="D27" i="2" s="1"/>
  <c r="D15" i="2"/>
  <c r="F45" i="1" l="1"/>
  <c r="F46" i="1" s="1"/>
  <c r="F47" i="1" s="1"/>
  <c r="E45" i="1"/>
  <c r="E46" i="1" s="1"/>
  <c r="E47" i="1" s="1"/>
  <c r="D45" i="1"/>
  <c r="D46" i="1" s="1"/>
  <c r="D47" i="1" s="1"/>
  <c r="F41" i="1"/>
  <c r="E41" i="1"/>
  <c r="D41" i="1"/>
  <c r="F28" i="1"/>
  <c r="F29" i="1" s="1"/>
  <c r="F30" i="1" s="1"/>
  <c r="E28" i="1"/>
  <c r="E29" i="1" s="1"/>
  <c r="E30" i="1" s="1"/>
  <c r="D28" i="1"/>
  <c r="D29" i="1" s="1"/>
  <c r="D30" i="1" s="1"/>
  <c r="F24" i="1"/>
  <c r="E24" i="1"/>
  <c r="D24" i="1"/>
  <c r="D11" i="1"/>
  <c r="D13" i="1" s="1"/>
  <c r="D14" i="1" s="1"/>
  <c r="D17" i="1" s="1"/>
  <c r="D18" i="1" s="1"/>
  <c r="D10" i="1"/>
  <c r="G35" i="1" l="1"/>
  <c r="E33" i="1"/>
  <c r="G34" i="1" l="1"/>
  <c r="E34" i="1"/>
  <c r="E35" i="1" s="1"/>
</calcChain>
</file>

<file path=xl/sharedStrings.xml><?xml version="1.0" encoding="utf-8"?>
<sst xmlns="http://schemas.openxmlformats.org/spreadsheetml/2006/main" count="387" uniqueCount="179">
  <si>
    <t>Orific size calculation</t>
  </si>
  <si>
    <t>As per past record, 300 kg batch discharges through 1.5 " pipe in 12 minutes</t>
  </si>
  <si>
    <t>Based on this information, viscosity of material is calculated using below equation</t>
  </si>
  <si>
    <r>
      <t>Velocity = Density*g*Radius^2*sin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/(8*Viscosity)</t>
    </r>
  </si>
  <si>
    <t>Internal diameter</t>
  </si>
  <si>
    <t>mm</t>
  </si>
  <si>
    <t>Cross section area</t>
  </si>
  <si>
    <t>m2</t>
  </si>
  <si>
    <t>Mass flow rate</t>
  </si>
  <si>
    <t>kg/hr</t>
  </si>
  <si>
    <t>Density</t>
  </si>
  <si>
    <t>Kg/m3</t>
  </si>
  <si>
    <t>Volumetric flow</t>
  </si>
  <si>
    <t>m3/hr</t>
  </si>
  <si>
    <t>Velocity</t>
  </si>
  <si>
    <t>m/s</t>
  </si>
  <si>
    <t>g</t>
  </si>
  <si>
    <t>m/s2</t>
  </si>
  <si>
    <t>Viscocity</t>
  </si>
  <si>
    <t>kg/sec/m</t>
  </si>
  <si>
    <t>(Pa.s)</t>
  </si>
  <si>
    <t>cP</t>
  </si>
  <si>
    <t>Same above formula is used to calculate flow of same fluid through different pipe sizes</t>
  </si>
  <si>
    <t>Kg/hr</t>
  </si>
  <si>
    <t>Total flow through 3/4" and 1" pipe</t>
  </si>
  <si>
    <t>Time taken to completely discharge fluid</t>
  </si>
  <si>
    <t>minutes</t>
  </si>
  <si>
    <t>Flakes can be produced in this time</t>
  </si>
  <si>
    <t>Kg</t>
  </si>
  <si>
    <t>to prove it is laminar flow</t>
  </si>
  <si>
    <t>discharge time should be 2 hours</t>
  </si>
  <si>
    <t>sizing should be such that discharge time is 2 hr</t>
  </si>
  <si>
    <t>170/2</t>
  </si>
  <si>
    <t>Production rate</t>
  </si>
  <si>
    <t>Cp of syndate base</t>
  </si>
  <si>
    <t>Kcal/Kg°C</t>
  </si>
  <si>
    <t>latent heat of fusion of syndate base</t>
  </si>
  <si>
    <t>Kcal/kg</t>
  </si>
  <si>
    <t>Overall HTC of chill drum</t>
  </si>
  <si>
    <t>Kcal/hr m2°C</t>
  </si>
  <si>
    <t>(25-50)</t>
  </si>
  <si>
    <t>Rotation speed of drum</t>
  </si>
  <si>
    <t>rpm</t>
  </si>
  <si>
    <t>Syndate inlet temperature</t>
  </si>
  <si>
    <t>°C</t>
  </si>
  <si>
    <t>Chill drum dia</t>
  </si>
  <si>
    <t>Chill drum length</t>
  </si>
  <si>
    <t>Chilled water supply temperature</t>
  </si>
  <si>
    <t>Density of flakes</t>
  </si>
  <si>
    <t>Assumed</t>
  </si>
  <si>
    <t>Flakes thickness calculation</t>
  </si>
  <si>
    <t xml:space="preserve">Production rate </t>
  </si>
  <si>
    <t>m3/min</t>
  </si>
  <si>
    <t>Surfae area of drum</t>
  </si>
  <si>
    <t>Surface area rotating per min</t>
  </si>
  <si>
    <t xml:space="preserve">Flakes thickness  </t>
  </si>
  <si>
    <t>Flakes temperature calculation</t>
  </si>
  <si>
    <t>Resident time for flakes to cool</t>
  </si>
  <si>
    <t>sec</t>
  </si>
  <si>
    <t>Suppose divide each layer in 2 mm wide</t>
  </si>
  <si>
    <t>Mass of 2 mm wide layer</t>
  </si>
  <si>
    <t>initial temperature</t>
  </si>
  <si>
    <t>J/KgK</t>
  </si>
  <si>
    <t>J/Kg</t>
  </si>
  <si>
    <t>Assumed temperature of flakes</t>
  </si>
  <si>
    <t>(It is assumed that melting point of syndate base is above 38°C)</t>
  </si>
  <si>
    <t>Heat load</t>
  </si>
  <si>
    <t>W</t>
  </si>
  <si>
    <t>LMTD</t>
  </si>
  <si>
    <t>Overall HTC</t>
  </si>
  <si>
    <t>W/m2K</t>
  </si>
  <si>
    <t>Heat transfer area</t>
  </si>
  <si>
    <t>Heat load based on U</t>
  </si>
  <si>
    <t xml:space="preserve">Syndate flaking </t>
  </si>
  <si>
    <t>Relative humidity of air</t>
  </si>
  <si>
    <t>%</t>
  </si>
  <si>
    <t>Ambient temperature</t>
  </si>
  <si>
    <t>Saturated vapour pressure at 25°C</t>
  </si>
  <si>
    <t>Pascal</t>
  </si>
  <si>
    <t>Vapour pressure at 25°C</t>
  </si>
  <si>
    <t>Absolute humidty of air</t>
  </si>
  <si>
    <t>gm/m3</t>
  </si>
  <si>
    <t>Latent heat of fusion of water</t>
  </si>
  <si>
    <t>J/gm</t>
  </si>
  <si>
    <t xml:space="preserve">Amount of heat require to condense </t>
  </si>
  <si>
    <t>J/m3 air</t>
  </si>
  <si>
    <t>Heat transfer cofficent calculation</t>
  </si>
  <si>
    <t>Tf</t>
  </si>
  <si>
    <t>Natural convection U</t>
  </si>
  <si>
    <t>Beta</t>
  </si>
  <si>
    <t>Chill drum temperature</t>
  </si>
  <si>
    <t>Thermal conductivity of steel</t>
  </si>
  <si>
    <t>W/mK</t>
  </si>
  <si>
    <t>Kinametic viscocity of air</t>
  </si>
  <si>
    <t>Heat transfer rate</t>
  </si>
  <si>
    <t>Pr</t>
  </si>
  <si>
    <t>Raleigh number</t>
  </si>
  <si>
    <t>Watercondensation rate</t>
  </si>
  <si>
    <t>gm/sec</t>
  </si>
  <si>
    <t>Nu</t>
  </si>
  <si>
    <t>gm/hr</t>
  </si>
  <si>
    <t>Heat transfer cofficent</t>
  </si>
  <si>
    <t>rise in moisture %</t>
  </si>
  <si>
    <t>Water condensation calculaton</t>
  </si>
  <si>
    <t>Option 1 BOQ</t>
  </si>
  <si>
    <t>Unit</t>
  </si>
  <si>
    <t>Qty</t>
  </si>
  <si>
    <t>1. Alcohol new line to SX-101 (014)</t>
  </si>
  <si>
    <t>Pipe, 1" SS304, sch 40s, smls</t>
  </si>
  <si>
    <t>m</t>
  </si>
  <si>
    <t>Elbow, 1" SS304, sch 40s, R= 1.5D, smls</t>
  </si>
  <si>
    <t>Nos</t>
  </si>
  <si>
    <t>Flange, 1", SS304, 150#, SORF</t>
  </si>
  <si>
    <t>Flange, 1/2", SS304, 150#, SORF</t>
  </si>
  <si>
    <t xml:space="preserve">Ball Valve, 1", SS304, FE, 150# </t>
  </si>
  <si>
    <t xml:space="preserve">Ball Valve, 1/2", SS304, FE, 150# </t>
  </si>
  <si>
    <t>Equal Tee, 1", SS304, sch 40s, smls</t>
  </si>
  <si>
    <t>Reducing tee 2X1", SS 304, sch 40s, smls</t>
  </si>
  <si>
    <t>Flow meter</t>
  </si>
  <si>
    <t>2. From SX-101 to V-101 (014)</t>
  </si>
  <si>
    <t>Pipe, 1.5" SS304, sch 40s, smls</t>
  </si>
  <si>
    <t>Elbow, 1.5" SS304, sch 40s, R= 1.5D, smls</t>
  </si>
  <si>
    <t>Flange, 1.5", SS304, 150#, SORF</t>
  </si>
  <si>
    <t xml:space="preserve">Nozzle to V-101, 1.5" </t>
  </si>
  <si>
    <t>(to be checked wheather present or not)</t>
  </si>
  <si>
    <t>3. From V-103 to SX-101 (015 &amp; 018)</t>
  </si>
  <si>
    <t xml:space="preserve">Lift type check valve, 1", SS304, FE, 150# </t>
  </si>
  <si>
    <t>Strainer 1", SS304, FE, 150#</t>
  </si>
  <si>
    <t>Pressure gauge</t>
  </si>
  <si>
    <t>4. From P-101 to pestillator header (004)</t>
  </si>
  <si>
    <t>Duplex filter</t>
  </si>
  <si>
    <t>Bag filter</t>
  </si>
  <si>
    <t>Cartirage filter</t>
  </si>
  <si>
    <t>New P-101 with higher head</t>
  </si>
  <si>
    <t>(to be confirmed)</t>
  </si>
  <si>
    <t>5. For P-102 (019)</t>
  </si>
  <si>
    <t xml:space="preserve">Ball Valve, 2", SS304, FE, 150# </t>
  </si>
  <si>
    <t>Flange, 2", SS304, 150#, SORF</t>
  </si>
  <si>
    <t>Summary</t>
  </si>
  <si>
    <t>A. Mechanical  Material Cost</t>
  </si>
  <si>
    <t>Sr. No</t>
  </si>
  <si>
    <t>Description</t>
  </si>
  <si>
    <t>Rate</t>
  </si>
  <si>
    <t>Cost (INR)</t>
  </si>
  <si>
    <t>Intrument air line, 1/2", SS 304</t>
  </si>
  <si>
    <t>Miscellaneous (gasket nut bolt etc.)</t>
  </si>
  <si>
    <t>Lot</t>
  </si>
  <si>
    <t>Total Mechanical cost</t>
  </si>
  <si>
    <t>Tax on mechanical cost</t>
  </si>
  <si>
    <t>Total mechanical cost including tax</t>
  </si>
  <si>
    <t>B. Instrumentation material and service Cost</t>
  </si>
  <si>
    <t> Diaph type</t>
  </si>
  <si>
    <t>Flow meter, 1"</t>
  </si>
  <si>
    <t xml:space="preserve">Mass flow meter of 1/2" considered. </t>
  </si>
  <si>
    <t>Control valve, 1"</t>
  </si>
  <si>
    <t> SS 316 valve body</t>
  </si>
  <si>
    <t>PID controller</t>
  </si>
  <si>
    <t>Inst cable, cable gland Misc</t>
  </si>
  <si>
    <t>LOT</t>
  </si>
  <si>
    <t>Instrumentation service cost</t>
  </si>
  <si>
    <t>Total</t>
  </si>
  <si>
    <t>C. Civil Cost</t>
  </si>
  <si>
    <t>D. Mechenical service Cost</t>
  </si>
  <si>
    <t xml:space="preserve">Equipments (V-103, P-103, P-102) dismantling at sion </t>
  </si>
  <si>
    <t xml:space="preserve">Equipment transportation </t>
  </si>
  <si>
    <t>V-103 vessel installation</t>
  </si>
  <si>
    <t>P-103, P-102 installation</t>
  </si>
  <si>
    <t>SS Welding Joint</t>
  </si>
  <si>
    <t>IND</t>
  </si>
  <si>
    <t>Pipe erection</t>
  </si>
  <si>
    <t>INM</t>
  </si>
  <si>
    <t>DP test</t>
  </si>
  <si>
    <t>valve erection</t>
  </si>
  <si>
    <t>Scaffolding</t>
  </si>
  <si>
    <t>E. Electrical cost</t>
  </si>
  <si>
    <t xml:space="preserve">Cable </t>
  </si>
  <si>
    <t>Cable tray</t>
  </si>
  <si>
    <t>starter for new pumps</t>
  </si>
  <si>
    <t>Costing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</si>
</sst>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2" fontId="0" fillId="2" borderId="0" xfId="0" applyNumberFormat="1" applyFill="1" applyBorder="1"/>
    <xf numFmtId="1" fontId="0" fillId="2" borderId="0" xfId="0" applyNumberFormat="1" applyFill="1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Fill="1" applyBorder="1"/>
    <xf numFmtId="166" fontId="0" fillId="2" borderId="0" xfId="0" applyNumberFormat="1" applyFill="1"/>
    <xf numFmtId="0" fontId="0" fillId="2" borderId="0" xfId="0" applyFill="1"/>
    <xf numFmtId="0" fontId="1" fillId="0" borderId="0" xfId="0" applyFont="1"/>
    <xf numFmtId="1" fontId="0" fillId="0" borderId="0" xfId="0" applyNumberFormat="1"/>
    <xf numFmtId="2" fontId="0" fillId="2" borderId="0" xfId="0" applyNumberFormat="1" applyFill="1"/>
    <xf numFmtId="166" fontId="0" fillId="0" borderId="0" xfId="0" applyNumberForma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0" fontId="5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ont="1"/>
    <xf numFmtId="0" fontId="6" fillId="0" borderId="0" xfId="0" applyFont="1"/>
    <xf numFmtId="0" fontId="7" fillId="0" borderId="9" xfId="0" applyFont="1" applyBorder="1" applyAlignment="1">
      <alignment horizontal="left"/>
    </xf>
    <xf numFmtId="0" fontId="6" fillId="0" borderId="9" xfId="0" applyFont="1" applyBorder="1"/>
    <xf numFmtId="0" fontId="0" fillId="0" borderId="9" xfId="0" applyBorder="1" applyAlignment="1">
      <alignment horizontal="right" vertic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Border="1"/>
    <xf numFmtId="0" fontId="6" fillId="0" borderId="9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1" fontId="0" fillId="0" borderId="9" xfId="0" applyNumberFormat="1" applyBorder="1"/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workbookViewId="0">
      <selection activeCell="B26" sqref="B26"/>
    </sheetView>
  </sheetViews>
  <sheetFormatPr defaultRowHeight="15" x14ac:dyDescent="0.25"/>
  <cols>
    <col min="2" max="2" width="16.7109375" bestFit="1" customWidth="1"/>
    <col min="5" max="5" width="12" bestFit="1" customWidth="1"/>
    <col min="7" max="7" width="10.7109375" customWidth="1"/>
  </cols>
  <sheetData>
    <row r="1" spans="2:8" x14ac:dyDescent="0.25">
      <c r="B1" s="1" t="s">
        <v>0</v>
      </c>
      <c r="C1" s="1"/>
      <c r="D1" s="1"/>
      <c r="E1" s="1"/>
      <c r="F1" s="1"/>
      <c r="G1" s="1"/>
      <c r="H1" s="1"/>
    </row>
    <row r="2" spans="2:8" x14ac:dyDescent="0.25">
      <c r="B2" s="1"/>
      <c r="C2" s="1"/>
      <c r="D2" s="1"/>
      <c r="E2" s="1"/>
      <c r="F2" s="1"/>
      <c r="G2" s="1"/>
      <c r="H2" s="1"/>
    </row>
    <row r="4" spans="2:8" x14ac:dyDescent="0.25">
      <c r="B4" t="s">
        <v>1</v>
      </c>
    </row>
    <row r="5" spans="2:8" x14ac:dyDescent="0.25">
      <c r="B5" t="s">
        <v>2</v>
      </c>
    </row>
    <row r="7" spans="2:8" x14ac:dyDescent="0.25">
      <c r="B7" t="s">
        <v>3</v>
      </c>
    </row>
    <row r="9" spans="2:8" x14ac:dyDescent="0.25">
      <c r="B9" t="s">
        <v>4</v>
      </c>
      <c r="C9" t="s">
        <v>5</v>
      </c>
      <c r="D9">
        <v>40</v>
      </c>
    </row>
    <row r="10" spans="2:8" x14ac:dyDescent="0.25">
      <c r="B10" t="s">
        <v>6</v>
      </c>
      <c r="C10" t="s">
        <v>7</v>
      </c>
      <c r="D10" s="2">
        <f>(3.14/4)*(D9/1000)^2</f>
        <v>1.2560000000000002E-3</v>
      </c>
    </row>
    <row r="11" spans="2:8" x14ac:dyDescent="0.25">
      <c r="B11" t="s">
        <v>8</v>
      </c>
      <c r="C11" t="s">
        <v>9</v>
      </c>
      <c r="D11">
        <f>300/12*60</f>
        <v>1500</v>
      </c>
    </row>
    <row r="12" spans="2:8" x14ac:dyDescent="0.25">
      <c r="B12" t="s">
        <v>10</v>
      </c>
      <c r="C12" t="s">
        <v>11</v>
      </c>
      <c r="D12">
        <v>895</v>
      </c>
    </row>
    <row r="13" spans="2:8" x14ac:dyDescent="0.25">
      <c r="B13" t="s">
        <v>12</v>
      </c>
      <c r="C13" t="s">
        <v>13</v>
      </c>
      <c r="D13" s="3">
        <f>D11/D12</f>
        <v>1.6759776536312849</v>
      </c>
    </row>
    <row r="14" spans="2:8" x14ac:dyDescent="0.25">
      <c r="B14" t="s">
        <v>14</v>
      </c>
      <c r="C14" t="s">
        <v>15</v>
      </c>
      <c r="D14" s="3">
        <f>D13/D10/3600</f>
        <v>0.37066030910104492</v>
      </c>
    </row>
    <row r="15" spans="2:8" x14ac:dyDescent="0.25">
      <c r="B15" t="s">
        <v>16</v>
      </c>
      <c r="C15" t="s">
        <v>17</v>
      </c>
      <c r="D15">
        <v>9.8000000000000007</v>
      </c>
    </row>
    <row r="17" spans="2:7" x14ac:dyDescent="0.25">
      <c r="B17" s="4" t="s">
        <v>18</v>
      </c>
      <c r="C17" s="4" t="s">
        <v>19</v>
      </c>
      <c r="D17" s="5">
        <f>((D12*D15*(D9/2000)*(D9/2000))/(8*D14))*2/3</f>
        <v>0.78877252160000022</v>
      </c>
      <c r="E17" s="4" t="s">
        <v>20</v>
      </c>
    </row>
    <row r="18" spans="2:7" x14ac:dyDescent="0.25">
      <c r="B18" s="4"/>
      <c r="C18" s="4"/>
      <c r="D18" s="6">
        <f>D17*1000</f>
        <v>788.77252160000023</v>
      </c>
      <c r="E18" s="4" t="s">
        <v>21</v>
      </c>
    </row>
    <row r="21" spans="2:7" x14ac:dyDescent="0.25">
      <c r="B21" t="s">
        <v>22</v>
      </c>
    </row>
    <row r="23" spans="2:7" x14ac:dyDescent="0.25">
      <c r="B23" t="s">
        <v>4</v>
      </c>
      <c r="C23" t="s">
        <v>5</v>
      </c>
      <c r="D23">
        <v>15</v>
      </c>
      <c r="E23">
        <v>20</v>
      </c>
      <c r="F23">
        <v>25</v>
      </c>
    </row>
    <row r="24" spans="2:7" x14ac:dyDescent="0.25">
      <c r="B24" t="s">
        <v>6</v>
      </c>
      <c r="C24" t="s">
        <v>7</v>
      </c>
      <c r="D24">
        <f>(3.14/4)*(D23/1000)^2</f>
        <v>1.76625E-4</v>
      </c>
      <c r="E24">
        <f>(3.14/4)*(E23/1000)^2</f>
        <v>3.1400000000000004E-4</v>
      </c>
      <c r="F24">
        <f>(3.14/4)*(F23/1000)^2</f>
        <v>4.9062500000000007E-4</v>
      </c>
    </row>
    <row r="25" spans="2:7" x14ac:dyDescent="0.25">
      <c r="B25" t="s">
        <v>10</v>
      </c>
      <c r="C25" t="s">
        <v>11</v>
      </c>
      <c r="D25">
        <v>895</v>
      </c>
      <c r="E25">
        <v>895</v>
      </c>
      <c r="F25">
        <v>895</v>
      </c>
    </row>
    <row r="26" spans="2:7" x14ac:dyDescent="0.25">
      <c r="B26" s="4" t="s">
        <v>16</v>
      </c>
      <c r="C26" s="4" t="s">
        <v>17</v>
      </c>
      <c r="D26" s="4">
        <v>9.8000000000000007</v>
      </c>
      <c r="E26" s="4">
        <v>9.8000000000000007</v>
      </c>
      <c r="F26" s="4">
        <v>9.8000000000000007</v>
      </c>
      <c r="G26" s="7"/>
    </row>
    <row r="27" spans="2:7" x14ac:dyDescent="0.25">
      <c r="B27" s="4" t="s">
        <v>18</v>
      </c>
      <c r="C27" s="4" t="s">
        <v>19</v>
      </c>
      <c r="D27" s="8">
        <v>0.78877252160000022</v>
      </c>
      <c r="E27" s="8">
        <v>0.78877252160000022</v>
      </c>
      <c r="F27" s="8">
        <v>0.78877252160000022</v>
      </c>
    </row>
    <row r="28" spans="2:7" x14ac:dyDescent="0.25">
      <c r="B28" s="9" t="s">
        <v>14</v>
      </c>
      <c r="C28" s="9" t="s">
        <v>15</v>
      </c>
      <c r="D28">
        <f>(D25*D26*(D23/2000)*(D23/2000)/8/D27)*2/3</f>
        <v>5.2124105967334432E-2</v>
      </c>
      <c r="E28">
        <f t="shared" ref="E28:F28" si="0">(E25*E26*(E23/2000)*(E23/2000)/8/E27)*2/3</f>
        <v>9.2665077275261229E-2</v>
      </c>
      <c r="F28">
        <f t="shared" si="0"/>
        <v>0.14478918324259565</v>
      </c>
    </row>
    <row r="29" spans="2:7" x14ac:dyDescent="0.25">
      <c r="B29" t="s">
        <v>12</v>
      </c>
      <c r="C29" t="s">
        <v>13</v>
      </c>
      <c r="D29" s="3">
        <f>D28*D24*3600</f>
        <v>3.3143112779329596E-2</v>
      </c>
      <c r="E29" s="3">
        <f>E28*E24*3600</f>
        <v>0.10474860335195531</v>
      </c>
      <c r="F29" s="3">
        <f>F28*F24*3600</f>
        <v>0.25573389490223458</v>
      </c>
    </row>
    <row r="30" spans="2:7" x14ac:dyDescent="0.25">
      <c r="B30" t="s">
        <v>8</v>
      </c>
      <c r="C30" t="s">
        <v>23</v>
      </c>
      <c r="D30" s="10">
        <f>D29*D25</f>
        <v>29.663085937499989</v>
      </c>
      <c r="E30" s="10">
        <f>E29*E25</f>
        <v>93.75</v>
      </c>
      <c r="F30" s="10">
        <f>F29*F25</f>
        <v>228.88183593749994</v>
      </c>
    </row>
    <row r="33" spans="2:7" x14ac:dyDescent="0.25">
      <c r="B33" t="s">
        <v>24</v>
      </c>
      <c r="E33" s="7">
        <f>E30+F30</f>
        <v>322.63183593749994</v>
      </c>
    </row>
    <row r="34" spans="2:7" x14ac:dyDescent="0.25">
      <c r="B34" t="s">
        <v>25</v>
      </c>
      <c r="E34" s="3">
        <f>300/E33*60</f>
        <v>55.791146424517599</v>
      </c>
      <c r="F34" t="s">
        <v>26</v>
      </c>
      <c r="G34">
        <f>300/E33*60</f>
        <v>55.791146424517599</v>
      </c>
    </row>
    <row r="35" spans="2:7" x14ac:dyDescent="0.25">
      <c r="B35" t="s">
        <v>27</v>
      </c>
      <c r="E35" s="7">
        <f>E34*E30/60</f>
        <v>87.173666288308752</v>
      </c>
      <c r="F35" t="s">
        <v>28</v>
      </c>
      <c r="G35">
        <f>E30*55/60</f>
        <v>85.9375</v>
      </c>
    </row>
    <row r="40" spans="2:7" x14ac:dyDescent="0.25">
      <c r="B40" t="s">
        <v>4</v>
      </c>
      <c r="C40" t="s">
        <v>5</v>
      </c>
      <c r="D40">
        <v>15</v>
      </c>
      <c r="E40">
        <v>20</v>
      </c>
      <c r="F40">
        <v>25</v>
      </c>
    </row>
    <row r="41" spans="2:7" x14ac:dyDescent="0.25">
      <c r="B41" t="s">
        <v>6</v>
      </c>
      <c r="C41" t="s">
        <v>7</v>
      </c>
      <c r="D41">
        <f>(3.14/4)*(D40/1000)^2</f>
        <v>1.76625E-4</v>
      </c>
      <c r="E41">
        <f>(3.14/4)*(E40/1000)^2</f>
        <v>3.1400000000000004E-4</v>
      </c>
      <c r="F41">
        <f>(3.14/4)*(F40/1000)^2</f>
        <v>4.9062500000000007E-4</v>
      </c>
    </row>
    <row r="42" spans="2:7" x14ac:dyDescent="0.25">
      <c r="B42" t="s">
        <v>10</v>
      </c>
      <c r="C42" t="s">
        <v>11</v>
      </c>
      <c r="D42">
        <v>895</v>
      </c>
      <c r="E42">
        <v>895</v>
      </c>
      <c r="F42">
        <v>895</v>
      </c>
    </row>
    <row r="43" spans="2:7" x14ac:dyDescent="0.25">
      <c r="B43" s="4" t="s">
        <v>16</v>
      </c>
      <c r="C43" s="4" t="s">
        <v>17</v>
      </c>
      <c r="D43" s="4">
        <v>9.8000000000000007</v>
      </c>
      <c r="E43" s="4">
        <v>9.8000000000000007</v>
      </c>
      <c r="F43" s="4">
        <v>9.8000000000000007</v>
      </c>
    </row>
    <row r="44" spans="2:7" x14ac:dyDescent="0.25">
      <c r="B44" s="4" t="s">
        <v>18</v>
      </c>
      <c r="C44" s="4" t="s">
        <v>19</v>
      </c>
      <c r="D44" s="8">
        <v>0.78877252160000022</v>
      </c>
      <c r="E44" s="8">
        <v>0.78877252160000022</v>
      </c>
      <c r="F44" s="8">
        <v>0.78877252160000022</v>
      </c>
    </row>
    <row r="45" spans="2:7" x14ac:dyDescent="0.25">
      <c r="B45" s="9" t="s">
        <v>14</v>
      </c>
      <c r="C45" s="9" t="s">
        <v>15</v>
      </c>
      <c r="D45">
        <f>(D42*D43*(D40/2000)*(D40/2000)/8/D44)</f>
        <v>7.8186158951001644E-2</v>
      </c>
      <c r="E45">
        <f t="shared" ref="E45:F45" si="1">(E42*E43*(E40/2000)*(E40/2000)/8/E44)</f>
        <v>0.13899761591289184</v>
      </c>
      <c r="F45">
        <f t="shared" si="1"/>
        <v>0.21718377486389348</v>
      </c>
    </row>
    <row r="46" spans="2:7" x14ac:dyDescent="0.25">
      <c r="B46" t="s">
        <v>12</v>
      </c>
      <c r="C46" t="s">
        <v>13</v>
      </c>
      <c r="D46" s="3">
        <f>D45*D41*3600</f>
        <v>4.9714669168994398E-2</v>
      </c>
      <c r="E46" s="3">
        <f>E45*E41*3600</f>
        <v>0.15712290502793294</v>
      </c>
      <c r="F46" s="3">
        <f>F45*F41*3600</f>
        <v>0.3836008423533519</v>
      </c>
    </row>
    <row r="47" spans="2:7" x14ac:dyDescent="0.25">
      <c r="B47" t="s">
        <v>8</v>
      </c>
      <c r="C47" t="s">
        <v>23</v>
      </c>
      <c r="D47" s="10">
        <f>D46*D42</f>
        <v>44.494628906249986</v>
      </c>
      <c r="E47" s="10">
        <f>E46*E42</f>
        <v>140.62499999999997</v>
      </c>
      <c r="F47" s="10">
        <f>F46*F42</f>
        <v>343.32275390624994</v>
      </c>
    </row>
    <row r="51" spans="2:2" x14ac:dyDescent="0.25">
      <c r="B51" t="s">
        <v>29</v>
      </c>
    </row>
    <row r="52" spans="2:2" x14ac:dyDescent="0.25">
      <c r="B52" t="s">
        <v>30</v>
      </c>
    </row>
    <row r="53" spans="2:2" x14ac:dyDescent="0.25">
      <c r="B53" t="s">
        <v>31</v>
      </c>
    </row>
    <row r="54" spans="2:2" x14ac:dyDescent="0.25">
      <c r="B54" t="s">
        <v>32</v>
      </c>
    </row>
  </sheetData>
  <mergeCells count="1">
    <mergeCell ref="B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"/>
  <sheetViews>
    <sheetView topLeftCell="A28" workbookViewId="0">
      <selection activeCell="B42" sqref="B42:D42"/>
    </sheetView>
  </sheetViews>
  <sheetFormatPr defaultRowHeight="15" x14ac:dyDescent="0.25"/>
  <cols>
    <col min="2" max="2" width="34.140625" bestFit="1" customWidth="1"/>
    <col min="3" max="3" width="12.28515625" bestFit="1" customWidth="1"/>
    <col min="4" max="4" width="12" bestFit="1" customWidth="1"/>
    <col min="9" max="9" width="10.5703125" bestFit="1" customWidth="1"/>
  </cols>
  <sheetData>
    <row r="1" spans="2:9" x14ac:dyDescent="0.25">
      <c r="B1" s="16" t="s">
        <v>73</v>
      </c>
      <c r="C1" s="16"/>
      <c r="D1" s="16"/>
    </row>
    <row r="2" spans="2:9" x14ac:dyDescent="0.25">
      <c r="B2" s="16"/>
      <c r="C2" s="16"/>
      <c r="D2" s="16"/>
    </row>
    <row r="3" spans="2:9" x14ac:dyDescent="0.25">
      <c r="B3" t="s">
        <v>33</v>
      </c>
      <c r="C3" t="s">
        <v>23</v>
      </c>
      <c r="D3" s="11">
        <v>340</v>
      </c>
    </row>
    <row r="4" spans="2:9" x14ac:dyDescent="0.25">
      <c r="B4" t="s">
        <v>34</v>
      </c>
      <c r="C4" t="s">
        <v>35</v>
      </c>
      <c r="D4">
        <v>0.6</v>
      </c>
    </row>
    <row r="5" spans="2:9" x14ac:dyDescent="0.25">
      <c r="B5" t="s">
        <v>36</v>
      </c>
      <c r="C5" t="s">
        <v>37</v>
      </c>
      <c r="D5">
        <v>0.56000000000000005</v>
      </c>
    </row>
    <row r="6" spans="2:9" x14ac:dyDescent="0.25">
      <c r="B6" t="s">
        <v>38</v>
      </c>
      <c r="C6" t="s">
        <v>39</v>
      </c>
      <c r="D6">
        <v>357</v>
      </c>
      <c r="E6" t="s">
        <v>40</v>
      </c>
    </row>
    <row r="7" spans="2:9" x14ac:dyDescent="0.25">
      <c r="B7" t="s">
        <v>41</v>
      </c>
      <c r="C7" t="s">
        <v>42</v>
      </c>
      <c r="D7">
        <v>4</v>
      </c>
    </row>
    <row r="8" spans="2:9" x14ac:dyDescent="0.25">
      <c r="B8" t="s">
        <v>43</v>
      </c>
      <c r="C8" t="s">
        <v>44</v>
      </c>
      <c r="D8">
        <v>90</v>
      </c>
    </row>
    <row r="9" spans="2:9" x14ac:dyDescent="0.25">
      <c r="B9" t="s">
        <v>45</v>
      </c>
      <c r="C9" t="s">
        <v>5</v>
      </c>
      <c r="D9">
        <v>900</v>
      </c>
    </row>
    <row r="10" spans="2:9" x14ac:dyDescent="0.25">
      <c r="B10" t="s">
        <v>46</v>
      </c>
      <c r="C10" t="s">
        <v>5</v>
      </c>
      <c r="D10">
        <v>1500</v>
      </c>
      <c r="I10" s="7"/>
    </row>
    <row r="11" spans="2:9" x14ac:dyDescent="0.25">
      <c r="B11" t="s">
        <v>47</v>
      </c>
      <c r="C11" t="s">
        <v>44</v>
      </c>
      <c r="D11">
        <v>24</v>
      </c>
      <c r="I11" s="7"/>
    </row>
    <row r="12" spans="2:9" x14ac:dyDescent="0.25">
      <c r="B12" t="s">
        <v>48</v>
      </c>
      <c r="C12" t="s">
        <v>11</v>
      </c>
      <c r="D12">
        <v>800</v>
      </c>
      <c r="E12" t="s">
        <v>49</v>
      </c>
      <c r="I12" s="7"/>
    </row>
    <row r="13" spans="2:9" x14ac:dyDescent="0.25">
      <c r="I13" s="7"/>
    </row>
    <row r="14" spans="2:9" x14ac:dyDescent="0.25">
      <c r="B14" s="12" t="s">
        <v>50</v>
      </c>
      <c r="I14" s="7"/>
    </row>
    <row r="15" spans="2:9" x14ac:dyDescent="0.25">
      <c r="B15" t="s">
        <v>51</v>
      </c>
      <c r="C15" t="s">
        <v>52</v>
      </c>
      <c r="D15" s="2">
        <f>D3/60/800</f>
        <v>7.0833333333333338E-3</v>
      </c>
      <c r="E15" s="7"/>
      <c r="G15" s="7"/>
      <c r="H15" s="7"/>
      <c r="I15" s="7"/>
    </row>
    <row r="16" spans="2:9" x14ac:dyDescent="0.25">
      <c r="B16" t="s">
        <v>53</v>
      </c>
      <c r="C16" t="s">
        <v>7</v>
      </c>
      <c r="D16">
        <f>D9*D10/10^6</f>
        <v>1.35</v>
      </c>
      <c r="G16" s="7"/>
      <c r="H16" s="7"/>
      <c r="I16" s="7"/>
    </row>
    <row r="17" spans="2:4" x14ac:dyDescent="0.25">
      <c r="B17" t="s">
        <v>54</v>
      </c>
      <c r="C17" t="s">
        <v>7</v>
      </c>
      <c r="D17">
        <f>D16*D7</f>
        <v>5.4</v>
      </c>
    </row>
    <row r="18" spans="2:4" x14ac:dyDescent="0.25">
      <c r="B18" t="s">
        <v>55</v>
      </c>
      <c r="C18" t="s">
        <v>5</v>
      </c>
      <c r="D18" s="7">
        <f>D15/D17*1000</f>
        <v>1.3117283950617284</v>
      </c>
    </row>
    <row r="21" spans="2:4" x14ac:dyDescent="0.25">
      <c r="B21" s="12" t="s">
        <v>56</v>
      </c>
    </row>
    <row r="22" spans="2:4" x14ac:dyDescent="0.25">
      <c r="B22" t="s">
        <v>57</v>
      </c>
      <c r="C22" t="s">
        <v>58</v>
      </c>
      <c r="D22" s="7">
        <f>60/D7*2/3</f>
        <v>10</v>
      </c>
    </row>
    <row r="26" spans="2:4" x14ac:dyDescent="0.25">
      <c r="B26" t="s">
        <v>59</v>
      </c>
    </row>
    <row r="27" spans="2:4" x14ac:dyDescent="0.25">
      <c r="B27" t="s">
        <v>60</v>
      </c>
      <c r="C27" t="s">
        <v>28</v>
      </c>
      <c r="D27" s="2">
        <f>((2/1000)*1.5*D18/1000)*800</f>
        <v>3.1481481481481486E-3</v>
      </c>
    </row>
    <row r="28" spans="2:4" x14ac:dyDescent="0.25">
      <c r="B28" t="s">
        <v>61</v>
      </c>
      <c r="C28" t="s">
        <v>44</v>
      </c>
      <c r="D28">
        <v>90</v>
      </c>
    </row>
    <row r="30" spans="2:4" x14ac:dyDescent="0.25">
      <c r="B30" t="s">
        <v>34</v>
      </c>
      <c r="C30" t="s">
        <v>62</v>
      </c>
      <c r="D30">
        <f>D4*4180</f>
        <v>2508</v>
      </c>
    </row>
    <row r="31" spans="2:4" x14ac:dyDescent="0.25">
      <c r="B31" t="s">
        <v>36</v>
      </c>
      <c r="C31" t="s">
        <v>63</v>
      </c>
      <c r="D31" s="13">
        <f>D5*4180</f>
        <v>2340.8000000000002</v>
      </c>
    </row>
    <row r="34" spans="2:5" x14ac:dyDescent="0.25">
      <c r="B34" t="s">
        <v>64</v>
      </c>
      <c r="C34" t="s">
        <v>44</v>
      </c>
      <c r="D34">
        <v>38</v>
      </c>
      <c r="E34" t="s">
        <v>65</v>
      </c>
    </row>
    <row r="35" spans="2:5" x14ac:dyDescent="0.25">
      <c r="B35" t="s">
        <v>66</v>
      </c>
      <c r="C35" t="s">
        <v>67</v>
      </c>
      <c r="D35" s="14">
        <f>D31*D27+(D27*D30*(D28-D34))</f>
        <v>417.93807407407417</v>
      </c>
    </row>
    <row r="36" spans="2:5" x14ac:dyDescent="0.25">
      <c r="B36" t="s">
        <v>68</v>
      </c>
      <c r="C36" t="s">
        <v>44</v>
      </c>
      <c r="D36" s="7">
        <f>((D28-D11)-(D34-D11))/LN((D28-D11)/(D34-D11))</f>
        <v>33.535461612270076</v>
      </c>
    </row>
    <row r="37" spans="2:5" x14ac:dyDescent="0.25">
      <c r="B37" t="s">
        <v>69</v>
      </c>
      <c r="C37" t="s">
        <v>70</v>
      </c>
      <c r="D37" s="15">
        <f>D6*4180/3600</f>
        <v>414.51666666666665</v>
      </c>
    </row>
    <row r="38" spans="2:5" x14ac:dyDescent="0.25">
      <c r="B38" t="s">
        <v>71</v>
      </c>
      <c r="C38" t="s">
        <v>7</v>
      </c>
      <c r="D38">
        <f>(2/1000)*(1.5)</f>
        <v>3.0000000000000001E-3</v>
      </c>
    </row>
    <row r="39" spans="2:5" x14ac:dyDescent="0.25">
      <c r="B39" t="s">
        <v>72</v>
      </c>
      <c r="C39" t="s">
        <v>67</v>
      </c>
      <c r="D39" s="7">
        <f>D37*D38*D36</f>
        <v>41.70302328793845</v>
      </c>
    </row>
    <row r="40" spans="2:5" x14ac:dyDescent="0.25">
      <c r="C40" t="s">
        <v>67</v>
      </c>
      <c r="D40" s="14">
        <f>D39*D22</f>
        <v>417.03023287938447</v>
      </c>
    </row>
    <row r="42" spans="2:5" ht="21" x14ac:dyDescent="0.35">
      <c r="B42" s="27" t="s">
        <v>103</v>
      </c>
      <c r="C42" s="27"/>
      <c r="D42" s="27"/>
    </row>
    <row r="43" spans="2:5" x14ac:dyDescent="0.25">
      <c r="B43" t="s">
        <v>74</v>
      </c>
      <c r="C43" t="s">
        <v>75</v>
      </c>
      <c r="D43">
        <v>90</v>
      </c>
    </row>
    <row r="44" spans="2:5" x14ac:dyDescent="0.25">
      <c r="B44" t="s">
        <v>76</v>
      </c>
      <c r="C44" t="s">
        <v>44</v>
      </c>
      <c r="D44">
        <v>25</v>
      </c>
    </row>
    <row r="45" spans="2:5" x14ac:dyDescent="0.25">
      <c r="B45" t="s">
        <v>77</v>
      </c>
      <c r="C45" t="s">
        <v>78</v>
      </c>
      <c r="D45">
        <v>3169</v>
      </c>
    </row>
    <row r="47" spans="2:5" x14ac:dyDescent="0.25">
      <c r="B47" t="s">
        <v>79</v>
      </c>
      <c r="C47" t="s">
        <v>78</v>
      </c>
      <c r="D47">
        <f>D45*D43/100</f>
        <v>2852.1</v>
      </c>
    </row>
    <row r="48" spans="2:5" x14ac:dyDescent="0.25">
      <c r="B48" t="s">
        <v>80</v>
      </c>
      <c r="C48" t="s">
        <v>81</v>
      </c>
      <c r="D48">
        <f>2.16679*D47/(273.15+25)</f>
        <v>20.727492064397119</v>
      </c>
    </row>
    <row r="50" spans="2:8" x14ac:dyDescent="0.25">
      <c r="B50" t="s">
        <v>82</v>
      </c>
      <c r="C50" t="s">
        <v>83</v>
      </c>
      <c r="D50">
        <v>333.55</v>
      </c>
    </row>
    <row r="51" spans="2:8" x14ac:dyDescent="0.25">
      <c r="B51" t="s">
        <v>84</v>
      </c>
      <c r="C51" t="s">
        <v>85</v>
      </c>
      <c r="D51">
        <f>D48*D50</f>
        <v>6913.6549780796595</v>
      </c>
    </row>
    <row r="52" spans="2:8" ht="15.75" thickBot="1" x14ac:dyDescent="0.3">
      <c r="F52" t="s">
        <v>86</v>
      </c>
    </row>
    <row r="53" spans="2:8" x14ac:dyDescent="0.25">
      <c r="B53" t="s">
        <v>71</v>
      </c>
      <c r="C53" t="s">
        <v>7</v>
      </c>
      <c r="D53" s="3">
        <f>3.14*0.9*0.9*1.5/4</f>
        <v>0.95377500000000004</v>
      </c>
      <c r="F53" s="17" t="s">
        <v>87</v>
      </c>
      <c r="G53" s="18" t="s">
        <v>44</v>
      </c>
      <c r="H53" s="19">
        <f>(D55+D44)/2</f>
        <v>17.5</v>
      </c>
    </row>
    <row r="54" spans="2:8" x14ac:dyDescent="0.25">
      <c r="B54" t="s">
        <v>88</v>
      </c>
      <c r="C54" t="s">
        <v>70</v>
      </c>
      <c r="D54">
        <v>5.28</v>
      </c>
      <c r="F54" s="20" t="s">
        <v>89</v>
      </c>
      <c r="G54" s="4"/>
      <c r="H54" s="21">
        <f>1/(243.15+H53)</f>
        <v>3.8365624400537122E-3</v>
      </c>
    </row>
    <row r="55" spans="2:8" x14ac:dyDescent="0.25">
      <c r="B55" t="s">
        <v>90</v>
      </c>
      <c r="C55" t="s">
        <v>44</v>
      </c>
      <c r="D55">
        <v>10</v>
      </c>
      <c r="F55" s="20" t="s">
        <v>91</v>
      </c>
      <c r="G55" s="4" t="s">
        <v>92</v>
      </c>
      <c r="H55" s="21">
        <v>2.6849999999999999E-2</v>
      </c>
    </row>
    <row r="56" spans="2:8" x14ac:dyDescent="0.25">
      <c r="F56" s="20" t="s">
        <v>93</v>
      </c>
      <c r="G56" s="4"/>
      <c r="H56" s="21">
        <f>16.5*10^-6</f>
        <v>1.6499999999999998E-5</v>
      </c>
    </row>
    <row r="57" spans="2:8" x14ac:dyDescent="0.25">
      <c r="B57" t="s">
        <v>94</v>
      </c>
      <c r="C57" t="s">
        <v>67</v>
      </c>
      <c r="D57" s="7">
        <f>D54*D53*(D44-D55)</f>
        <v>75.538980000000009</v>
      </c>
      <c r="F57" s="20" t="s">
        <v>95</v>
      </c>
      <c r="G57" s="4"/>
      <c r="H57" s="22">
        <v>0.7</v>
      </c>
    </row>
    <row r="58" spans="2:8" x14ac:dyDescent="0.25">
      <c r="F58" s="20" t="s">
        <v>96</v>
      </c>
      <c r="G58" s="4"/>
      <c r="H58" s="22">
        <f>9.8*H54*(D44-D55)*1.5*1.5*1.5/H56/H56</f>
        <v>6991421636.6268091</v>
      </c>
    </row>
    <row r="59" spans="2:8" x14ac:dyDescent="0.25">
      <c r="B59" t="s">
        <v>97</v>
      </c>
      <c r="C59" t="s">
        <v>98</v>
      </c>
      <c r="D59" s="3">
        <f>D57/D50</f>
        <v>0.22646973467246292</v>
      </c>
      <c r="F59" s="20" t="s">
        <v>99</v>
      </c>
      <c r="G59" s="4"/>
      <c r="H59" s="23">
        <f>0.1*H58^0.33</f>
        <v>177.29913349221519</v>
      </c>
    </row>
    <row r="60" spans="2:8" x14ac:dyDescent="0.25">
      <c r="C60" t="s">
        <v>100</v>
      </c>
      <c r="D60">
        <f>D59*3600</f>
        <v>815.29104482086655</v>
      </c>
      <c r="F60" s="20"/>
      <c r="G60" s="4"/>
      <c r="H60" s="22"/>
    </row>
    <row r="61" spans="2:8" ht="15.75" thickBot="1" x14ac:dyDescent="0.3">
      <c r="F61" s="24" t="s">
        <v>101</v>
      </c>
      <c r="G61" s="25" t="s">
        <v>70</v>
      </c>
      <c r="H61" s="26">
        <f>H59*H55/0.9</f>
        <v>5.2894241491844189</v>
      </c>
    </row>
    <row r="62" spans="2:8" x14ac:dyDescent="0.25">
      <c r="B62" t="s">
        <v>33</v>
      </c>
      <c r="C62" t="s">
        <v>23</v>
      </c>
      <c r="D62">
        <v>500</v>
      </c>
    </row>
    <row r="63" spans="2:8" x14ac:dyDescent="0.25">
      <c r="B63" t="s">
        <v>102</v>
      </c>
      <c r="C63" t="s">
        <v>75</v>
      </c>
      <c r="D63" s="14">
        <f>D60/D62*100/1000</f>
        <v>0.16305820896417331</v>
      </c>
    </row>
    <row r="64" spans="2:8" x14ac:dyDescent="0.25">
      <c r="D64" s="7"/>
    </row>
  </sheetData>
  <mergeCells count="2">
    <mergeCell ref="B1:D2"/>
    <mergeCell ref="B42:D4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6"/>
  <sheetViews>
    <sheetView tabSelected="1" topLeftCell="A76" workbookViewId="0">
      <selection activeCell="K73" sqref="K73"/>
    </sheetView>
  </sheetViews>
  <sheetFormatPr defaultRowHeight="15" x14ac:dyDescent="0.25"/>
  <cols>
    <col min="2" max="2" width="4.7109375" customWidth="1"/>
    <col min="3" max="3" width="36.7109375" bestFit="1" customWidth="1"/>
  </cols>
  <sheetData>
    <row r="3" spans="2:6" x14ac:dyDescent="0.25">
      <c r="B3" s="28" t="s">
        <v>104</v>
      </c>
      <c r="C3" s="28"/>
      <c r="D3" s="28"/>
      <c r="E3" s="28"/>
      <c r="F3" s="28"/>
    </row>
    <row r="4" spans="2:6" x14ac:dyDescent="0.25">
      <c r="D4" t="s">
        <v>105</v>
      </c>
      <c r="E4" t="s">
        <v>106</v>
      </c>
    </row>
    <row r="5" spans="2:6" x14ac:dyDescent="0.25">
      <c r="B5" t="s">
        <v>107</v>
      </c>
    </row>
    <row r="6" spans="2:6" x14ac:dyDescent="0.25">
      <c r="C6" t="s">
        <v>108</v>
      </c>
      <c r="D6" t="s">
        <v>109</v>
      </c>
      <c r="E6">
        <v>5</v>
      </c>
    </row>
    <row r="7" spans="2:6" x14ac:dyDescent="0.25">
      <c r="C7" t="s">
        <v>110</v>
      </c>
      <c r="D7" t="s">
        <v>111</v>
      </c>
      <c r="E7">
        <v>4</v>
      </c>
    </row>
    <row r="8" spans="2:6" x14ac:dyDescent="0.25">
      <c r="C8" t="s">
        <v>112</v>
      </c>
      <c r="D8" t="s">
        <v>111</v>
      </c>
      <c r="E8">
        <f>11</f>
        <v>11</v>
      </c>
    </row>
    <row r="9" spans="2:6" x14ac:dyDescent="0.25">
      <c r="C9" t="s">
        <v>113</v>
      </c>
      <c r="D9" t="s">
        <v>111</v>
      </c>
      <c r="E9">
        <v>2</v>
      </c>
    </row>
    <row r="10" spans="2:6" x14ac:dyDescent="0.25">
      <c r="C10" s="29" t="s">
        <v>114</v>
      </c>
      <c r="D10" t="s">
        <v>111</v>
      </c>
      <c r="E10">
        <v>3</v>
      </c>
    </row>
    <row r="11" spans="2:6" x14ac:dyDescent="0.25">
      <c r="C11" s="29" t="s">
        <v>115</v>
      </c>
      <c r="D11" t="s">
        <v>111</v>
      </c>
      <c r="E11">
        <v>1</v>
      </c>
    </row>
    <row r="12" spans="2:6" x14ac:dyDescent="0.25">
      <c r="C12" t="s">
        <v>116</v>
      </c>
      <c r="D12" t="s">
        <v>111</v>
      </c>
      <c r="E12">
        <v>2</v>
      </c>
    </row>
    <row r="13" spans="2:6" x14ac:dyDescent="0.25">
      <c r="C13" t="s">
        <v>117</v>
      </c>
      <c r="D13" t="s">
        <v>111</v>
      </c>
      <c r="E13">
        <v>1</v>
      </c>
    </row>
    <row r="14" spans="2:6" x14ac:dyDescent="0.25">
      <c r="C14" t="s">
        <v>118</v>
      </c>
      <c r="D14" t="s">
        <v>111</v>
      </c>
      <c r="E14">
        <v>1</v>
      </c>
    </row>
    <row r="16" spans="2:6" x14ac:dyDescent="0.25">
      <c r="B16" t="s">
        <v>119</v>
      </c>
    </row>
    <row r="17" spans="2:7" x14ac:dyDescent="0.25">
      <c r="C17" t="s">
        <v>120</v>
      </c>
      <c r="D17" t="s">
        <v>109</v>
      </c>
      <c r="E17">
        <v>5</v>
      </c>
    </row>
    <row r="18" spans="2:7" x14ac:dyDescent="0.25">
      <c r="C18" t="s">
        <v>121</v>
      </c>
      <c r="D18" t="s">
        <v>111</v>
      </c>
      <c r="E18">
        <v>4</v>
      </c>
    </row>
    <row r="19" spans="2:7" x14ac:dyDescent="0.25">
      <c r="C19" t="s">
        <v>122</v>
      </c>
      <c r="D19" t="s">
        <v>111</v>
      </c>
      <c r="E19">
        <v>2</v>
      </c>
    </row>
    <row r="20" spans="2:7" x14ac:dyDescent="0.25">
      <c r="C20" t="s">
        <v>123</v>
      </c>
      <c r="D20" t="s">
        <v>111</v>
      </c>
      <c r="E20">
        <v>1</v>
      </c>
      <c r="G20" t="s">
        <v>124</v>
      </c>
    </row>
    <row r="22" spans="2:7" x14ac:dyDescent="0.25">
      <c r="B22" t="s">
        <v>125</v>
      </c>
    </row>
    <row r="23" spans="2:7" x14ac:dyDescent="0.25">
      <c r="C23" t="s">
        <v>108</v>
      </c>
      <c r="D23" t="s">
        <v>109</v>
      </c>
      <c r="E23">
        <v>25</v>
      </c>
    </row>
    <row r="24" spans="2:7" x14ac:dyDescent="0.25">
      <c r="C24" t="s">
        <v>110</v>
      </c>
      <c r="D24" t="s">
        <v>111</v>
      </c>
      <c r="E24">
        <v>10</v>
      </c>
    </row>
    <row r="25" spans="2:7" x14ac:dyDescent="0.25">
      <c r="C25" t="s">
        <v>112</v>
      </c>
      <c r="D25" t="s">
        <v>111</v>
      </c>
      <c r="E25">
        <v>24</v>
      </c>
    </row>
    <row r="26" spans="2:7" x14ac:dyDescent="0.25">
      <c r="C26" t="s">
        <v>113</v>
      </c>
      <c r="D26" t="s">
        <v>111</v>
      </c>
      <c r="E26">
        <v>4</v>
      </c>
    </row>
    <row r="27" spans="2:7" x14ac:dyDescent="0.25">
      <c r="C27" s="29" t="s">
        <v>114</v>
      </c>
      <c r="D27" t="s">
        <v>111</v>
      </c>
      <c r="E27">
        <v>7</v>
      </c>
    </row>
    <row r="28" spans="2:7" x14ac:dyDescent="0.25">
      <c r="C28" s="29" t="s">
        <v>115</v>
      </c>
      <c r="D28" t="s">
        <v>111</v>
      </c>
      <c r="E28">
        <v>2</v>
      </c>
    </row>
    <row r="29" spans="2:7" x14ac:dyDescent="0.25">
      <c r="C29" t="s">
        <v>116</v>
      </c>
      <c r="D29" t="s">
        <v>111</v>
      </c>
      <c r="E29">
        <v>2</v>
      </c>
    </row>
    <row r="30" spans="2:7" x14ac:dyDescent="0.25">
      <c r="C30" s="29" t="s">
        <v>126</v>
      </c>
      <c r="D30" t="s">
        <v>111</v>
      </c>
      <c r="E30">
        <v>1</v>
      </c>
    </row>
    <row r="31" spans="2:7" x14ac:dyDescent="0.25">
      <c r="C31" s="29" t="s">
        <v>127</v>
      </c>
      <c r="D31" t="s">
        <v>111</v>
      </c>
      <c r="E31">
        <v>1</v>
      </c>
    </row>
    <row r="32" spans="2:7" x14ac:dyDescent="0.25">
      <c r="C32" s="29" t="s">
        <v>128</v>
      </c>
      <c r="D32" t="s">
        <v>111</v>
      </c>
      <c r="E32">
        <v>1</v>
      </c>
    </row>
    <row r="33" spans="2:7" x14ac:dyDescent="0.25">
      <c r="C33" s="29"/>
    </row>
    <row r="34" spans="2:7" x14ac:dyDescent="0.25">
      <c r="B34" t="s">
        <v>129</v>
      </c>
    </row>
    <row r="35" spans="2:7" x14ac:dyDescent="0.25">
      <c r="C35" t="s">
        <v>108</v>
      </c>
      <c r="D35" t="s">
        <v>109</v>
      </c>
      <c r="E35">
        <v>75</v>
      </c>
    </row>
    <row r="36" spans="2:7" x14ac:dyDescent="0.25">
      <c r="C36" t="s">
        <v>110</v>
      </c>
      <c r="D36" t="s">
        <v>111</v>
      </c>
      <c r="E36">
        <v>10</v>
      </c>
    </row>
    <row r="37" spans="2:7" x14ac:dyDescent="0.25">
      <c r="C37" t="s">
        <v>112</v>
      </c>
      <c r="D37" t="s">
        <v>111</v>
      </c>
      <c r="E37">
        <v>32</v>
      </c>
    </row>
    <row r="38" spans="2:7" x14ac:dyDescent="0.25">
      <c r="C38" s="29" t="s">
        <v>114</v>
      </c>
      <c r="D38" t="s">
        <v>111</v>
      </c>
      <c r="E38">
        <v>12</v>
      </c>
    </row>
    <row r="39" spans="2:7" x14ac:dyDescent="0.25">
      <c r="C39" s="29" t="s">
        <v>130</v>
      </c>
      <c r="D39" t="s">
        <v>111</v>
      </c>
      <c r="E39">
        <v>1</v>
      </c>
    </row>
    <row r="40" spans="2:7" x14ac:dyDescent="0.25">
      <c r="C40" s="29" t="s">
        <v>131</v>
      </c>
      <c r="D40" t="s">
        <v>111</v>
      </c>
      <c r="E40">
        <v>1</v>
      </c>
    </row>
    <row r="41" spans="2:7" x14ac:dyDescent="0.25">
      <c r="C41" s="29" t="s">
        <v>132</v>
      </c>
      <c r="D41" t="s">
        <v>111</v>
      </c>
      <c r="E41">
        <v>1</v>
      </c>
    </row>
    <row r="42" spans="2:7" x14ac:dyDescent="0.25">
      <c r="C42" s="29" t="s">
        <v>133</v>
      </c>
      <c r="D42" t="s">
        <v>111</v>
      </c>
      <c r="E42">
        <v>1</v>
      </c>
      <c r="G42" t="s">
        <v>134</v>
      </c>
    </row>
    <row r="43" spans="2:7" x14ac:dyDescent="0.25">
      <c r="C43" s="29"/>
    </row>
    <row r="44" spans="2:7" x14ac:dyDescent="0.25">
      <c r="B44" t="s">
        <v>135</v>
      </c>
    </row>
    <row r="45" spans="2:7" x14ac:dyDescent="0.25">
      <c r="C45" t="s">
        <v>108</v>
      </c>
      <c r="D45" t="s">
        <v>109</v>
      </c>
      <c r="E45">
        <v>5</v>
      </c>
    </row>
    <row r="46" spans="2:7" x14ac:dyDescent="0.25">
      <c r="C46" t="s">
        <v>110</v>
      </c>
      <c r="D46" t="s">
        <v>111</v>
      </c>
      <c r="E46">
        <v>4</v>
      </c>
    </row>
    <row r="47" spans="2:7" x14ac:dyDescent="0.25">
      <c r="C47" t="s">
        <v>112</v>
      </c>
      <c r="D47" t="s">
        <v>111</v>
      </c>
      <c r="E47">
        <v>8</v>
      </c>
    </row>
    <row r="48" spans="2:7" x14ac:dyDescent="0.25">
      <c r="C48" t="s">
        <v>113</v>
      </c>
      <c r="D48" t="s">
        <v>111</v>
      </c>
      <c r="E48">
        <v>4</v>
      </c>
    </row>
    <row r="49" spans="3:5" x14ac:dyDescent="0.25">
      <c r="C49" s="29" t="s">
        <v>114</v>
      </c>
      <c r="D49" t="s">
        <v>111</v>
      </c>
      <c r="E49">
        <v>2</v>
      </c>
    </row>
    <row r="50" spans="3:5" x14ac:dyDescent="0.25">
      <c r="C50" s="29" t="s">
        <v>136</v>
      </c>
      <c r="D50" t="s">
        <v>111</v>
      </c>
      <c r="E50">
        <v>1</v>
      </c>
    </row>
    <row r="51" spans="3:5" x14ac:dyDescent="0.25">
      <c r="C51" s="29" t="s">
        <v>115</v>
      </c>
      <c r="D51" t="s">
        <v>111</v>
      </c>
      <c r="E51">
        <v>2</v>
      </c>
    </row>
    <row r="52" spans="3:5" x14ac:dyDescent="0.25">
      <c r="C52" t="s">
        <v>137</v>
      </c>
      <c r="D52" t="s">
        <v>111</v>
      </c>
      <c r="E52">
        <v>2</v>
      </c>
    </row>
    <row r="53" spans="3:5" x14ac:dyDescent="0.25">
      <c r="C53" s="29" t="s">
        <v>128</v>
      </c>
      <c r="D53" t="s">
        <v>111</v>
      </c>
      <c r="E53">
        <v>1</v>
      </c>
    </row>
    <row r="54" spans="3:5" x14ac:dyDescent="0.25">
      <c r="C54" t="s">
        <v>117</v>
      </c>
      <c r="D54" t="s">
        <v>111</v>
      </c>
      <c r="E54">
        <v>2</v>
      </c>
    </row>
    <row r="55" spans="3:5" x14ac:dyDescent="0.25">
      <c r="C55" s="29" t="s">
        <v>126</v>
      </c>
      <c r="D55" t="s">
        <v>111</v>
      </c>
      <c r="E55">
        <v>1</v>
      </c>
    </row>
    <row r="57" spans="3:5" x14ac:dyDescent="0.25">
      <c r="C57" s="11" t="s">
        <v>138</v>
      </c>
    </row>
    <row r="58" spans="3:5" x14ac:dyDescent="0.25">
      <c r="C58" t="s">
        <v>108</v>
      </c>
      <c r="D58" t="s">
        <v>109</v>
      </c>
      <c r="E58">
        <f>E45+E35+E23+E6</f>
        <v>110</v>
      </c>
    </row>
    <row r="59" spans="3:5" x14ac:dyDescent="0.25">
      <c r="C59" t="s">
        <v>110</v>
      </c>
      <c r="D59" t="s">
        <v>111</v>
      </c>
      <c r="E59">
        <f>E46+E36+E24+E7</f>
        <v>28</v>
      </c>
    </row>
    <row r="60" spans="3:5" x14ac:dyDescent="0.25">
      <c r="C60" t="s">
        <v>112</v>
      </c>
      <c r="D60" t="s">
        <v>111</v>
      </c>
      <c r="E60">
        <f>E47+E37+E25+E8</f>
        <v>75</v>
      </c>
    </row>
    <row r="61" spans="3:5" x14ac:dyDescent="0.25">
      <c r="C61" t="s">
        <v>113</v>
      </c>
      <c r="D61" t="s">
        <v>111</v>
      </c>
      <c r="E61">
        <f>E48+E26+E9</f>
        <v>10</v>
      </c>
    </row>
    <row r="62" spans="3:5" x14ac:dyDescent="0.25">
      <c r="C62" s="29" t="s">
        <v>114</v>
      </c>
      <c r="D62" t="s">
        <v>111</v>
      </c>
      <c r="E62">
        <f>E49+E27+E10+E38</f>
        <v>24</v>
      </c>
    </row>
    <row r="63" spans="3:5" x14ac:dyDescent="0.25">
      <c r="C63" s="29" t="s">
        <v>115</v>
      </c>
      <c r="D63" t="s">
        <v>111</v>
      </c>
      <c r="E63">
        <f>E51+E28+E11</f>
        <v>5</v>
      </c>
    </row>
    <row r="64" spans="3:5" x14ac:dyDescent="0.25">
      <c r="C64" t="s">
        <v>116</v>
      </c>
      <c r="D64" t="s">
        <v>111</v>
      </c>
      <c r="E64">
        <v>4</v>
      </c>
    </row>
    <row r="65" spans="2:7" x14ac:dyDescent="0.25">
      <c r="C65" t="s">
        <v>117</v>
      </c>
      <c r="D65" t="s">
        <v>111</v>
      </c>
      <c r="E65">
        <f>E54+E13</f>
        <v>3</v>
      </c>
    </row>
    <row r="66" spans="2:7" x14ac:dyDescent="0.25">
      <c r="C66" t="s">
        <v>118</v>
      </c>
      <c r="D66" t="s">
        <v>111</v>
      </c>
      <c r="E66">
        <v>2</v>
      </c>
    </row>
    <row r="67" spans="2:7" x14ac:dyDescent="0.25">
      <c r="C67" s="29" t="s">
        <v>126</v>
      </c>
      <c r="D67" t="s">
        <v>111</v>
      </c>
      <c r="E67">
        <v>2</v>
      </c>
    </row>
    <row r="68" spans="2:7" x14ac:dyDescent="0.25">
      <c r="C68" t="s">
        <v>120</v>
      </c>
      <c r="D68" t="s">
        <v>109</v>
      </c>
      <c r="E68">
        <v>5</v>
      </c>
    </row>
    <row r="69" spans="2:7" x14ac:dyDescent="0.25">
      <c r="C69" t="s">
        <v>121</v>
      </c>
      <c r="D69" t="s">
        <v>111</v>
      </c>
      <c r="E69">
        <v>4</v>
      </c>
    </row>
    <row r="70" spans="2:7" x14ac:dyDescent="0.25">
      <c r="C70" t="s">
        <v>122</v>
      </c>
      <c r="D70" t="s">
        <v>111</v>
      </c>
      <c r="E70">
        <v>2</v>
      </c>
    </row>
    <row r="71" spans="2:7" x14ac:dyDescent="0.25">
      <c r="C71" t="s">
        <v>123</v>
      </c>
      <c r="D71" t="s">
        <v>111</v>
      </c>
      <c r="E71">
        <v>1</v>
      </c>
    </row>
    <row r="72" spans="2:7" x14ac:dyDescent="0.25">
      <c r="C72" s="29" t="s">
        <v>127</v>
      </c>
      <c r="D72" t="s">
        <v>111</v>
      </c>
      <c r="E72">
        <v>1</v>
      </c>
    </row>
    <row r="73" spans="2:7" x14ac:dyDescent="0.25">
      <c r="C73" s="29" t="s">
        <v>128</v>
      </c>
      <c r="D73" t="s">
        <v>111</v>
      </c>
      <c r="E73">
        <v>2</v>
      </c>
    </row>
    <row r="74" spans="2:7" x14ac:dyDescent="0.25">
      <c r="C74" s="29" t="s">
        <v>130</v>
      </c>
      <c r="D74" t="s">
        <v>111</v>
      </c>
      <c r="E74">
        <v>1</v>
      </c>
    </row>
    <row r="75" spans="2:7" x14ac:dyDescent="0.25">
      <c r="C75" s="29" t="s">
        <v>131</v>
      </c>
      <c r="D75" t="s">
        <v>111</v>
      </c>
      <c r="E75">
        <v>1</v>
      </c>
    </row>
    <row r="76" spans="2:7" x14ac:dyDescent="0.25">
      <c r="C76" s="29" t="s">
        <v>132</v>
      </c>
      <c r="D76" t="s">
        <v>111</v>
      </c>
      <c r="E76">
        <v>1</v>
      </c>
    </row>
    <row r="77" spans="2:7" x14ac:dyDescent="0.25">
      <c r="C77" s="29" t="s">
        <v>133</v>
      </c>
      <c r="D77" t="s">
        <v>111</v>
      </c>
      <c r="E77">
        <v>1</v>
      </c>
    </row>
    <row r="78" spans="2:7" x14ac:dyDescent="0.25">
      <c r="C78" s="42" t="s">
        <v>178</v>
      </c>
      <c r="D78" s="42"/>
      <c r="E78" s="42"/>
      <c r="F78" s="42"/>
    </row>
    <row r="79" spans="2:7" x14ac:dyDescent="0.25">
      <c r="B79" s="30"/>
      <c r="C79" s="43"/>
      <c r="D79" s="43"/>
      <c r="E79" s="43"/>
      <c r="F79" s="43"/>
      <c r="G79" s="30"/>
    </row>
    <row r="80" spans="2:7" x14ac:dyDescent="0.25">
      <c r="B80" s="31" t="s">
        <v>139</v>
      </c>
      <c r="C80" s="31"/>
      <c r="D80" s="31"/>
      <c r="E80" s="31"/>
      <c r="F80" s="31"/>
      <c r="G80" s="31"/>
    </row>
    <row r="81" spans="2:7" x14ac:dyDescent="0.25">
      <c r="B81" s="32" t="s">
        <v>140</v>
      </c>
      <c r="C81" s="32" t="s">
        <v>141</v>
      </c>
      <c r="D81" s="32" t="s">
        <v>105</v>
      </c>
      <c r="E81" s="32" t="s">
        <v>106</v>
      </c>
      <c r="F81" s="32" t="s">
        <v>142</v>
      </c>
      <c r="G81" s="32" t="s">
        <v>143</v>
      </c>
    </row>
    <row r="82" spans="2:7" x14ac:dyDescent="0.25">
      <c r="B82" s="33">
        <v>1</v>
      </c>
      <c r="C82" s="34" t="s">
        <v>108</v>
      </c>
      <c r="D82" s="34" t="s">
        <v>109</v>
      </c>
      <c r="E82" s="35">
        <v>110</v>
      </c>
      <c r="F82" s="34"/>
      <c r="G82" s="36"/>
    </row>
    <row r="83" spans="2:7" x14ac:dyDescent="0.25">
      <c r="B83" s="33">
        <v>2</v>
      </c>
      <c r="C83" s="34" t="s">
        <v>110</v>
      </c>
      <c r="D83" s="34" t="s">
        <v>111</v>
      </c>
      <c r="E83" s="35">
        <v>28</v>
      </c>
      <c r="F83" s="34"/>
      <c r="G83" s="36"/>
    </row>
    <row r="84" spans="2:7" x14ac:dyDescent="0.25">
      <c r="B84" s="33">
        <v>3</v>
      </c>
      <c r="C84" s="37" t="s">
        <v>112</v>
      </c>
      <c r="D84" s="37" t="s">
        <v>111</v>
      </c>
      <c r="E84" s="38">
        <v>75</v>
      </c>
      <c r="F84" s="37"/>
      <c r="G84" s="36"/>
    </row>
    <row r="85" spans="2:7" x14ac:dyDescent="0.25">
      <c r="B85" s="33">
        <v>4</v>
      </c>
      <c r="C85" s="36" t="s">
        <v>113</v>
      </c>
      <c r="D85" s="36" t="s">
        <v>111</v>
      </c>
      <c r="E85" s="39">
        <v>15</v>
      </c>
      <c r="F85" s="36"/>
      <c r="G85" s="36"/>
    </row>
    <row r="86" spans="2:7" x14ac:dyDescent="0.25">
      <c r="B86" s="33">
        <v>5</v>
      </c>
      <c r="C86" s="36" t="s">
        <v>114</v>
      </c>
      <c r="D86" s="36" t="s">
        <v>111</v>
      </c>
      <c r="E86" s="39">
        <v>24</v>
      </c>
      <c r="F86" s="36"/>
      <c r="G86" s="36"/>
    </row>
    <row r="87" spans="2:7" x14ac:dyDescent="0.25">
      <c r="B87" s="33">
        <v>6</v>
      </c>
      <c r="C87" s="36" t="s">
        <v>115</v>
      </c>
      <c r="D87" s="36" t="s">
        <v>111</v>
      </c>
      <c r="E87" s="39">
        <v>7</v>
      </c>
      <c r="F87" s="36"/>
      <c r="G87" s="36"/>
    </row>
    <row r="88" spans="2:7" x14ac:dyDescent="0.25">
      <c r="B88" s="33">
        <v>7</v>
      </c>
      <c r="C88" s="36" t="s">
        <v>116</v>
      </c>
      <c r="D88" s="36" t="s">
        <v>111</v>
      </c>
      <c r="E88" s="39">
        <v>4</v>
      </c>
      <c r="F88" s="36"/>
      <c r="G88" s="36"/>
    </row>
    <row r="89" spans="2:7" x14ac:dyDescent="0.25">
      <c r="B89" s="33">
        <v>8</v>
      </c>
      <c r="C89" s="36" t="s">
        <v>117</v>
      </c>
      <c r="D89" s="36" t="s">
        <v>111</v>
      </c>
      <c r="E89" s="39">
        <v>3</v>
      </c>
      <c r="F89" s="36"/>
      <c r="G89" s="36"/>
    </row>
    <row r="90" spans="2:7" x14ac:dyDescent="0.25">
      <c r="B90" s="33">
        <v>9</v>
      </c>
      <c r="C90" s="36" t="s">
        <v>126</v>
      </c>
      <c r="D90" s="36" t="s">
        <v>111</v>
      </c>
      <c r="E90" s="39">
        <v>2</v>
      </c>
      <c r="F90" s="36"/>
      <c r="G90" s="36"/>
    </row>
    <row r="91" spans="2:7" x14ac:dyDescent="0.25">
      <c r="B91" s="33">
        <v>10</v>
      </c>
      <c r="C91" s="36" t="s">
        <v>120</v>
      </c>
      <c r="D91" s="36" t="s">
        <v>109</v>
      </c>
      <c r="E91" s="39">
        <v>5</v>
      </c>
      <c r="F91" s="36"/>
      <c r="G91" s="36"/>
    </row>
    <row r="92" spans="2:7" x14ac:dyDescent="0.25">
      <c r="B92" s="33">
        <v>11</v>
      </c>
      <c r="C92" s="36" t="s">
        <v>121</v>
      </c>
      <c r="D92" s="36" t="s">
        <v>111</v>
      </c>
      <c r="E92" s="39">
        <v>4</v>
      </c>
      <c r="F92" s="36"/>
      <c r="G92" s="36"/>
    </row>
    <row r="93" spans="2:7" x14ac:dyDescent="0.25">
      <c r="B93" s="33">
        <v>12</v>
      </c>
      <c r="C93" s="36" t="s">
        <v>122</v>
      </c>
      <c r="D93" s="36" t="s">
        <v>111</v>
      </c>
      <c r="E93" s="39">
        <v>2</v>
      </c>
      <c r="F93" s="36"/>
      <c r="G93" s="36"/>
    </row>
    <row r="94" spans="2:7" x14ac:dyDescent="0.25">
      <c r="B94" s="33">
        <v>13</v>
      </c>
      <c r="C94" s="36" t="s">
        <v>123</v>
      </c>
      <c r="D94" s="36" t="s">
        <v>111</v>
      </c>
      <c r="E94" s="39">
        <v>1</v>
      </c>
      <c r="F94" s="36"/>
      <c r="G94" s="36"/>
    </row>
    <row r="95" spans="2:7" x14ac:dyDescent="0.25">
      <c r="B95" s="33">
        <v>14</v>
      </c>
      <c r="C95" s="36" t="s">
        <v>127</v>
      </c>
      <c r="D95" s="36" t="s">
        <v>111</v>
      </c>
      <c r="E95" s="39">
        <v>1</v>
      </c>
      <c r="F95" s="36"/>
      <c r="G95" s="36"/>
    </row>
    <row r="96" spans="2:7" x14ac:dyDescent="0.25">
      <c r="B96" s="33">
        <v>15</v>
      </c>
      <c r="C96" s="36" t="s">
        <v>130</v>
      </c>
      <c r="D96" s="36" t="s">
        <v>111</v>
      </c>
      <c r="E96" s="39">
        <v>1</v>
      </c>
      <c r="F96" s="36"/>
      <c r="G96" s="36"/>
    </row>
    <row r="97" spans="2:8" x14ac:dyDescent="0.25">
      <c r="B97" s="33">
        <v>16</v>
      </c>
      <c r="C97" s="36" t="s">
        <v>131</v>
      </c>
      <c r="D97" s="36" t="s">
        <v>111</v>
      </c>
      <c r="E97" s="39">
        <v>1</v>
      </c>
      <c r="F97" s="36"/>
      <c r="G97" s="36"/>
    </row>
    <row r="98" spans="2:8" x14ac:dyDescent="0.25">
      <c r="B98" s="33">
        <v>17</v>
      </c>
      <c r="C98" s="36" t="s">
        <v>132</v>
      </c>
      <c r="D98" s="36" t="s">
        <v>111</v>
      </c>
      <c r="E98" s="39">
        <v>1</v>
      </c>
      <c r="F98" s="36"/>
      <c r="G98" s="36"/>
    </row>
    <row r="99" spans="2:8" x14ac:dyDescent="0.25">
      <c r="B99" s="33">
        <v>18</v>
      </c>
      <c r="C99" s="36" t="s">
        <v>133</v>
      </c>
      <c r="D99" s="36" t="s">
        <v>111</v>
      </c>
      <c r="E99" s="39">
        <v>1</v>
      </c>
      <c r="F99" s="36"/>
      <c r="G99" s="36"/>
    </row>
    <row r="100" spans="2:8" x14ac:dyDescent="0.25">
      <c r="B100" s="33">
        <v>19</v>
      </c>
      <c r="C100" s="36" t="s">
        <v>144</v>
      </c>
      <c r="D100" s="36" t="s">
        <v>109</v>
      </c>
      <c r="E100" s="39">
        <v>20</v>
      </c>
      <c r="F100" s="36"/>
      <c r="G100" s="36"/>
    </row>
    <row r="101" spans="2:8" x14ac:dyDescent="0.25">
      <c r="B101" s="33"/>
      <c r="C101" s="36" t="s">
        <v>145</v>
      </c>
      <c r="D101" s="36" t="s">
        <v>146</v>
      </c>
      <c r="E101" s="39">
        <v>1</v>
      </c>
      <c r="F101" s="36"/>
      <c r="G101" s="36"/>
    </row>
    <row r="102" spans="2:8" x14ac:dyDescent="0.25">
      <c r="C102" s="40" t="s">
        <v>147</v>
      </c>
    </row>
    <row r="103" spans="2:8" x14ac:dyDescent="0.25">
      <c r="C103" s="40" t="s">
        <v>148</v>
      </c>
    </row>
    <row r="104" spans="2:8" x14ac:dyDescent="0.25">
      <c r="C104" s="40" t="s">
        <v>149</v>
      </c>
    </row>
    <row r="107" spans="2:8" x14ac:dyDescent="0.25">
      <c r="B107" s="31" t="s">
        <v>150</v>
      </c>
      <c r="C107" s="31"/>
      <c r="D107" s="31"/>
      <c r="E107" s="31"/>
      <c r="F107" s="31"/>
      <c r="G107" s="31"/>
    </row>
    <row r="108" spans="2:8" x14ac:dyDescent="0.25">
      <c r="B108" s="33">
        <v>1</v>
      </c>
      <c r="C108" s="36" t="s">
        <v>128</v>
      </c>
      <c r="D108" s="36">
        <v>2</v>
      </c>
      <c r="E108" s="39" t="s">
        <v>111</v>
      </c>
      <c r="F108" s="36">
        <v>3500</v>
      </c>
      <c r="G108" s="36">
        <v>7000</v>
      </c>
      <c r="H108" s="33" t="s">
        <v>151</v>
      </c>
    </row>
    <row r="109" spans="2:8" x14ac:dyDescent="0.25">
      <c r="B109" s="33">
        <v>2</v>
      </c>
      <c r="C109" s="36" t="s">
        <v>152</v>
      </c>
      <c r="D109" s="36">
        <v>2</v>
      </c>
      <c r="E109" s="39" t="s">
        <v>111</v>
      </c>
      <c r="F109" s="36">
        <v>350000</v>
      </c>
      <c r="G109" s="36">
        <v>700000</v>
      </c>
      <c r="H109" s="33" t="s">
        <v>153</v>
      </c>
    </row>
    <row r="110" spans="2:8" x14ac:dyDescent="0.25">
      <c r="B110" s="33">
        <v>3</v>
      </c>
      <c r="C110" s="36" t="s">
        <v>154</v>
      </c>
      <c r="D110" s="36">
        <v>2</v>
      </c>
      <c r="E110" s="39" t="s">
        <v>111</v>
      </c>
      <c r="F110" s="36">
        <v>65000</v>
      </c>
      <c r="G110" s="36">
        <v>130000</v>
      </c>
      <c r="H110" s="33" t="s">
        <v>155</v>
      </c>
    </row>
    <row r="111" spans="2:8" x14ac:dyDescent="0.25">
      <c r="B111" s="33">
        <v>4</v>
      </c>
      <c r="C111" s="36" t="s">
        <v>156</v>
      </c>
      <c r="D111" s="36">
        <v>2</v>
      </c>
      <c r="E111" s="39" t="s">
        <v>111</v>
      </c>
      <c r="F111" s="36">
        <v>10000</v>
      </c>
      <c r="G111" s="36">
        <v>20000</v>
      </c>
      <c r="H111" s="33"/>
    </row>
    <row r="112" spans="2:8" x14ac:dyDescent="0.25">
      <c r="B112" s="33">
        <v>5</v>
      </c>
      <c r="C112" s="36" t="s">
        <v>157</v>
      </c>
      <c r="D112" s="36">
        <v>1</v>
      </c>
      <c r="E112" s="39" t="s">
        <v>158</v>
      </c>
      <c r="F112" s="36">
        <v>10000</v>
      </c>
      <c r="G112" s="36">
        <v>10000</v>
      </c>
      <c r="H112" s="33"/>
    </row>
    <row r="113" spans="2:8" x14ac:dyDescent="0.25">
      <c r="B113" s="33">
        <v>6</v>
      </c>
      <c r="C113" s="36" t="s">
        <v>159</v>
      </c>
      <c r="D113" s="36">
        <v>1</v>
      </c>
      <c r="E113" s="39" t="s">
        <v>158</v>
      </c>
      <c r="F113" s="36">
        <v>10000</v>
      </c>
      <c r="G113" s="36">
        <v>10000</v>
      </c>
      <c r="H113" s="33"/>
    </row>
    <row r="114" spans="2:8" x14ac:dyDescent="0.25">
      <c r="B114" s="33"/>
      <c r="C114" s="36"/>
      <c r="D114" s="36"/>
      <c r="E114" s="39"/>
      <c r="F114" s="36" t="s">
        <v>160</v>
      </c>
      <c r="G114" s="36">
        <v>877000</v>
      </c>
      <c r="H114" s="33"/>
    </row>
    <row r="116" spans="2:8" x14ac:dyDescent="0.25">
      <c r="B116" s="31" t="s">
        <v>161</v>
      </c>
      <c r="C116" s="31"/>
      <c r="D116" s="31"/>
      <c r="E116" s="31"/>
      <c r="F116" s="31"/>
      <c r="G116" s="31"/>
    </row>
    <row r="121" spans="2:8" x14ac:dyDescent="0.25">
      <c r="B121" s="31" t="s">
        <v>162</v>
      </c>
      <c r="C121" s="31"/>
      <c r="D121" s="31"/>
      <c r="E121" s="31"/>
      <c r="F121" s="31"/>
      <c r="G121" s="31"/>
    </row>
    <row r="122" spans="2:8" x14ac:dyDescent="0.25">
      <c r="B122" s="36">
        <v>1</v>
      </c>
      <c r="C122" s="36" t="s">
        <v>163</v>
      </c>
      <c r="D122" s="36"/>
      <c r="E122" s="36"/>
      <c r="F122" s="36"/>
      <c r="G122" s="36"/>
    </row>
    <row r="123" spans="2:8" x14ac:dyDescent="0.25">
      <c r="B123" s="36">
        <v>2</v>
      </c>
      <c r="C123" s="36" t="s">
        <v>164</v>
      </c>
      <c r="D123" s="36"/>
      <c r="E123" s="36"/>
      <c r="F123" s="36"/>
      <c r="G123" s="36"/>
    </row>
    <row r="124" spans="2:8" x14ac:dyDescent="0.25">
      <c r="B124" s="36">
        <v>3</v>
      </c>
      <c r="C124" s="36" t="s">
        <v>165</v>
      </c>
      <c r="D124" s="36"/>
      <c r="E124" s="36"/>
      <c r="F124" s="36"/>
      <c r="G124" s="36"/>
    </row>
    <row r="125" spans="2:8" x14ac:dyDescent="0.25">
      <c r="B125" s="36">
        <v>4</v>
      </c>
      <c r="C125" s="36" t="s">
        <v>166</v>
      </c>
      <c r="D125" s="36"/>
      <c r="E125" s="36"/>
      <c r="F125" s="36"/>
      <c r="G125" s="36"/>
    </row>
    <row r="126" spans="2:8" x14ac:dyDescent="0.25">
      <c r="B126" s="36">
        <v>5</v>
      </c>
      <c r="C126" s="32" t="s">
        <v>167</v>
      </c>
      <c r="D126" s="36" t="s">
        <v>168</v>
      </c>
      <c r="E126" s="41">
        <f>(E83*2+E88*3+E92*1.5*2+E84+E85*0.5+E93*1.5+E89*3*2+50)*1.3</f>
        <v>303.55</v>
      </c>
      <c r="F126" s="36">
        <v>200</v>
      </c>
      <c r="G126" s="36"/>
    </row>
    <row r="127" spans="2:8" x14ac:dyDescent="0.25">
      <c r="B127" s="36">
        <v>6</v>
      </c>
      <c r="C127" s="32" t="s">
        <v>169</v>
      </c>
      <c r="D127" s="36" t="s">
        <v>170</v>
      </c>
      <c r="E127" s="41">
        <f>E82+E91*1.5</f>
        <v>117.5</v>
      </c>
      <c r="F127" s="36">
        <v>48</v>
      </c>
      <c r="G127" s="36"/>
    </row>
    <row r="128" spans="2:8" x14ac:dyDescent="0.25">
      <c r="B128" s="36">
        <v>7</v>
      </c>
      <c r="C128" s="32" t="s">
        <v>171</v>
      </c>
      <c r="D128" s="36" t="s">
        <v>168</v>
      </c>
      <c r="E128" s="41">
        <f>E126</f>
        <v>303.55</v>
      </c>
      <c r="F128" s="36">
        <v>30</v>
      </c>
      <c r="G128" s="36"/>
    </row>
    <row r="129" spans="2:7" x14ac:dyDescent="0.25">
      <c r="B129" s="36">
        <v>8</v>
      </c>
      <c r="C129" s="32" t="s">
        <v>172</v>
      </c>
      <c r="D129" s="36" t="s">
        <v>168</v>
      </c>
      <c r="E129" s="36">
        <f>E86*E87*0.5</f>
        <v>84</v>
      </c>
      <c r="F129" s="36">
        <v>184</v>
      </c>
      <c r="G129" s="36"/>
    </row>
    <row r="130" spans="2:7" x14ac:dyDescent="0.25">
      <c r="B130" s="36">
        <v>9</v>
      </c>
      <c r="C130" s="32" t="s">
        <v>173</v>
      </c>
      <c r="D130" s="36" t="s">
        <v>158</v>
      </c>
      <c r="E130" s="36"/>
      <c r="F130" s="36"/>
      <c r="G130" s="36"/>
    </row>
    <row r="133" spans="2:7" x14ac:dyDescent="0.25">
      <c r="B133" s="31" t="s">
        <v>174</v>
      </c>
      <c r="C133" s="31"/>
      <c r="D133" s="31"/>
      <c r="E133" s="31"/>
      <c r="F133" s="31"/>
      <c r="G133" s="31"/>
    </row>
    <row r="134" spans="2:7" x14ac:dyDescent="0.25">
      <c r="B134" s="36">
        <v>1</v>
      </c>
      <c r="C134" s="36" t="s">
        <v>175</v>
      </c>
      <c r="D134" s="36"/>
      <c r="E134" s="36"/>
      <c r="F134" s="36"/>
      <c r="G134" s="36"/>
    </row>
    <row r="135" spans="2:7" x14ac:dyDescent="0.25">
      <c r="B135" s="36">
        <v>2</v>
      </c>
      <c r="C135" s="36" t="s">
        <v>176</v>
      </c>
      <c r="D135" s="36"/>
      <c r="E135" s="36"/>
      <c r="F135" s="36"/>
      <c r="G135" s="36"/>
    </row>
    <row r="136" spans="2:7" x14ac:dyDescent="0.25">
      <c r="B136" s="36">
        <v>3</v>
      </c>
      <c r="C136" s="36" t="s">
        <v>177</v>
      </c>
      <c r="D136" s="36"/>
      <c r="E136" s="36"/>
      <c r="F136" s="36"/>
      <c r="G136" s="36"/>
    </row>
  </sheetData>
  <mergeCells count="7">
    <mergeCell ref="B3:F3"/>
    <mergeCell ref="B80:G80"/>
    <mergeCell ref="B107:G107"/>
    <mergeCell ref="B116:G116"/>
    <mergeCell ref="B121:G121"/>
    <mergeCell ref="B133:G133"/>
    <mergeCell ref="C78:F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R&amp;D calc</vt:lpstr>
      <vt:lpstr>Syndate plant calc</vt:lpstr>
      <vt:lpstr>E-wax costing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2017-04-07T06:48:06Z</dcterms:modified>
</cp:coreProperties>
</file>