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5" activeTab="6"/>
  </bookViews>
  <sheets>
    <sheet name="Paharpur CT" sheetId="1" r:id="rId1"/>
    <sheet name="Alpha Laval CT" sheetId="2" r:id="rId2"/>
    <sheet name="Heat Load of Paharpur (PFAD)" sheetId="3" r:id="rId3"/>
    <sheet name="Heat Load of Paharpur (CNO RMO)" sheetId="8" r:id="rId4"/>
    <sheet name="Heat Load of Alphalaval" sheetId="4" r:id="rId5"/>
    <sheet name="Summary" sheetId="5" r:id="rId6"/>
    <sheet name="Actual saving" sheetId="10" r:id="rId7"/>
    <sheet name="Estimated Saving" sheetId="6" r:id="rId8"/>
    <sheet name="Costing" sheetId="7" r:id="rId9"/>
    <sheet name="Sheet1" sheetId="9" r:id="rId10"/>
  </sheets>
  <calcPr calcId="145621"/>
</workbook>
</file>

<file path=xl/calcChain.xml><?xml version="1.0" encoding="utf-8"?>
<calcChain xmlns="http://schemas.openxmlformats.org/spreadsheetml/2006/main">
  <c r="K156" i="10" l="1"/>
  <c r="K152" i="10"/>
  <c r="K148" i="10"/>
  <c r="K144" i="10"/>
  <c r="K140" i="10"/>
  <c r="K136" i="10"/>
  <c r="K132" i="10"/>
  <c r="K66" i="10"/>
  <c r="K64" i="10"/>
  <c r="K62" i="10"/>
  <c r="J50" i="10"/>
  <c r="J49" i="10"/>
  <c r="J48" i="10"/>
  <c r="J47" i="10"/>
  <c r="J46" i="10"/>
  <c r="J45" i="10"/>
  <c r="J44" i="10"/>
  <c r="J41" i="10"/>
  <c r="J40" i="10"/>
  <c r="J39" i="10"/>
  <c r="J38" i="10"/>
  <c r="J37" i="10"/>
  <c r="J36" i="10"/>
  <c r="J20" i="10"/>
  <c r="J18" i="10"/>
  <c r="C7" i="10"/>
  <c r="F6" i="10"/>
  <c r="K138" i="10" s="1"/>
  <c r="E6" i="10"/>
  <c r="J76" i="10" s="1"/>
  <c r="D6" i="10"/>
  <c r="K158" i="10" s="1"/>
  <c r="C6" i="10"/>
  <c r="J75" i="10" l="1"/>
  <c r="J69" i="10"/>
  <c r="J62" i="10"/>
  <c r="L62" i="10" s="1"/>
  <c r="M62" i="10" s="1"/>
  <c r="L144" i="10"/>
  <c r="M144" i="10" s="1"/>
  <c r="K63" i="10"/>
  <c r="K65" i="10"/>
  <c r="K67" i="10"/>
  <c r="L67" i="10" s="1"/>
  <c r="M67" i="10" s="1"/>
  <c r="K130" i="10"/>
  <c r="L130" i="10" s="1"/>
  <c r="M130" i="10" s="1"/>
  <c r="K134" i="10"/>
  <c r="K142" i="10"/>
  <c r="K146" i="10"/>
  <c r="K150" i="10"/>
  <c r="L150" i="10" s="1"/>
  <c r="M150" i="10" s="1"/>
  <c r="K154" i="10"/>
  <c r="J159" i="10"/>
  <c r="J158" i="10"/>
  <c r="L158" i="10" s="1"/>
  <c r="M158" i="10" s="1"/>
  <c r="J157" i="10"/>
  <c r="J156" i="10"/>
  <c r="J155" i="10"/>
  <c r="J154" i="10"/>
  <c r="J153" i="10"/>
  <c r="J152" i="10"/>
  <c r="J151" i="10"/>
  <c r="J150" i="10"/>
  <c r="J149" i="10"/>
  <c r="J148" i="10"/>
  <c r="L148" i="10" s="1"/>
  <c r="M148" i="10" s="1"/>
  <c r="J147" i="10"/>
  <c r="J146" i="10"/>
  <c r="J145" i="10"/>
  <c r="J144" i="10"/>
  <c r="J143" i="10"/>
  <c r="J142" i="10"/>
  <c r="J133" i="10"/>
  <c r="J132" i="10"/>
  <c r="J131" i="10"/>
  <c r="J130" i="10"/>
  <c r="J129" i="10"/>
  <c r="J92" i="10"/>
  <c r="J91" i="10"/>
  <c r="J90" i="10"/>
  <c r="J89" i="10"/>
  <c r="J74" i="10"/>
  <c r="J73" i="10"/>
  <c r="J72" i="10"/>
  <c r="J71" i="10"/>
  <c r="J70" i="10"/>
  <c r="J68" i="10"/>
  <c r="J124" i="10"/>
  <c r="J122" i="10"/>
  <c r="J120" i="10"/>
  <c r="J118" i="10"/>
  <c r="J116" i="10"/>
  <c r="J100" i="10"/>
  <c r="J98" i="10"/>
  <c r="J67" i="10"/>
  <c r="K33" i="10"/>
  <c r="L33" i="10" s="1"/>
  <c r="M33" i="10" s="1"/>
  <c r="K32" i="10"/>
  <c r="J123" i="10"/>
  <c r="J121" i="10"/>
  <c r="J119" i="10"/>
  <c r="J117" i="10"/>
  <c r="J99" i="10"/>
  <c r="J97" i="10"/>
  <c r="K75" i="10"/>
  <c r="L75" i="10" s="1"/>
  <c r="M75" i="10" s="1"/>
  <c r="J22" i="10"/>
  <c r="J15" i="10"/>
  <c r="L132" i="10"/>
  <c r="M132" i="10" s="1"/>
  <c r="L136" i="10"/>
  <c r="M136" i="10" s="1"/>
  <c r="L140" i="10"/>
  <c r="M140" i="10" s="1"/>
  <c r="L152" i="10"/>
  <c r="M152" i="10" s="1"/>
  <c r="L156" i="10"/>
  <c r="M156" i="10" s="1"/>
  <c r="J141" i="10"/>
  <c r="J140" i="10"/>
  <c r="J139" i="10"/>
  <c r="J138" i="10"/>
  <c r="L138" i="10" s="1"/>
  <c r="M138" i="10" s="1"/>
  <c r="J137" i="10"/>
  <c r="J136" i="10"/>
  <c r="J135" i="10"/>
  <c r="J134" i="10"/>
  <c r="K124" i="10"/>
  <c r="K123" i="10"/>
  <c r="K122" i="10"/>
  <c r="K121" i="10"/>
  <c r="L121" i="10" s="1"/>
  <c r="M121" i="10" s="1"/>
  <c r="K120" i="10"/>
  <c r="L120" i="10" s="1"/>
  <c r="M120" i="10" s="1"/>
  <c r="K119" i="10"/>
  <c r="K118" i="10"/>
  <c r="L118" i="10" s="1"/>
  <c r="M118" i="10" s="1"/>
  <c r="K117" i="10"/>
  <c r="L117" i="10" s="1"/>
  <c r="M117" i="10" s="1"/>
  <c r="K116" i="10"/>
  <c r="K115" i="10"/>
  <c r="K114" i="10"/>
  <c r="L114" i="10" s="1"/>
  <c r="M114" i="10" s="1"/>
  <c r="K113" i="10"/>
  <c r="L113" i="10" s="1"/>
  <c r="M113" i="10" s="1"/>
  <c r="K112" i="10"/>
  <c r="K111" i="10"/>
  <c r="K110" i="10"/>
  <c r="K109" i="10"/>
  <c r="L109" i="10" s="1"/>
  <c r="M109" i="10" s="1"/>
  <c r="K108" i="10"/>
  <c r="K107" i="10"/>
  <c r="K106" i="10"/>
  <c r="K100" i="10"/>
  <c r="L100" i="10" s="1"/>
  <c r="M100" i="10" s="1"/>
  <c r="K99" i="10"/>
  <c r="L99" i="10" s="1"/>
  <c r="M99" i="10" s="1"/>
  <c r="K98" i="10"/>
  <c r="K97" i="10"/>
  <c r="L97" i="10" s="1"/>
  <c r="M97" i="10" s="1"/>
  <c r="J88" i="10"/>
  <c r="J87" i="10"/>
  <c r="J86" i="10"/>
  <c r="J85" i="10"/>
  <c r="J84" i="10"/>
  <c r="J83" i="10"/>
  <c r="J82" i="10"/>
  <c r="J81" i="10"/>
  <c r="J80" i="10"/>
  <c r="J79" i="10"/>
  <c r="J78" i="10"/>
  <c r="J77" i="10"/>
  <c r="J106" i="10"/>
  <c r="J104" i="10"/>
  <c r="J102" i="10"/>
  <c r="K92" i="10"/>
  <c r="L92" i="10" s="1"/>
  <c r="M92" i="10" s="1"/>
  <c r="K90" i="10"/>
  <c r="L90" i="10" s="1"/>
  <c r="M90" i="10" s="1"/>
  <c r="K88" i="10"/>
  <c r="K86" i="10"/>
  <c r="L86" i="10" s="1"/>
  <c r="M86" i="10" s="1"/>
  <c r="K84" i="10"/>
  <c r="K82" i="10"/>
  <c r="L82" i="10" s="1"/>
  <c r="M82" i="10" s="1"/>
  <c r="K80" i="10"/>
  <c r="K78" i="10"/>
  <c r="L78" i="10" s="1"/>
  <c r="M78" i="10" s="1"/>
  <c r="K76" i="10"/>
  <c r="L76" i="10" s="1"/>
  <c r="M76" i="10" s="1"/>
  <c r="K74" i="10"/>
  <c r="L74" i="10" s="1"/>
  <c r="M74" i="10" s="1"/>
  <c r="K72" i="10"/>
  <c r="K70" i="10"/>
  <c r="L70" i="10" s="1"/>
  <c r="M70" i="10" s="1"/>
  <c r="K68" i="10"/>
  <c r="L68" i="10" s="1"/>
  <c r="M68" i="10" s="1"/>
  <c r="J66" i="10"/>
  <c r="L66" i="10" s="1"/>
  <c r="M66" i="10" s="1"/>
  <c r="J65" i="10"/>
  <c r="J64" i="10"/>
  <c r="L64" i="10" s="1"/>
  <c r="M64" i="10" s="1"/>
  <c r="J63" i="10"/>
  <c r="K57" i="10"/>
  <c r="K56" i="10"/>
  <c r="K55" i="10"/>
  <c r="K54" i="10"/>
  <c r="K53" i="10"/>
  <c r="L53" i="10" s="1"/>
  <c r="M53" i="10" s="1"/>
  <c r="K52" i="10"/>
  <c r="K51" i="10"/>
  <c r="K50" i="10"/>
  <c r="L50" i="10" s="1"/>
  <c r="M50" i="10" s="1"/>
  <c r="K49" i="10"/>
  <c r="L49" i="10" s="1"/>
  <c r="M49" i="10" s="1"/>
  <c r="K48" i="10"/>
  <c r="L48" i="10" s="1"/>
  <c r="M48" i="10" s="1"/>
  <c r="K47" i="10"/>
  <c r="L47" i="10" s="1"/>
  <c r="M47" i="10" s="1"/>
  <c r="K46" i="10"/>
  <c r="L46" i="10" s="1"/>
  <c r="M46" i="10" s="1"/>
  <c r="K45" i="10"/>
  <c r="L45" i="10" s="1"/>
  <c r="M45" i="10" s="1"/>
  <c r="K44" i="10"/>
  <c r="L44" i="10" s="1"/>
  <c r="M44" i="10" s="1"/>
  <c r="K43" i="10"/>
  <c r="K42" i="10"/>
  <c r="L42" i="10" s="1"/>
  <c r="M42" i="10" s="1"/>
  <c r="K41" i="10"/>
  <c r="L41" i="10" s="1"/>
  <c r="M41" i="10" s="1"/>
  <c r="K40" i="10"/>
  <c r="L40" i="10" s="1"/>
  <c r="M40" i="10" s="1"/>
  <c r="K39" i="10"/>
  <c r="L39" i="10" s="1"/>
  <c r="M39" i="10" s="1"/>
  <c r="K38" i="10"/>
  <c r="L38" i="10" s="1"/>
  <c r="M38" i="10" s="1"/>
  <c r="K37" i="10"/>
  <c r="L37" i="10" s="1"/>
  <c r="M37" i="10" s="1"/>
  <c r="K36" i="10"/>
  <c r="L36" i="10" s="1"/>
  <c r="M36" i="10" s="1"/>
  <c r="K35" i="10"/>
  <c r="K34" i="10"/>
  <c r="L34" i="10" s="1"/>
  <c r="M34" i="10" s="1"/>
  <c r="K31" i="10"/>
  <c r="L31" i="10" s="1"/>
  <c r="M31" i="10" s="1"/>
  <c r="K30" i="10"/>
  <c r="K29" i="10"/>
  <c r="K28" i="10"/>
  <c r="L28" i="10" s="1"/>
  <c r="M28" i="10" s="1"/>
  <c r="K27" i="10"/>
  <c r="L27" i="10" s="1"/>
  <c r="M27" i="10" s="1"/>
  <c r="J105" i="10"/>
  <c r="J103" i="10"/>
  <c r="J101" i="10"/>
  <c r="K91" i="10"/>
  <c r="L91" i="10" s="1"/>
  <c r="M91" i="10" s="1"/>
  <c r="K89" i="10"/>
  <c r="K87" i="10"/>
  <c r="L87" i="10" s="1"/>
  <c r="M87" i="10" s="1"/>
  <c r="K85" i="10"/>
  <c r="L85" i="10" s="1"/>
  <c r="M85" i="10" s="1"/>
  <c r="K83" i="10"/>
  <c r="L83" i="10" s="1"/>
  <c r="M83" i="10" s="1"/>
  <c r="K81" i="10"/>
  <c r="K79" i="10"/>
  <c r="L79" i="10" s="1"/>
  <c r="M79" i="10" s="1"/>
  <c r="K77" i="10"/>
  <c r="L77" i="10" s="1"/>
  <c r="M77" i="10" s="1"/>
  <c r="K73" i="10"/>
  <c r="L73" i="10" s="1"/>
  <c r="M73" i="10" s="1"/>
  <c r="K71" i="10"/>
  <c r="K69" i="10"/>
  <c r="K20" i="10"/>
  <c r="L20" i="10" s="1"/>
  <c r="M20" i="10" s="1"/>
  <c r="K19" i="10"/>
  <c r="L19" i="10" s="1"/>
  <c r="M19" i="10" s="1"/>
  <c r="K18" i="10"/>
  <c r="L18" i="10" s="1"/>
  <c r="M18" i="10" s="1"/>
  <c r="K17" i="10"/>
  <c r="K16" i="10"/>
  <c r="K15" i="10"/>
  <c r="L15" i="10" s="1"/>
  <c r="M15" i="10" s="1"/>
  <c r="K14" i="10"/>
  <c r="L14" i="10" s="1"/>
  <c r="M14" i="10" s="1"/>
  <c r="J14" i="10"/>
  <c r="J27" i="10"/>
  <c r="J29" i="10"/>
  <c r="J31" i="10"/>
  <c r="J33" i="10"/>
  <c r="J35" i="10"/>
  <c r="J43" i="10"/>
  <c r="J51" i="10"/>
  <c r="J53" i="10"/>
  <c r="J55" i="10"/>
  <c r="J57" i="10"/>
  <c r="K129" i="10"/>
  <c r="K133" i="10"/>
  <c r="K137" i="10"/>
  <c r="L137" i="10" s="1"/>
  <c r="M137" i="10" s="1"/>
  <c r="K141" i="10"/>
  <c r="L141" i="10" s="1"/>
  <c r="M141" i="10" s="1"/>
  <c r="K145" i="10"/>
  <c r="K149" i="10"/>
  <c r="K153" i="10"/>
  <c r="K157" i="10"/>
  <c r="L157" i="10" s="1"/>
  <c r="M157" i="10" s="1"/>
  <c r="J17" i="10"/>
  <c r="J19" i="10"/>
  <c r="K105" i="10"/>
  <c r="L105" i="10" s="1"/>
  <c r="M105" i="10" s="1"/>
  <c r="K104" i="10"/>
  <c r="L104" i="10" s="1"/>
  <c r="M104" i="10" s="1"/>
  <c r="K103" i="10"/>
  <c r="L103" i="10" s="1"/>
  <c r="M103" i="10" s="1"/>
  <c r="K102" i="10"/>
  <c r="L102" i="10" s="1"/>
  <c r="M102" i="10" s="1"/>
  <c r="K101" i="10"/>
  <c r="L101" i="10" s="1"/>
  <c r="M101" i="10" s="1"/>
  <c r="J16" i="10"/>
  <c r="K22" i="10"/>
  <c r="J28" i="10"/>
  <c r="J30" i="10"/>
  <c r="J32" i="10"/>
  <c r="J34" i="10"/>
  <c r="J42" i="10"/>
  <c r="J52" i="10"/>
  <c r="J54" i="10"/>
  <c r="J56" i="10"/>
  <c r="K131" i="10"/>
  <c r="L131" i="10" s="1"/>
  <c r="M131" i="10" s="1"/>
  <c r="K135" i="10"/>
  <c r="L135" i="10" s="1"/>
  <c r="M135" i="10" s="1"/>
  <c r="K139" i="10"/>
  <c r="L139" i="10" s="1"/>
  <c r="M139" i="10" s="1"/>
  <c r="K143" i="10"/>
  <c r="L143" i="10" s="1"/>
  <c r="M143" i="10" s="1"/>
  <c r="K147" i="10"/>
  <c r="L147" i="10" s="1"/>
  <c r="M147" i="10" s="1"/>
  <c r="K151" i="10"/>
  <c r="L151" i="10" s="1"/>
  <c r="M151" i="10" s="1"/>
  <c r="K155" i="10"/>
  <c r="L155" i="10" s="1"/>
  <c r="M155" i="10" s="1"/>
  <c r="K159" i="10"/>
  <c r="L159" i="10" s="1"/>
  <c r="M159" i="10" s="1"/>
  <c r="J107" i="10"/>
  <c r="J109" i="10"/>
  <c r="J111" i="10"/>
  <c r="J113" i="10"/>
  <c r="J115" i="10"/>
  <c r="J108" i="10"/>
  <c r="J110" i="10"/>
  <c r="J112" i="10"/>
  <c r="J114" i="10"/>
  <c r="L57" i="10" l="1"/>
  <c r="M57" i="10" s="1"/>
  <c r="L32" i="10"/>
  <c r="M32" i="10" s="1"/>
  <c r="L16" i="10"/>
  <c r="M16" i="10" s="1"/>
  <c r="M23" i="10" s="1"/>
  <c r="L54" i="10"/>
  <c r="M54" i="10" s="1"/>
  <c r="L84" i="10"/>
  <c r="M84" i="10" s="1"/>
  <c r="L110" i="10"/>
  <c r="M110" i="10" s="1"/>
  <c r="L122" i="10"/>
  <c r="M122" i="10" s="1"/>
  <c r="L146" i="10"/>
  <c r="M146" i="10" s="1"/>
  <c r="L149" i="10"/>
  <c r="M149" i="10" s="1"/>
  <c r="L133" i="10"/>
  <c r="M133" i="10" s="1"/>
  <c r="L17" i="10"/>
  <c r="M17" i="10" s="1"/>
  <c r="L69" i="10"/>
  <c r="M69" i="10" s="1"/>
  <c r="L29" i="10"/>
  <c r="M29" i="10" s="1"/>
  <c r="M58" i="10" s="1"/>
  <c r="L35" i="10"/>
  <c r="M35" i="10" s="1"/>
  <c r="L43" i="10"/>
  <c r="M43" i="10" s="1"/>
  <c r="L51" i="10"/>
  <c r="M51" i="10" s="1"/>
  <c r="L55" i="10"/>
  <c r="M55" i="10" s="1"/>
  <c r="L98" i="10"/>
  <c r="M98" i="10" s="1"/>
  <c r="L107" i="10"/>
  <c r="M107" i="10" s="1"/>
  <c r="L111" i="10"/>
  <c r="M111" i="10" s="1"/>
  <c r="L115" i="10"/>
  <c r="M115" i="10" s="1"/>
  <c r="L119" i="10"/>
  <c r="M119" i="10" s="1"/>
  <c r="L123" i="10"/>
  <c r="M123" i="10" s="1"/>
  <c r="L142" i="10"/>
  <c r="M142" i="10" s="1"/>
  <c r="L65" i="10"/>
  <c r="M65" i="10" s="1"/>
  <c r="L153" i="10"/>
  <c r="M153" i="10" s="1"/>
  <c r="L106" i="10"/>
  <c r="M106" i="10" s="1"/>
  <c r="L22" i="10"/>
  <c r="M22" i="10" s="1"/>
  <c r="L145" i="10"/>
  <c r="M145" i="10" s="1"/>
  <c r="L129" i="10"/>
  <c r="M129" i="10" s="1"/>
  <c r="L71" i="10"/>
  <c r="M71" i="10" s="1"/>
  <c r="L81" i="10"/>
  <c r="M81" i="10" s="1"/>
  <c r="L89" i="10"/>
  <c r="M89" i="10" s="1"/>
  <c r="L30" i="10"/>
  <c r="M30" i="10" s="1"/>
  <c r="L52" i="10"/>
  <c r="M52" i="10" s="1"/>
  <c r="L56" i="10"/>
  <c r="M56" i="10" s="1"/>
  <c r="L72" i="10"/>
  <c r="M72" i="10" s="1"/>
  <c r="L80" i="10"/>
  <c r="M80" i="10" s="1"/>
  <c r="L88" i="10"/>
  <c r="M88" i="10" s="1"/>
  <c r="L108" i="10"/>
  <c r="M108" i="10" s="1"/>
  <c r="M125" i="10" s="1"/>
  <c r="L112" i="10"/>
  <c r="M112" i="10" s="1"/>
  <c r="L116" i="10"/>
  <c r="M116" i="10" s="1"/>
  <c r="L124" i="10"/>
  <c r="M124" i="10" s="1"/>
  <c r="L154" i="10"/>
  <c r="M154" i="10" s="1"/>
  <c r="L134" i="10"/>
  <c r="M134" i="10" s="1"/>
  <c r="L63" i="10"/>
  <c r="M63" i="10" s="1"/>
  <c r="M93" i="10" s="1"/>
  <c r="M160" i="10" l="1"/>
  <c r="D17" i="6" l="1"/>
  <c r="D31" i="4" l="1"/>
  <c r="D18" i="4"/>
  <c r="D30" i="8"/>
  <c r="D30" i="3"/>
  <c r="K16" i="8"/>
  <c r="D31" i="8"/>
  <c r="D45" i="8"/>
  <c r="D58" i="8"/>
  <c r="D74" i="8"/>
  <c r="D74" i="3"/>
  <c r="D58" i="3"/>
  <c r="D45" i="3"/>
  <c r="D31" i="3"/>
  <c r="D78" i="3" s="1"/>
  <c r="K16" i="3"/>
  <c r="E20" i="5"/>
  <c r="E14" i="5"/>
  <c r="E13" i="5"/>
  <c r="E12" i="5"/>
  <c r="E10" i="5"/>
  <c r="D69" i="8"/>
  <c r="D70" i="8" s="1"/>
  <c r="D71" i="8" s="1"/>
  <c r="D72" i="8" s="1"/>
  <c r="D73" i="8" s="1"/>
  <c r="I50" i="8"/>
  <c r="K50" i="8" s="1"/>
  <c r="I51" i="8" s="1"/>
  <c r="I53" i="8" s="1"/>
  <c r="I54" i="8" s="1"/>
  <c r="D51" i="8" s="1"/>
  <c r="D55" i="8" s="1"/>
  <c r="D56" i="8" s="1"/>
  <c r="D57" i="8" s="1"/>
  <c r="I37" i="8"/>
  <c r="K37" i="8" s="1"/>
  <c r="I38" i="8" s="1"/>
  <c r="I40" i="8" s="1"/>
  <c r="I41" i="8" s="1"/>
  <c r="D38" i="8" s="1"/>
  <c r="D42" i="8" s="1"/>
  <c r="D43" i="8" s="1"/>
  <c r="D44" i="8" s="1"/>
  <c r="I23" i="8"/>
  <c r="K23" i="8" s="1"/>
  <c r="I24" i="8" s="1"/>
  <c r="I26" i="8" s="1"/>
  <c r="I27" i="8" s="1"/>
  <c r="D24" i="8" s="1"/>
  <c r="D28" i="8" s="1"/>
  <c r="D29" i="8" s="1"/>
  <c r="G18" i="8"/>
  <c r="C18" i="8"/>
  <c r="G16" i="8"/>
  <c r="C16" i="8"/>
  <c r="K10" i="8"/>
  <c r="G10" i="8"/>
  <c r="C10" i="8"/>
  <c r="K15" i="8" s="1"/>
  <c r="K8" i="8"/>
  <c r="G8" i="8"/>
  <c r="C8" i="8"/>
  <c r="D26" i="4"/>
  <c r="D27" i="4" s="1"/>
  <c r="D28" i="4" s="1"/>
  <c r="D29" i="4" s="1"/>
  <c r="D30" i="4" s="1"/>
  <c r="D25" i="7"/>
  <c r="J12" i="7"/>
  <c r="G12" i="7"/>
  <c r="J11" i="7"/>
  <c r="G11" i="7"/>
  <c r="J10" i="7"/>
  <c r="G10" i="7"/>
  <c r="G9" i="7"/>
  <c r="E15" i="5" l="1"/>
  <c r="E22" i="5" s="1"/>
  <c r="J9" i="7" l="1"/>
  <c r="J8" i="7"/>
  <c r="G8" i="7"/>
  <c r="J7" i="7"/>
  <c r="J6" i="7"/>
  <c r="J13" i="7" s="1"/>
  <c r="G7" i="7"/>
  <c r="G6" i="7"/>
  <c r="J14" i="7" l="1"/>
  <c r="J15" i="7" s="1"/>
  <c r="G26" i="7" l="1"/>
  <c r="G25" i="7"/>
  <c r="G24" i="7"/>
  <c r="G23" i="7"/>
  <c r="G22" i="7"/>
  <c r="G21" i="7"/>
  <c r="G27" i="7" l="1"/>
  <c r="G28" i="7" s="1"/>
  <c r="G29" i="7" s="1"/>
  <c r="G31" i="7" s="1"/>
  <c r="E23" i="6" s="1"/>
  <c r="D18" i="6" l="1"/>
  <c r="D16" i="6"/>
  <c r="D19" i="6" l="1"/>
  <c r="D20" i="6" s="1"/>
  <c r="D9" i="6"/>
  <c r="D12" i="6" s="1"/>
  <c r="D13" i="6" s="1"/>
  <c r="D6" i="6"/>
  <c r="D8" i="6"/>
  <c r="E22" i="6" l="1"/>
  <c r="E24" i="6" s="1"/>
  <c r="D16" i="4"/>
  <c r="I50" i="3"/>
  <c r="K50" i="3" s="1"/>
  <c r="I51" i="3" s="1"/>
  <c r="I53" i="3" s="1"/>
  <c r="I54" i="3" s="1"/>
  <c r="D51" i="3" s="1"/>
  <c r="D55" i="3" s="1"/>
  <c r="D56" i="3" s="1"/>
  <c r="D57" i="3" s="1"/>
  <c r="C13" i="5" s="1"/>
  <c r="D13" i="5" s="1"/>
  <c r="D13" i="4"/>
  <c r="D14" i="4" s="1"/>
  <c r="D15" i="4" s="1"/>
  <c r="I23" i="3"/>
  <c r="K23" i="3" s="1"/>
  <c r="I24" i="3" s="1"/>
  <c r="I26" i="3" s="1"/>
  <c r="I27" i="3" s="1"/>
  <c r="D24" i="3" s="1"/>
  <c r="D28" i="3" s="1"/>
  <c r="D29" i="3" s="1"/>
  <c r="C11" i="5" s="1"/>
  <c r="D69" i="3"/>
  <c r="D70" i="3" s="1"/>
  <c r="D71" i="3" s="1"/>
  <c r="D72" i="3" s="1"/>
  <c r="D73" i="3" s="1"/>
  <c r="C14" i="5" s="1"/>
  <c r="D14" i="5" s="1"/>
  <c r="I37" i="3"/>
  <c r="K37" i="3" s="1"/>
  <c r="I38" i="3" s="1"/>
  <c r="I40" i="3" s="1"/>
  <c r="I41" i="3" s="1"/>
  <c r="D38" i="3" s="1"/>
  <c r="D42" i="3" s="1"/>
  <c r="D43" i="3" s="1"/>
  <c r="D44" i="3" s="1"/>
  <c r="C12" i="5" s="1"/>
  <c r="D12" i="5" s="1"/>
  <c r="D17" i="4" l="1"/>
  <c r="G18" i="3"/>
  <c r="G16" i="3"/>
  <c r="G10" i="3"/>
  <c r="G8" i="3"/>
  <c r="K8" i="3"/>
  <c r="C8" i="3"/>
  <c r="C16" i="3"/>
  <c r="K10" i="3"/>
  <c r="C18" i="3"/>
  <c r="C10" i="3"/>
  <c r="C20" i="5" l="1"/>
  <c r="D20" i="5" s="1"/>
  <c r="K15" i="3"/>
  <c r="C10" i="5" l="1"/>
  <c r="D10" i="5" l="1"/>
  <c r="D15" i="5" s="1"/>
  <c r="D22" i="5" s="1"/>
  <c r="C15" i="5"/>
</calcChain>
</file>

<file path=xl/comments1.xml><?xml version="1.0" encoding="utf-8"?>
<comments xmlns="http://schemas.openxmlformats.org/spreadsheetml/2006/main">
  <authors>
    <author>Author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running with another pump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running single</t>
        </r>
      </text>
    </comment>
  </commentList>
</comments>
</file>

<file path=xl/sharedStrings.xml><?xml version="1.0" encoding="utf-8"?>
<sst xmlns="http://schemas.openxmlformats.org/spreadsheetml/2006/main" count="1304" uniqueCount="193">
  <si>
    <t>Paharpur Cooling Tower</t>
  </si>
  <si>
    <t>P-20 P03
Q= 435 M3/Hr
H=60 M
P=110 KW</t>
  </si>
  <si>
    <t>P-9002 A/B
Q= 500 M3/Hr
H=45 M
P=80 KW</t>
  </si>
  <si>
    <t>Syndate Plant 
Vapour Condenser</t>
  </si>
  <si>
    <t>GDP</t>
  </si>
  <si>
    <t>Precon Condenser</t>
  </si>
  <si>
    <t>OLD SPD PHE</t>
  </si>
  <si>
    <t xml:space="preserve">Bleacher </t>
  </si>
  <si>
    <t>Old Postcon
(Run only when JST &amp; LST is running)</t>
  </si>
  <si>
    <t>PHE</t>
  </si>
  <si>
    <t>P-364 A/B
Q= 300 M3/Hr
H=50 M
P=75 KW</t>
  </si>
  <si>
    <t>E-104</t>
  </si>
  <si>
    <t>E-105</t>
  </si>
  <si>
    <t>E-106</t>
  </si>
  <si>
    <t>E-115</t>
  </si>
  <si>
    <t>CW Tin</t>
  </si>
  <si>
    <t>°C</t>
  </si>
  <si>
    <t>CW T out</t>
  </si>
  <si>
    <t>Heat Load</t>
  </si>
  <si>
    <t>Kcal/hr</t>
  </si>
  <si>
    <t>Q</t>
  </si>
  <si>
    <t>TR</t>
  </si>
  <si>
    <t>ATFD Condenser</t>
  </si>
  <si>
    <t>Glycerine vapor Condensor</t>
  </si>
  <si>
    <t>Cooler</t>
  </si>
  <si>
    <t>M3/hr</t>
  </si>
  <si>
    <t>E-114</t>
  </si>
  <si>
    <t xml:space="preserve">GDP </t>
  </si>
  <si>
    <t>OLD SPD</t>
  </si>
  <si>
    <t>Syndet Plant Vapour Condenser</t>
  </si>
  <si>
    <t>kcal/hr</t>
  </si>
  <si>
    <t>Total GDP Load</t>
  </si>
  <si>
    <t xml:space="preserve">CW 2" line is given </t>
  </si>
  <si>
    <t>Max flow through 2" line</t>
  </si>
  <si>
    <t>2"</t>
  </si>
  <si>
    <t>D</t>
  </si>
  <si>
    <t>mm</t>
  </si>
  <si>
    <t>A</t>
  </si>
  <si>
    <t>m</t>
  </si>
  <si>
    <t>m2</t>
  </si>
  <si>
    <t>u</t>
  </si>
  <si>
    <t>m/sec</t>
  </si>
  <si>
    <t>q</t>
  </si>
  <si>
    <t>m3/sec</t>
  </si>
  <si>
    <t>m3/hr</t>
  </si>
  <si>
    <t>max is considered</t>
  </si>
  <si>
    <t>delta T assumed</t>
  </si>
  <si>
    <t xml:space="preserve"> Bleacher Vapour Condenser</t>
  </si>
  <si>
    <t>Precon Vapour Condenser</t>
  </si>
  <si>
    <t>Note:</t>
  </si>
  <si>
    <t>Feed rate of Precon when only LST is running &amp; JST is shutdown</t>
  </si>
  <si>
    <t>%</t>
  </si>
  <si>
    <t>LST FEED</t>
  </si>
  <si>
    <t>TPH</t>
  </si>
  <si>
    <t>Precon feed rate</t>
  </si>
  <si>
    <t>Final Conc</t>
  </si>
  <si>
    <t>Initial Conc</t>
  </si>
  <si>
    <t>precon outlet rate</t>
  </si>
  <si>
    <t>Total water removed</t>
  </si>
  <si>
    <t>Water removed from each effect</t>
  </si>
  <si>
    <t>Heat Load on last effect</t>
  </si>
  <si>
    <t xml:space="preserve">CW 4" line is given </t>
  </si>
  <si>
    <t>Considering 80% Utilization</t>
  </si>
  <si>
    <t>Postcon Vapour Condenser</t>
  </si>
  <si>
    <t>Total vapour load</t>
  </si>
  <si>
    <t>Considering 70% Utilization</t>
  </si>
  <si>
    <t>Feed rate of Postcon when only LST is running &amp; JST is shutdown</t>
  </si>
  <si>
    <t>Summary</t>
  </si>
  <si>
    <t>Consumer</t>
  </si>
  <si>
    <t>MCT BLEACHER</t>
  </si>
  <si>
    <t>Syndate</t>
  </si>
  <si>
    <t>Precon</t>
  </si>
  <si>
    <t>Pharpur CT capacity</t>
  </si>
  <si>
    <t>Pastcon Load</t>
  </si>
  <si>
    <t>Total</t>
  </si>
  <si>
    <t>PAHARPUR COOLING TOWER</t>
  </si>
  <si>
    <t>Alphalaval Cooling Tower</t>
  </si>
  <si>
    <t>If GDP  &amp; LST on 80% load</t>
  </si>
  <si>
    <t>Note : If Old SPD is not running &amp; GDP &amp; LST are at 80% loading (Considering PFAD Run)  then Paharpur cooling tower can cater the Alpha laval Cooling tower load</t>
  </si>
  <si>
    <t>Total Load</t>
  </si>
  <si>
    <t>Alphalaval Cooling Tower FAN Power</t>
  </si>
  <si>
    <t>KWH</t>
  </si>
  <si>
    <t>Alpha laval CT circulation pump</t>
  </si>
  <si>
    <t>loading 70%</t>
  </si>
  <si>
    <t>loading 90%</t>
  </si>
  <si>
    <t>Saving in Power consumption</t>
  </si>
  <si>
    <t>Total power saving</t>
  </si>
  <si>
    <t>Kwh</t>
  </si>
  <si>
    <t>Working days</t>
  </si>
  <si>
    <t>Days</t>
  </si>
  <si>
    <t>Power Cost</t>
  </si>
  <si>
    <t>Rs/kwh</t>
  </si>
  <si>
    <t>Rs</t>
  </si>
  <si>
    <t>Saving</t>
  </si>
  <si>
    <t>Lacs</t>
  </si>
  <si>
    <t>CT water circulation rate</t>
  </si>
  <si>
    <t>Postcon feed rate</t>
  </si>
  <si>
    <t>M3</t>
  </si>
  <si>
    <t>Drift losses avoided</t>
  </si>
  <si>
    <t>Raw water saving</t>
  </si>
  <si>
    <t xml:space="preserve">Vapour Condenser
</t>
  </si>
  <si>
    <t>Material Cost</t>
  </si>
  <si>
    <t>Sr.no.</t>
  </si>
  <si>
    <t>Quantity</t>
  </si>
  <si>
    <t>Unit</t>
  </si>
  <si>
    <t>Rate</t>
  </si>
  <si>
    <t>Nos</t>
  </si>
  <si>
    <t>Lot</t>
  </si>
  <si>
    <t>Taxes ( 14.5 %)</t>
  </si>
  <si>
    <t>Total (Including taxes)</t>
  </si>
  <si>
    <t>Service cost</t>
  </si>
  <si>
    <t>IND</t>
  </si>
  <si>
    <t>DP test</t>
  </si>
  <si>
    <t>Taxes ( 25 %)</t>
  </si>
  <si>
    <t>Total cost</t>
  </si>
  <si>
    <t>M</t>
  </si>
  <si>
    <t>Description</t>
  </si>
  <si>
    <t>FLANGE, CS, 150#, 10"</t>
  </si>
  <si>
    <t>Available quantity</t>
  </si>
  <si>
    <t>Tee,CS,10x10  ,Sch 40</t>
  </si>
  <si>
    <t>Gasket ,CAF,150#</t>
  </si>
  <si>
    <t>Elbow CS, Sch 40,ERW,90 D</t>
  </si>
  <si>
    <t>CS pipe line fabrication weld joint</t>
  </si>
  <si>
    <t>Nut bolts &amp; other</t>
  </si>
  <si>
    <t>CS Pipe erection and fabrication</t>
  </si>
  <si>
    <t>INM</t>
  </si>
  <si>
    <t>Hydra Or Material handling</t>
  </si>
  <si>
    <t>SHF</t>
  </si>
  <si>
    <t>Valve Fixing</t>
  </si>
  <si>
    <t>Scaffolding</t>
  </si>
  <si>
    <t>LOT</t>
  </si>
  <si>
    <t>Amount (Rs)</t>
  </si>
  <si>
    <t>Amount
(Rs.)</t>
  </si>
  <si>
    <t>Amount based on material availability
(Rs.)</t>
  </si>
  <si>
    <t>Considering PFAD Run</t>
  </si>
  <si>
    <t>Considering RMO/CNO  Run</t>
  </si>
  <si>
    <t>PFAD RUN</t>
  </si>
  <si>
    <t>Saving in raw water consumption</t>
  </si>
  <si>
    <t>Total Saving</t>
  </si>
  <si>
    <t>Total Investment</t>
  </si>
  <si>
    <t>ROI</t>
  </si>
  <si>
    <t>CW flow</t>
  </si>
  <si>
    <t>TOTAL CW FLOW</t>
  </si>
  <si>
    <t>4"</t>
  </si>
  <si>
    <t>Considering 90% Utilization</t>
  </si>
  <si>
    <t>CNO /RMO RUN</t>
  </si>
  <si>
    <t>Note : If Old SPD is not running &amp; GDP (Considering CNO/RMO Run)  then Paharpur cooling tower can cater the Alpha laval Cooling tower load</t>
  </si>
  <si>
    <t>Alpha Laval Cooling Tower</t>
  </si>
  <si>
    <t>ACTUAL</t>
  </si>
  <si>
    <t>ALPHALAVAL COOLING TOWER</t>
  </si>
  <si>
    <t>Months</t>
  </si>
  <si>
    <t>Valve, Butterfly, 10", CS, 150#, FE</t>
  </si>
  <si>
    <t>PIPE CS-ASTMA106GRB 10" ERW SCH40</t>
  </si>
  <si>
    <t xml:space="preserve">   </t>
  </si>
  <si>
    <t>Pump calculated power</t>
  </si>
  <si>
    <t>Name of equipment</t>
  </si>
  <si>
    <t>P20P03</t>
  </si>
  <si>
    <t>P9002A</t>
  </si>
  <si>
    <t xml:space="preserve"> P9002B</t>
  </si>
  <si>
    <t>P 364</t>
  </si>
  <si>
    <t>Pharpur CT fan</t>
  </si>
  <si>
    <t>Alpha Laval CT fan</t>
  </si>
  <si>
    <t>calculated power</t>
  </si>
  <si>
    <t>Month</t>
  </si>
  <si>
    <t>Power Cost Rs/KWH</t>
  </si>
  <si>
    <t>Date</t>
  </si>
  <si>
    <t>Working Hrs</t>
  </si>
  <si>
    <t>Plants Running</t>
  </si>
  <si>
    <t>Pump Running</t>
  </si>
  <si>
    <t>CT Running</t>
  </si>
  <si>
    <t>Power consumption after modification</t>
  </si>
  <si>
    <t>Power consumption before modification</t>
  </si>
  <si>
    <t>Power saving (KWH)</t>
  </si>
  <si>
    <t>Actual Saving (Lacs)</t>
  </si>
  <si>
    <t>Alfalaval</t>
  </si>
  <si>
    <t>Stopped</t>
  </si>
  <si>
    <t>on</t>
  </si>
  <si>
    <t>Paharpur CT</t>
  </si>
  <si>
    <t>P20P03 &amp; P364</t>
  </si>
  <si>
    <t>Paharpur CT &amp; Alfalaval</t>
  </si>
  <si>
    <t>P20P03 &amp; P9002B</t>
  </si>
  <si>
    <t>P20P03 &amp; P9002A &amp; B</t>
  </si>
  <si>
    <t xml:space="preserve"> P9002A &amp; B</t>
  </si>
  <si>
    <t>JST</t>
  </si>
  <si>
    <t>LST</t>
  </si>
  <si>
    <t>20P03</t>
  </si>
  <si>
    <t>P9002A &amp; 20P03</t>
  </si>
  <si>
    <t>P9002B &amp; 20P03</t>
  </si>
  <si>
    <t>P9002A &amp; B &amp;20P03</t>
  </si>
  <si>
    <t>P9002B</t>
  </si>
  <si>
    <t>P9002A &amp; B</t>
  </si>
  <si>
    <t>P9002A&amp; B</t>
  </si>
  <si>
    <t>20P03 &amp; P9002A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</si>
</sst>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" fillId="2" borderId="0" xfId="0" applyFont="1" applyFill="1"/>
    <xf numFmtId="0" fontId="1" fillId="4" borderId="0" xfId="0" applyFont="1" applyFill="1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0" xfId="0" applyFont="1" applyFill="1" applyBorder="1" applyAlignment="1"/>
    <xf numFmtId="0" fontId="0" fillId="0" borderId="0" xfId="0" applyBorder="1"/>
    <xf numFmtId="0" fontId="1" fillId="4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/>
    <xf numFmtId="2" fontId="0" fillId="0" borderId="1" xfId="0" applyNumberFormat="1" applyBorder="1"/>
    <xf numFmtId="2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/>
    <xf numFmtId="0" fontId="1" fillId="6" borderId="0" xfId="0" applyFont="1" applyFill="1" applyBorder="1"/>
    <xf numFmtId="0" fontId="0" fillId="6" borderId="0" xfId="0" applyFill="1"/>
    <xf numFmtId="0" fontId="0" fillId="6" borderId="0" xfId="0" applyFill="1" applyBorder="1"/>
    <xf numFmtId="2" fontId="1" fillId="4" borderId="0" xfId="0" applyNumberFormat="1" applyFont="1" applyFill="1" applyBorder="1" applyAlignment="1"/>
    <xf numFmtId="2" fontId="1" fillId="2" borderId="0" xfId="0" applyNumberFormat="1" applyFont="1" applyFill="1" applyBorder="1" applyAlignment="1"/>
    <xf numFmtId="0" fontId="0" fillId="0" borderId="0" xfId="0" applyFill="1" applyBorder="1" applyAlignment="1"/>
    <xf numFmtId="2" fontId="0" fillId="0" borderId="0" xfId="0" applyNumberFormat="1"/>
    <xf numFmtId="1" fontId="1" fillId="2" borderId="0" xfId="0" applyNumberFormat="1" applyFont="1" applyFill="1" applyBorder="1" applyAlignment="1"/>
    <xf numFmtId="0" fontId="1" fillId="0" borderId="0" xfId="0" applyFont="1" applyFill="1"/>
    <xf numFmtId="0" fontId="2" fillId="0" borderId="0" xfId="0" applyFont="1" applyBorder="1" applyAlignment="1">
      <alignment vertical="top" wrapText="1"/>
    </xf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0" fontId="0" fillId="0" borderId="31" xfId="0" applyBorder="1"/>
    <xf numFmtId="0" fontId="1" fillId="0" borderId="5" xfId="0" applyFont="1" applyBorder="1"/>
    <xf numFmtId="165" fontId="0" fillId="0" borderId="0" xfId="0" applyNumberFormat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3" xfId="0" applyBorder="1"/>
    <xf numFmtId="0" fontId="4" fillId="0" borderId="1" xfId="0" applyFont="1" applyFill="1" applyBorder="1" applyAlignment="1">
      <alignment horizontal="left"/>
    </xf>
    <xf numFmtId="0" fontId="0" fillId="0" borderId="33" xfId="0" applyFill="1" applyBorder="1" applyAlignment="1">
      <alignment horizontal="center"/>
    </xf>
    <xf numFmtId="1" fontId="1" fillId="2" borderId="1" xfId="0" applyNumberFormat="1" applyFont="1" applyFill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" fontId="1" fillId="0" borderId="0" xfId="0" applyNumberFormat="1" applyFont="1" applyBorder="1"/>
    <xf numFmtId="0" fontId="1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/>
    <xf numFmtId="2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33" xfId="0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32" xfId="0" applyBorder="1"/>
    <xf numFmtId="0" fontId="0" fillId="0" borderId="36" xfId="0" applyBorder="1"/>
    <xf numFmtId="0" fontId="0" fillId="0" borderId="35" xfId="0" applyBorder="1"/>
    <xf numFmtId="0" fontId="0" fillId="0" borderId="37" xfId="0" applyBorder="1"/>
    <xf numFmtId="0" fontId="0" fillId="0" borderId="4" xfId="0" applyBorder="1"/>
    <xf numFmtId="2" fontId="1" fillId="0" borderId="4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1" xfId="0" applyFont="1" applyBorder="1"/>
    <xf numFmtId="165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0" fontId="6" fillId="0" borderId="1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3" borderId="28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1" xfId="0" applyFont="1" applyBorder="1"/>
    <xf numFmtId="0" fontId="6" fillId="0" borderId="31" xfId="0" applyFont="1" applyBorder="1"/>
    <xf numFmtId="2" fontId="6" fillId="0" borderId="1" xfId="0" applyNumberFormat="1" applyFont="1" applyBorder="1" applyAlignment="1">
      <alignment horizontal="center"/>
    </xf>
    <xf numFmtId="2" fontId="6" fillId="9" borderId="22" xfId="0" applyNumberFormat="1" applyFont="1" applyFill="1" applyBorder="1" applyAlignment="1">
      <alignment horizontal="center"/>
    </xf>
    <xf numFmtId="2" fontId="6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2" fontId="6" fillId="15" borderId="1" xfId="0" applyNumberFormat="1" applyFont="1" applyFill="1" applyBorder="1"/>
    <xf numFmtId="2" fontId="6" fillId="0" borderId="22" xfId="0" applyNumberFormat="1" applyFont="1" applyBorder="1" applyAlignment="1">
      <alignment horizontal="center"/>
    </xf>
    <xf numFmtId="0" fontId="6" fillId="0" borderId="39" xfId="0" applyFont="1" applyBorder="1"/>
    <xf numFmtId="2" fontId="6" fillId="0" borderId="33" xfId="0" applyNumberFormat="1" applyFont="1" applyBorder="1" applyAlignment="1">
      <alignment horizontal="center"/>
    </xf>
    <xf numFmtId="2" fontId="6" fillId="9" borderId="16" xfId="0" applyNumberFormat="1" applyFont="1" applyFill="1" applyBorder="1" applyAlignment="1">
      <alignment horizontal="center"/>
    </xf>
    <xf numFmtId="2" fontId="6" fillId="0" borderId="33" xfId="0" applyNumberFormat="1" applyFont="1" applyBorder="1"/>
    <xf numFmtId="0" fontId="7" fillId="0" borderId="24" xfId="0" applyFont="1" applyBorder="1"/>
    <xf numFmtId="2" fontId="7" fillId="0" borderId="25" xfId="0" applyNumberFormat="1" applyFont="1" applyBorder="1" applyAlignment="1">
      <alignment horizontal="center"/>
    </xf>
    <xf numFmtId="2" fontId="7" fillId="0" borderId="38" xfId="0" applyNumberFormat="1" applyFont="1" applyBorder="1" applyAlignment="1">
      <alignment horizontal="center"/>
    </xf>
    <xf numFmtId="2" fontId="7" fillId="0" borderId="26" xfId="0" applyNumberFormat="1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2" fontId="7" fillId="0" borderId="0" xfId="0" applyNumberFormat="1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13" borderId="38" xfId="0" applyFont="1" applyFill="1" applyBorder="1" applyAlignment="1">
      <alignment horizontal="center"/>
    </xf>
    <xf numFmtId="0" fontId="7" fillId="0" borderId="3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2" fontId="7" fillId="9" borderId="26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4" borderId="24" xfId="0" applyFont="1" applyFill="1" applyBorder="1"/>
    <xf numFmtId="2" fontId="7" fillId="4" borderId="25" xfId="0" applyNumberFormat="1" applyFont="1" applyFill="1" applyBorder="1" applyAlignment="1">
      <alignment horizontal="center"/>
    </xf>
    <xf numFmtId="2" fontId="7" fillId="4" borderId="26" xfId="0" applyNumberFormat="1" applyFont="1" applyFill="1" applyBorder="1" applyAlignment="1">
      <alignment horizontal="center"/>
    </xf>
    <xf numFmtId="2" fontId="7" fillId="4" borderId="30" xfId="0" applyNumberFormat="1" applyFont="1" applyFill="1" applyBorder="1" applyAlignment="1">
      <alignment horizontal="center"/>
    </xf>
    <xf numFmtId="0" fontId="7" fillId="11" borderId="24" xfId="0" applyFont="1" applyFill="1" applyBorder="1"/>
    <xf numFmtId="0" fontId="7" fillId="11" borderId="25" xfId="0" applyFont="1" applyFill="1" applyBorder="1" applyAlignment="1">
      <alignment horizontal="center"/>
    </xf>
    <xf numFmtId="2" fontId="7" fillId="11" borderId="2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2" fontId="0" fillId="0" borderId="32" xfId="0" applyNumberForma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35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/>
    <xf numFmtId="2" fontId="1" fillId="0" borderId="41" xfId="0" applyNumberFormat="1" applyFont="1" applyBorder="1" applyAlignment="1">
      <alignment horizontal="center"/>
    </xf>
    <xf numFmtId="2" fontId="1" fillId="0" borderId="42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7" fillId="16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7" fillId="8" borderId="27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0" fontId="7" fillId="8" borderId="29" xfId="0" applyFont="1" applyFill="1" applyBorder="1" applyAlignment="1">
      <alignment horizontal="center"/>
    </xf>
    <xf numFmtId="0" fontId="1" fillId="12" borderId="27" xfId="0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0" fontId="1" fillId="12" borderId="29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2" xfId="0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2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0" xfId="0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5" fontId="0" fillId="0" borderId="35" xfId="0" applyNumberFormat="1" applyBorder="1"/>
    <xf numFmtId="0" fontId="0" fillId="0" borderId="35" xfId="0" applyBorder="1" applyAlignment="1">
      <alignment horizontal="center"/>
    </xf>
    <xf numFmtId="1" fontId="0" fillId="0" borderId="35" xfId="0" applyNumberFormat="1" applyBorder="1"/>
    <xf numFmtId="2" fontId="0" fillId="9" borderId="35" xfId="0" applyNumberFormat="1" applyFill="1" applyBorder="1" applyAlignment="1">
      <alignment horizontal="center"/>
    </xf>
    <xf numFmtId="15" fontId="0" fillId="0" borderId="1" xfId="0" applyNumberFormat="1" applyBorder="1"/>
    <xf numFmtId="1" fontId="0" fillId="0" borderId="1" xfId="0" applyNumberFormat="1" applyBorder="1"/>
    <xf numFmtId="2" fontId="0" fillId="9" borderId="1" xfId="0" applyNumberFormat="1" applyFill="1" applyBorder="1" applyAlignment="1">
      <alignment horizontal="center"/>
    </xf>
    <xf numFmtId="16" fontId="0" fillId="0" borderId="1" xfId="0" applyNumberFormat="1" applyBorder="1"/>
    <xf numFmtId="2" fontId="3" fillId="4" borderId="1" xfId="0" applyNumberFormat="1" applyFont="1" applyFill="1" applyBorder="1" applyAlignment="1">
      <alignment horizontal="center"/>
    </xf>
    <xf numFmtId="2" fontId="0" fillId="17" borderId="1" xfId="0" applyNumberFormat="1" applyFill="1" applyBorder="1" applyAlignment="1">
      <alignment horizontal="center"/>
    </xf>
    <xf numFmtId="2" fontId="0" fillId="17" borderId="33" xfId="0" applyNumberFormat="1" applyFill="1" applyBorder="1" applyAlignment="1">
      <alignment horizontal="center"/>
    </xf>
    <xf numFmtId="0" fontId="0" fillId="0" borderId="22" xfId="0" applyBorder="1"/>
    <xf numFmtId="2" fontId="3" fillId="4" borderId="30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2" fontId="0" fillId="17" borderId="3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9525</xdr:rowOff>
    </xdr:from>
    <xdr:to>
      <xdr:col>3</xdr:col>
      <xdr:colOff>0</xdr:colOff>
      <xdr:row>12</xdr:row>
      <xdr:rowOff>0</xdr:rowOff>
    </xdr:to>
    <xdr:cxnSp macro="">
      <xdr:nvCxnSpPr>
        <xdr:cNvPr id="5" name="Straight Arrow Connector 4"/>
        <xdr:cNvCxnSpPr/>
      </xdr:nvCxnSpPr>
      <xdr:spPr>
        <a:xfrm>
          <a:off x="1828800" y="981075"/>
          <a:ext cx="0" cy="13239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14</xdr:row>
      <xdr:rowOff>85725</xdr:rowOff>
    </xdr:from>
    <xdr:to>
      <xdr:col>7</xdr:col>
      <xdr:colOff>38100</xdr:colOff>
      <xdr:row>14</xdr:row>
      <xdr:rowOff>85725</xdr:rowOff>
    </xdr:to>
    <xdr:cxnSp macro="">
      <xdr:nvCxnSpPr>
        <xdr:cNvPr id="7" name="Straight Arrow Connector 6"/>
        <xdr:cNvCxnSpPr/>
      </xdr:nvCxnSpPr>
      <xdr:spPr>
        <a:xfrm>
          <a:off x="3057525" y="2781300"/>
          <a:ext cx="1247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</xdr:row>
      <xdr:rowOff>9525</xdr:rowOff>
    </xdr:from>
    <xdr:to>
      <xdr:col>7</xdr:col>
      <xdr:colOff>28575</xdr:colOff>
      <xdr:row>37</xdr:row>
      <xdr:rowOff>11906</xdr:rowOff>
    </xdr:to>
    <xdr:cxnSp macro="">
      <xdr:nvCxnSpPr>
        <xdr:cNvPr id="9" name="Straight Connector 8"/>
        <xdr:cNvCxnSpPr/>
      </xdr:nvCxnSpPr>
      <xdr:spPr>
        <a:xfrm>
          <a:off x="4279106" y="200025"/>
          <a:ext cx="0" cy="69080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190500</xdr:rowOff>
    </xdr:from>
    <xdr:to>
      <xdr:col>9</xdr:col>
      <xdr:colOff>38100</xdr:colOff>
      <xdr:row>2</xdr:row>
      <xdr:rowOff>190500</xdr:rowOff>
    </xdr:to>
    <xdr:cxnSp macro="">
      <xdr:nvCxnSpPr>
        <xdr:cNvPr id="11" name="Straight Arrow Connector 10"/>
        <xdr:cNvCxnSpPr/>
      </xdr:nvCxnSpPr>
      <xdr:spPr>
        <a:xfrm>
          <a:off x="4276725" y="571500"/>
          <a:ext cx="1247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19050</xdr:rowOff>
    </xdr:from>
    <xdr:to>
      <xdr:col>9</xdr:col>
      <xdr:colOff>28575</xdr:colOff>
      <xdr:row>8</xdr:row>
      <xdr:rowOff>19050</xdr:rowOff>
    </xdr:to>
    <xdr:cxnSp macro="">
      <xdr:nvCxnSpPr>
        <xdr:cNvPr id="12" name="Straight Arrow Connector 11"/>
        <xdr:cNvCxnSpPr/>
      </xdr:nvCxnSpPr>
      <xdr:spPr>
        <a:xfrm>
          <a:off x="4267200" y="1562100"/>
          <a:ext cx="1247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19050</xdr:rowOff>
    </xdr:from>
    <xdr:to>
      <xdr:col>13</xdr:col>
      <xdr:colOff>0</xdr:colOff>
      <xdr:row>8</xdr:row>
      <xdr:rowOff>19050</xdr:rowOff>
    </xdr:to>
    <xdr:cxnSp macro="">
      <xdr:nvCxnSpPr>
        <xdr:cNvPr id="13" name="Straight Arrow Connector 12"/>
        <xdr:cNvCxnSpPr/>
      </xdr:nvCxnSpPr>
      <xdr:spPr>
        <a:xfrm>
          <a:off x="7315200" y="156210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</xdr:row>
      <xdr:rowOff>180975</xdr:rowOff>
    </xdr:from>
    <xdr:to>
      <xdr:col>13</xdr:col>
      <xdr:colOff>0</xdr:colOff>
      <xdr:row>15</xdr:row>
      <xdr:rowOff>0</xdr:rowOff>
    </xdr:to>
    <xdr:cxnSp macro="">
      <xdr:nvCxnSpPr>
        <xdr:cNvPr id="16" name="Straight Connector 15"/>
        <xdr:cNvCxnSpPr/>
      </xdr:nvCxnSpPr>
      <xdr:spPr>
        <a:xfrm>
          <a:off x="7924800" y="561975"/>
          <a:ext cx="0" cy="2324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3</xdr:row>
      <xdr:rowOff>0</xdr:rowOff>
    </xdr:to>
    <xdr:cxnSp macro="">
      <xdr:nvCxnSpPr>
        <xdr:cNvPr id="18" name="Straight Arrow Connector 17"/>
        <xdr:cNvCxnSpPr/>
      </xdr:nvCxnSpPr>
      <xdr:spPr>
        <a:xfrm>
          <a:off x="7924800" y="581025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6</xdr:row>
      <xdr:rowOff>0</xdr:rowOff>
    </xdr:to>
    <xdr:cxnSp macro="">
      <xdr:nvCxnSpPr>
        <xdr:cNvPr id="19" name="Straight Arrow Connector 18"/>
        <xdr:cNvCxnSpPr/>
      </xdr:nvCxnSpPr>
      <xdr:spPr>
        <a:xfrm>
          <a:off x="7924800" y="116205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9</xdr:row>
      <xdr:rowOff>0</xdr:rowOff>
    </xdr:to>
    <xdr:cxnSp macro="">
      <xdr:nvCxnSpPr>
        <xdr:cNvPr id="20" name="Straight Arrow Connector 19"/>
        <xdr:cNvCxnSpPr/>
      </xdr:nvCxnSpPr>
      <xdr:spPr>
        <a:xfrm>
          <a:off x="7924800" y="173355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14</xdr:col>
      <xdr:colOff>0</xdr:colOff>
      <xdr:row>12</xdr:row>
      <xdr:rowOff>0</xdr:rowOff>
    </xdr:to>
    <xdr:cxnSp macro="">
      <xdr:nvCxnSpPr>
        <xdr:cNvPr id="21" name="Straight Arrow Connector 20"/>
        <xdr:cNvCxnSpPr/>
      </xdr:nvCxnSpPr>
      <xdr:spPr>
        <a:xfrm>
          <a:off x="7924800" y="2314575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14</xdr:row>
      <xdr:rowOff>161925</xdr:rowOff>
    </xdr:from>
    <xdr:to>
      <xdr:col>14</xdr:col>
      <xdr:colOff>9525</xdr:colOff>
      <xdr:row>14</xdr:row>
      <xdr:rowOff>161925</xdr:rowOff>
    </xdr:to>
    <xdr:cxnSp macro="">
      <xdr:nvCxnSpPr>
        <xdr:cNvPr id="22" name="Straight Arrow Connector 21"/>
        <xdr:cNvCxnSpPr/>
      </xdr:nvCxnSpPr>
      <xdr:spPr>
        <a:xfrm>
          <a:off x="7934325" y="285750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14</xdr:row>
      <xdr:rowOff>0</xdr:rowOff>
    </xdr:from>
    <xdr:to>
      <xdr:col>9</xdr:col>
      <xdr:colOff>28575</xdr:colOff>
      <xdr:row>14</xdr:row>
      <xdr:rowOff>19050</xdr:rowOff>
    </xdr:to>
    <xdr:cxnSp macro="">
      <xdr:nvCxnSpPr>
        <xdr:cNvPr id="23" name="Straight Arrow Connector 22"/>
        <xdr:cNvCxnSpPr/>
      </xdr:nvCxnSpPr>
      <xdr:spPr>
        <a:xfrm flipV="1">
          <a:off x="4314825" y="2695575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21</xdr:row>
      <xdr:rowOff>0</xdr:rowOff>
    </xdr:from>
    <xdr:to>
      <xdr:col>9</xdr:col>
      <xdr:colOff>28575</xdr:colOff>
      <xdr:row>21</xdr:row>
      <xdr:rowOff>19050</xdr:rowOff>
    </xdr:to>
    <xdr:cxnSp macro="">
      <xdr:nvCxnSpPr>
        <xdr:cNvPr id="25" name="Straight Arrow Connector 24"/>
        <xdr:cNvCxnSpPr/>
      </xdr:nvCxnSpPr>
      <xdr:spPr>
        <a:xfrm flipV="1">
          <a:off x="4314825" y="2695575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28</xdr:row>
      <xdr:rowOff>0</xdr:rowOff>
    </xdr:from>
    <xdr:to>
      <xdr:col>9</xdr:col>
      <xdr:colOff>28575</xdr:colOff>
      <xdr:row>28</xdr:row>
      <xdr:rowOff>19050</xdr:rowOff>
    </xdr:to>
    <xdr:cxnSp macro="">
      <xdr:nvCxnSpPr>
        <xdr:cNvPr id="26" name="Straight Arrow Connector 25"/>
        <xdr:cNvCxnSpPr/>
      </xdr:nvCxnSpPr>
      <xdr:spPr>
        <a:xfrm flipV="1">
          <a:off x="4314825" y="4038600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0</xdr:rowOff>
    </xdr:from>
    <xdr:to>
      <xdr:col>13</xdr:col>
      <xdr:colOff>0</xdr:colOff>
      <xdr:row>28</xdr:row>
      <xdr:rowOff>0</xdr:rowOff>
    </xdr:to>
    <xdr:cxnSp macro="">
      <xdr:nvCxnSpPr>
        <xdr:cNvPr id="27" name="Straight Arrow Connector 26"/>
        <xdr:cNvCxnSpPr/>
      </xdr:nvCxnSpPr>
      <xdr:spPr>
        <a:xfrm>
          <a:off x="7315200" y="537210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</xdr:colOff>
      <xdr:row>24</xdr:row>
      <xdr:rowOff>152400</xdr:rowOff>
    </xdr:from>
    <xdr:to>
      <xdr:col>13</xdr:col>
      <xdr:colOff>19050</xdr:colOff>
      <xdr:row>31</xdr:row>
      <xdr:rowOff>59531</xdr:rowOff>
    </xdr:to>
    <xdr:cxnSp macro="">
      <xdr:nvCxnSpPr>
        <xdr:cNvPr id="29" name="Straight Connector 28"/>
        <xdr:cNvCxnSpPr/>
      </xdr:nvCxnSpPr>
      <xdr:spPr>
        <a:xfrm flipH="1">
          <a:off x="7905750" y="4772025"/>
          <a:ext cx="7144" cy="12406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</xdr:colOff>
      <xdr:row>28</xdr:row>
      <xdr:rowOff>1</xdr:rowOff>
    </xdr:from>
    <xdr:to>
      <xdr:col>14</xdr:col>
      <xdr:colOff>11906</xdr:colOff>
      <xdr:row>28</xdr:row>
      <xdr:rowOff>1</xdr:rowOff>
    </xdr:to>
    <xdr:cxnSp macro="">
      <xdr:nvCxnSpPr>
        <xdr:cNvPr id="31" name="Straight Arrow Connector 30"/>
        <xdr:cNvCxnSpPr/>
      </xdr:nvCxnSpPr>
      <xdr:spPr>
        <a:xfrm>
          <a:off x="7905750" y="5381626"/>
          <a:ext cx="607219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37</xdr:row>
      <xdr:rowOff>0</xdr:rowOff>
    </xdr:from>
    <xdr:to>
      <xdr:col>9</xdr:col>
      <xdr:colOff>28575</xdr:colOff>
      <xdr:row>37</xdr:row>
      <xdr:rowOff>19050</xdr:rowOff>
    </xdr:to>
    <xdr:cxnSp macro="">
      <xdr:nvCxnSpPr>
        <xdr:cNvPr id="37" name="Straight Arrow Connector 36"/>
        <xdr:cNvCxnSpPr/>
      </xdr:nvCxnSpPr>
      <xdr:spPr>
        <a:xfrm flipV="1">
          <a:off x="4298156" y="2702719"/>
          <a:ext cx="1195388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9525</xdr:rowOff>
    </xdr:from>
    <xdr:to>
      <xdr:col>3</xdr:col>
      <xdr:colOff>0</xdr:colOff>
      <xdr:row>12</xdr:row>
      <xdr:rowOff>0</xdr:rowOff>
    </xdr:to>
    <xdr:cxnSp macro="">
      <xdr:nvCxnSpPr>
        <xdr:cNvPr id="2" name="Straight Arrow Connector 1"/>
        <xdr:cNvCxnSpPr/>
      </xdr:nvCxnSpPr>
      <xdr:spPr>
        <a:xfrm>
          <a:off x="1828800" y="981075"/>
          <a:ext cx="0" cy="13335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14</xdr:row>
      <xdr:rowOff>85725</xdr:rowOff>
    </xdr:from>
    <xdr:to>
      <xdr:col>7</xdr:col>
      <xdr:colOff>38100</xdr:colOff>
      <xdr:row>14</xdr:row>
      <xdr:rowOff>85725</xdr:rowOff>
    </xdr:to>
    <xdr:cxnSp macro="">
      <xdr:nvCxnSpPr>
        <xdr:cNvPr id="3" name="Straight Arrow Connector 2"/>
        <xdr:cNvCxnSpPr/>
      </xdr:nvCxnSpPr>
      <xdr:spPr>
        <a:xfrm>
          <a:off x="3057525" y="2781300"/>
          <a:ext cx="1247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11</xdr:row>
      <xdr:rowOff>161925</xdr:rowOff>
    </xdr:from>
    <xdr:to>
      <xdr:col>7</xdr:col>
      <xdr:colOff>28575</xdr:colOff>
      <xdr:row>17</xdr:row>
      <xdr:rowOff>142875</xdr:rowOff>
    </xdr:to>
    <xdr:cxnSp macro="">
      <xdr:nvCxnSpPr>
        <xdr:cNvPr id="4" name="Straight Connector 3"/>
        <xdr:cNvCxnSpPr/>
      </xdr:nvCxnSpPr>
      <xdr:spPr>
        <a:xfrm>
          <a:off x="4286250" y="2276475"/>
          <a:ext cx="9525" cy="1143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14</xdr:row>
      <xdr:rowOff>85725</xdr:rowOff>
    </xdr:from>
    <xdr:to>
      <xdr:col>9</xdr:col>
      <xdr:colOff>28575</xdr:colOff>
      <xdr:row>14</xdr:row>
      <xdr:rowOff>104775</xdr:rowOff>
    </xdr:to>
    <xdr:cxnSp macro="">
      <xdr:nvCxnSpPr>
        <xdr:cNvPr id="14" name="Straight Arrow Connector 13"/>
        <xdr:cNvCxnSpPr/>
      </xdr:nvCxnSpPr>
      <xdr:spPr>
        <a:xfrm flipV="1">
          <a:off x="4314825" y="2781300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39"/>
  <sheetViews>
    <sheetView zoomScale="80" zoomScaleNormal="80" workbookViewId="0">
      <selection activeCell="R9" sqref="R9"/>
    </sheetView>
  </sheetViews>
  <sheetFormatPr defaultRowHeight="15" x14ac:dyDescent="0.25"/>
  <sheetData>
    <row r="3" spans="2:15" ht="15.75" thickBot="1" x14ac:dyDescent="0.3">
      <c r="J3" s="161" t="s">
        <v>3</v>
      </c>
      <c r="K3" s="161"/>
      <c r="L3" s="161"/>
    </row>
    <row r="4" spans="2:15" x14ac:dyDescent="0.25">
      <c r="B4" s="162" t="s">
        <v>0</v>
      </c>
      <c r="C4" s="163"/>
      <c r="D4" s="163"/>
      <c r="E4" s="164"/>
      <c r="J4" s="161"/>
      <c r="K4" s="161"/>
      <c r="L4" s="161"/>
      <c r="O4" t="s">
        <v>11</v>
      </c>
    </row>
    <row r="5" spans="2:15" ht="15.75" thickBot="1" x14ac:dyDescent="0.3">
      <c r="B5" s="165"/>
      <c r="C5" s="166"/>
      <c r="D5" s="166"/>
      <c r="E5" s="167"/>
    </row>
    <row r="7" spans="2:15" x14ac:dyDescent="0.25">
      <c r="O7" t="s">
        <v>12</v>
      </c>
    </row>
    <row r="8" spans="2:15" x14ac:dyDescent="0.25">
      <c r="J8" s="154" t="s">
        <v>4</v>
      </c>
      <c r="K8" s="155"/>
      <c r="L8" s="156"/>
    </row>
    <row r="9" spans="2:15" x14ac:dyDescent="0.25">
      <c r="J9" s="157"/>
      <c r="K9" s="158"/>
      <c r="L9" s="159"/>
    </row>
    <row r="10" spans="2:15" x14ac:dyDescent="0.25">
      <c r="O10" t="s">
        <v>13</v>
      </c>
    </row>
    <row r="12" spans="2:15" ht="15.75" thickBot="1" x14ac:dyDescent="0.3"/>
    <row r="13" spans="2:15" x14ac:dyDescent="0.25">
      <c r="B13" s="168" t="s">
        <v>2</v>
      </c>
      <c r="C13" s="169"/>
      <c r="D13" s="168" t="s">
        <v>1</v>
      </c>
      <c r="E13" s="169"/>
      <c r="O13" t="s">
        <v>26</v>
      </c>
    </row>
    <row r="14" spans="2:15" x14ac:dyDescent="0.25">
      <c r="B14" s="170"/>
      <c r="C14" s="171"/>
      <c r="D14" s="170"/>
      <c r="E14" s="171"/>
      <c r="J14" s="154" t="s">
        <v>5</v>
      </c>
      <c r="K14" s="155"/>
      <c r="L14" s="156"/>
    </row>
    <row r="15" spans="2:15" x14ac:dyDescent="0.25">
      <c r="B15" s="170"/>
      <c r="C15" s="171"/>
      <c r="D15" s="170"/>
      <c r="E15" s="171"/>
      <c r="J15" s="157"/>
      <c r="K15" s="158"/>
      <c r="L15" s="159"/>
    </row>
    <row r="16" spans="2:15" x14ac:dyDescent="0.25">
      <c r="B16" s="170"/>
      <c r="C16" s="171"/>
      <c r="D16" s="170"/>
      <c r="E16" s="171"/>
      <c r="O16" t="s">
        <v>14</v>
      </c>
    </row>
    <row r="17" spans="2:16" ht="15.75" thickBot="1" x14ac:dyDescent="0.3">
      <c r="B17" s="172"/>
      <c r="C17" s="173"/>
      <c r="D17" s="172"/>
      <c r="E17" s="173"/>
    </row>
    <row r="21" spans="2:16" x14ac:dyDescent="0.25">
      <c r="J21" s="154" t="s">
        <v>6</v>
      </c>
      <c r="K21" s="155"/>
      <c r="L21" s="156"/>
    </row>
    <row r="22" spans="2:16" x14ac:dyDescent="0.25">
      <c r="J22" s="157"/>
      <c r="K22" s="158"/>
      <c r="L22" s="159"/>
    </row>
    <row r="25" spans="2:16" ht="15" customHeight="1" x14ac:dyDescent="0.25"/>
    <row r="27" spans="2:16" x14ac:dyDescent="0.25">
      <c r="O27" s="161" t="s">
        <v>100</v>
      </c>
      <c r="P27" s="161"/>
    </row>
    <row r="28" spans="2:16" x14ac:dyDescent="0.25">
      <c r="J28" s="154" t="s">
        <v>7</v>
      </c>
      <c r="K28" s="155"/>
      <c r="L28" s="156"/>
      <c r="O28" s="161"/>
      <c r="P28" s="161"/>
    </row>
    <row r="29" spans="2:16" x14ac:dyDescent="0.25">
      <c r="J29" s="157"/>
      <c r="K29" s="158"/>
      <c r="L29" s="159"/>
      <c r="O29" s="161"/>
      <c r="P29" s="161"/>
    </row>
    <row r="31" spans="2:16" ht="15" customHeight="1" x14ac:dyDescent="0.25">
      <c r="O31" s="2"/>
      <c r="P31" s="2"/>
    </row>
    <row r="32" spans="2:16" x14ac:dyDescent="0.25">
      <c r="O32" s="2"/>
      <c r="P32" s="2"/>
    </row>
    <row r="33" spans="10:16" x14ac:dyDescent="0.25">
      <c r="O33" s="2"/>
      <c r="P33" s="2"/>
    </row>
    <row r="37" spans="10:16" ht="15" customHeight="1" x14ac:dyDescent="0.25">
      <c r="J37" s="160" t="s">
        <v>8</v>
      </c>
      <c r="K37" s="160"/>
      <c r="L37" s="160"/>
    </row>
    <row r="38" spans="10:16" x14ac:dyDescent="0.25">
      <c r="J38" s="160"/>
      <c r="K38" s="160"/>
      <c r="L38" s="160"/>
    </row>
    <row r="39" spans="10:16" x14ac:dyDescent="0.25">
      <c r="J39" s="160"/>
      <c r="K39" s="160"/>
      <c r="L39" s="160"/>
    </row>
  </sheetData>
  <mergeCells count="10">
    <mergeCell ref="J21:L22"/>
    <mergeCell ref="J28:L29"/>
    <mergeCell ref="J37:L39"/>
    <mergeCell ref="O27:P29"/>
    <mergeCell ref="B4:E5"/>
    <mergeCell ref="B13:C17"/>
    <mergeCell ref="D13:E17"/>
    <mergeCell ref="J3:L4"/>
    <mergeCell ref="J8:L9"/>
    <mergeCell ref="J14:L15"/>
  </mergeCells>
  <pageMargins left="0.7" right="0.7" top="0.75" bottom="0.75" header="0.3" footer="0.3"/>
  <pageSetup scale="83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1"/>
  <sheetViews>
    <sheetView topLeftCell="A4" workbookViewId="0">
      <selection activeCell="H10" sqref="H10"/>
    </sheetView>
  </sheetViews>
  <sheetFormatPr defaultRowHeight="15" x14ac:dyDescent="0.25"/>
  <cols>
    <col min="2" max="2" width="18.5703125" customWidth="1"/>
    <col min="3" max="5" width="20" customWidth="1"/>
  </cols>
  <sheetData>
    <row r="3" spans="2:5" x14ac:dyDescent="0.25">
      <c r="B3" s="211" t="s">
        <v>67</v>
      </c>
      <c r="C3" s="211"/>
      <c r="D3" s="211"/>
      <c r="E3" s="211"/>
    </row>
    <row r="5" spans="2:5" ht="15.75" thickBot="1" x14ac:dyDescent="0.3"/>
    <row r="6" spans="2:5" ht="15.75" thickBot="1" x14ac:dyDescent="0.3">
      <c r="B6" s="212" t="s">
        <v>75</v>
      </c>
      <c r="C6" s="213"/>
      <c r="D6" s="213"/>
      <c r="E6" s="214"/>
    </row>
    <row r="7" spans="2:5" x14ac:dyDescent="0.25">
      <c r="B7" s="62"/>
      <c r="C7" s="131" t="s">
        <v>148</v>
      </c>
      <c r="D7" s="131" t="s">
        <v>136</v>
      </c>
      <c r="E7" s="132" t="s">
        <v>145</v>
      </c>
    </row>
    <row r="8" spans="2:5" ht="30" x14ac:dyDescent="0.25">
      <c r="B8" s="34" t="s">
        <v>68</v>
      </c>
      <c r="C8" s="130" t="s">
        <v>18</v>
      </c>
      <c r="D8" s="84" t="s">
        <v>77</v>
      </c>
      <c r="E8" s="133" t="s">
        <v>18</v>
      </c>
    </row>
    <row r="9" spans="2:5" ht="15.75" thickBot="1" x14ac:dyDescent="0.3">
      <c r="B9" s="64"/>
      <c r="C9" s="146" t="s">
        <v>21</v>
      </c>
      <c r="D9" s="146" t="s">
        <v>21</v>
      </c>
      <c r="E9" s="147" t="s">
        <v>21</v>
      </c>
    </row>
    <row r="10" spans="2:5" x14ac:dyDescent="0.25">
      <c r="B10" s="66" t="s">
        <v>4</v>
      </c>
      <c r="C10" s="144">
        <v>381.38227513227514</v>
      </c>
      <c r="D10" s="144">
        <v>305.1058201058201</v>
      </c>
      <c r="E10" s="145">
        <v>381.38227513227514</v>
      </c>
    </row>
    <row r="11" spans="2:5" x14ac:dyDescent="0.25">
      <c r="B11" s="34" t="s">
        <v>28</v>
      </c>
      <c r="C11" s="33">
        <v>104.92374414857146</v>
      </c>
      <c r="D11" s="33">
        <v>0</v>
      </c>
      <c r="E11" s="134">
        <v>0</v>
      </c>
    </row>
    <row r="12" spans="2:5" x14ac:dyDescent="0.25">
      <c r="B12" s="34" t="s">
        <v>69</v>
      </c>
      <c r="C12" s="33">
        <v>15.007495428571431</v>
      </c>
      <c r="D12" s="33">
        <v>15.007495428571431</v>
      </c>
      <c r="E12" s="134">
        <v>15.007495428571431</v>
      </c>
    </row>
    <row r="13" spans="2:5" x14ac:dyDescent="0.25">
      <c r="B13" s="34" t="s">
        <v>70</v>
      </c>
      <c r="C13" s="33">
        <v>13.131558500000002</v>
      </c>
      <c r="D13" s="33">
        <v>13.131558500000002</v>
      </c>
      <c r="E13" s="134">
        <v>13.131558500000002</v>
      </c>
    </row>
    <row r="14" spans="2:5" x14ac:dyDescent="0.25">
      <c r="B14" s="34" t="s">
        <v>71</v>
      </c>
      <c r="C14" s="33">
        <v>290.17857142857144</v>
      </c>
      <c r="D14" s="33">
        <v>232.14285714285717</v>
      </c>
      <c r="E14" s="134">
        <v>229.16666666666671</v>
      </c>
    </row>
    <row r="15" spans="2:5" ht="15.75" thickBot="1" x14ac:dyDescent="0.3">
      <c r="B15" s="64" t="s">
        <v>74</v>
      </c>
      <c r="C15" s="135">
        <v>804.62364463798951</v>
      </c>
      <c r="D15" s="135">
        <v>565.38773117724872</v>
      </c>
      <c r="E15" s="136">
        <v>638.68799572751323</v>
      </c>
    </row>
    <row r="16" spans="2:5" ht="15.75" thickBot="1" x14ac:dyDescent="0.3"/>
    <row r="17" spans="2:5" ht="15.75" thickBot="1" x14ac:dyDescent="0.3">
      <c r="B17" s="212" t="s">
        <v>149</v>
      </c>
      <c r="C17" s="213"/>
      <c r="D17" s="213"/>
      <c r="E17" s="214"/>
    </row>
    <row r="18" spans="2:5" x14ac:dyDescent="0.25">
      <c r="B18" s="62"/>
      <c r="C18" s="151" t="s">
        <v>148</v>
      </c>
      <c r="D18" s="151" t="s">
        <v>136</v>
      </c>
      <c r="E18" s="152" t="s">
        <v>145</v>
      </c>
    </row>
    <row r="19" spans="2:5" ht="30" x14ac:dyDescent="0.25">
      <c r="B19" s="34" t="s">
        <v>68</v>
      </c>
      <c r="C19" s="130" t="s">
        <v>18</v>
      </c>
      <c r="D19" s="84" t="s">
        <v>77</v>
      </c>
      <c r="E19" s="133" t="s">
        <v>18</v>
      </c>
    </row>
    <row r="20" spans="2:5" ht="15.75" thickBot="1" x14ac:dyDescent="0.3">
      <c r="B20" s="64"/>
      <c r="C20" s="146" t="s">
        <v>21</v>
      </c>
      <c r="D20" s="153" t="s">
        <v>21</v>
      </c>
      <c r="E20" s="147" t="s">
        <v>21</v>
      </c>
    </row>
    <row r="21" spans="2:5" ht="15.75" thickBot="1" x14ac:dyDescent="0.3">
      <c r="B21" s="148" t="s">
        <v>73</v>
      </c>
      <c r="C21" s="149">
        <v>266.83087027914615</v>
      </c>
      <c r="D21" s="149">
        <v>213.46469622331693</v>
      </c>
      <c r="E21" s="150">
        <v>197.2980203317282</v>
      </c>
    </row>
    <row r="22" spans="2:5" ht="15.75" thickBot="1" x14ac:dyDescent="0.3">
      <c r="D22" s="31"/>
      <c r="E22" s="31"/>
    </row>
    <row r="23" spans="2:5" ht="15.75" thickBot="1" x14ac:dyDescent="0.3">
      <c r="B23" s="137" t="s">
        <v>79</v>
      </c>
      <c r="C23" s="138" t="s">
        <v>21</v>
      </c>
      <c r="D23" s="139">
        <v>778.8524274005656</v>
      </c>
      <c r="E23" s="140">
        <v>835.98601605924136</v>
      </c>
    </row>
    <row r="24" spans="2:5" ht="15.75" thickBot="1" x14ac:dyDescent="0.3">
      <c r="D24" s="32"/>
      <c r="E24" s="32"/>
    </row>
    <row r="25" spans="2:5" ht="15.75" thickBot="1" x14ac:dyDescent="0.3">
      <c r="B25" s="141" t="s">
        <v>72</v>
      </c>
      <c r="C25" s="138" t="s">
        <v>21</v>
      </c>
      <c r="D25" s="142">
        <v>860</v>
      </c>
      <c r="E25" s="143"/>
    </row>
    <row r="29" spans="2:5" ht="44.25" customHeight="1" x14ac:dyDescent="0.25">
      <c r="B29" s="215" t="s">
        <v>78</v>
      </c>
      <c r="C29" s="216"/>
      <c r="D29" s="216"/>
      <c r="E29" s="217"/>
    </row>
    <row r="30" spans="2:5" ht="44.25" customHeight="1" x14ac:dyDescent="0.25"/>
    <row r="31" spans="2:5" ht="44.25" customHeight="1" x14ac:dyDescent="0.25">
      <c r="B31" s="215" t="s">
        <v>146</v>
      </c>
      <c r="C31" s="216"/>
      <c r="D31" s="216"/>
      <c r="E31" s="217"/>
    </row>
  </sheetData>
  <mergeCells count="5">
    <mergeCell ref="B3:E3"/>
    <mergeCell ref="B6:E6"/>
    <mergeCell ref="B17:E17"/>
    <mergeCell ref="B29:E29"/>
    <mergeCell ref="B31:E3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L10" sqref="L10"/>
    </sheetView>
  </sheetViews>
  <sheetFormatPr defaultRowHeight="15" x14ac:dyDescent="0.25"/>
  <sheetData>
    <row r="3" spans="2:12" ht="15.75" thickBot="1" x14ac:dyDescent="0.3">
      <c r="J3" s="2"/>
      <c r="K3" s="2"/>
      <c r="L3" s="2"/>
    </row>
    <row r="4" spans="2:12" x14ac:dyDescent="0.25">
      <c r="B4" s="162" t="s">
        <v>147</v>
      </c>
      <c r="C4" s="163"/>
      <c r="D4" s="163"/>
      <c r="E4" s="164"/>
      <c r="J4" s="2"/>
      <c r="K4" s="2"/>
      <c r="L4" s="2"/>
    </row>
    <row r="5" spans="2:12" ht="15.75" thickBot="1" x14ac:dyDescent="0.3">
      <c r="B5" s="165"/>
      <c r="C5" s="166"/>
      <c r="D5" s="166"/>
      <c r="E5" s="167"/>
    </row>
    <row r="8" spans="2:12" x14ac:dyDescent="0.25">
      <c r="J8" s="2"/>
      <c r="K8" s="2"/>
      <c r="L8" s="2"/>
    </row>
    <row r="9" spans="2:12" x14ac:dyDescent="0.25">
      <c r="J9" s="2"/>
      <c r="K9" s="2"/>
      <c r="L9" s="2"/>
    </row>
    <row r="12" spans="2:12" ht="15.75" thickBot="1" x14ac:dyDescent="0.3"/>
    <row r="13" spans="2:12" ht="15" customHeight="1" x14ac:dyDescent="0.25">
      <c r="B13" s="168" t="s">
        <v>10</v>
      </c>
      <c r="C13" s="174"/>
      <c r="D13" s="174"/>
      <c r="E13" s="169"/>
    </row>
    <row r="14" spans="2:12" x14ac:dyDescent="0.25">
      <c r="B14" s="170"/>
      <c r="C14" s="175"/>
      <c r="D14" s="175"/>
      <c r="E14" s="171"/>
      <c r="J14" s="161" t="s">
        <v>9</v>
      </c>
      <c r="K14" s="161"/>
      <c r="L14" s="161"/>
    </row>
    <row r="15" spans="2:12" x14ac:dyDescent="0.25">
      <c r="B15" s="170"/>
      <c r="C15" s="175"/>
      <c r="D15" s="175"/>
      <c r="E15" s="171"/>
      <c r="J15" s="161"/>
      <c r="K15" s="161"/>
      <c r="L15" s="161"/>
    </row>
    <row r="16" spans="2:12" x14ac:dyDescent="0.25">
      <c r="B16" s="170"/>
      <c r="C16" s="175"/>
      <c r="D16" s="175"/>
      <c r="E16" s="171"/>
      <c r="J16" s="161"/>
      <c r="K16" s="161"/>
      <c r="L16" s="161"/>
    </row>
    <row r="17" spans="2:5" ht="15.75" thickBot="1" x14ac:dyDescent="0.3">
      <c r="B17" s="172"/>
      <c r="C17" s="176"/>
      <c r="D17" s="176"/>
      <c r="E17" s="173"/>
    </row>
  </sheetData>
  <mergeCells count="3">
    <mergeCell ref="J14:L16"/>
    <mergeCell ref="B4:E5"/>
    <mergeCell ref="B13:E17"/>
  </mergeCells>
  <pageMargins left="0.7" right="0.7" top="0.75" bottom="0.75" header="0.3" footer="0.3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8"/>
  <sheetViews>
    <sheetView topLeftCell="A13" zoomScale="90" zoomScaleNormal="90" workbookViewId="0">
      <selection activeCell="H28" sqref="H28"/>
    </sheetView>
  </sheetViews>
  <sheetFormatPr defaultRowHeight="15" x14ac:dyDescent="0.25"/>
  <cols>
    <col min="2" max="2" width="11.5703125" customWidth="1"/>
    <col min="3" max="3" width="17.5703125" customWidth="1"/>
    <col min="4" max="4" width="12" customWidth="1"/>
    <col min="6" max="6" width="11.5703125" customWidth="1"/>
    <col min="7" max="7" width="14.85546875" customWidth="1"/>
    <col min="8" max="8" width="12" customWidth="1"/>
    <col min="10" max="10" width="16" customWidth="1"/>
    <col min="11" max="11" width="14.85546875" customWidth="1"/>
    <col min="12" max="12" width="12" customWidth="1"/>
  </cols>
  <sheetData>
    <row r="1" spans="2:12" ht="15.75" thickBot="1" x14ac:dyDescent="0.3"/>
    <row r="2" spans="2:12" ht="19.5" thickBot="1" x14ac:dyDescent="0.35">
      <c r="B2" s="180" t="s">
        <v>27</v>
      </c>
      <c r="C2" s="181"/>
      <c r="D2" s="181"/>
      <c r="E2" s="181"/>
      <c r="F2" s="181"/>
      <c r="G2" s="181"/>
      <c r="H2" s="181"/>
      <c r="I2" s="181"/>
      <c r="J2" s="181"/>
      <c r="K2" s="181"/>
      <c r="L2" s="182"/>
    </row>
    <row r="4" spans="2:12" x14ac:dyDescent="0.25">
      <c r="B4" s="5" t="s">
        <v>11</v>
      </c>
      <c r="C4" s="6" t="s">
        <v>24</v>
      </c>
      <c r="D4" s="6"/>
      <c r="F4" s="5" t="s">
        <v>26</v>
      </c>
      <c r="G4" s="183"/>
      <c r="H4" s="184"/>
      <c r="J4" s="5" t="s">
        <v>13</v>
      </c>
      <c r="K4" s="183" t="s">
        <v>22</v>
      </c>
      <c r="L4" s="184"/>
    </row>
    <row r="5" spans="2:12" x14ac:dyDescent="0.25">
      <c r="B5" s="6"/>
      <c r="C5" s="6"/>
      <c r="D5" s="6"/>
      <c r="F5" s="6"/>
      <c r="G5" s="6"/>
      <c r="H5" s="6"/>
      <c r="J5" s="6"/>
      <c r="K5" s="6"/>
      <c r="L5" s="6"/>
    </row>
    <row r="6" spans="2:12" x14ac:dyDescent="0.25">
      <c r="B6" s="6" t="s">
        <v>15</v>
      </c>
      <c r="C6" s="6">
        <v>36</v>
      </c>
      <c r="D6" s="6" t="s">
        <v>16</v>
      </c>
      <c r="F6" s="6" t="s">
        <v>15</v>
      </c>
      <c r="G6" s="6">
        <v>36</v>
      </c>
      <c r="H6" s="6" t="s">
        <v>16</v>
      </c>
      <c r="J6" s="6" t="s">
        <v>15</v>
      </c>
      <c r="K6" s="6">
        <v>36</v>
      </c>
      <c r="L6" s="6" t="s">
        <v>16</v>
      </c>
    </row>
    <row r="7" spans="2:12" x14ac:dyDescent="0.25">
      <c r="B7" s="6" t="s">
        <v>17</v>
      </c>
      <c r="C7" s="6">
        <v>39</v>
      </c>
      <c r="D7" s="6" t="s">
        <v>16</v>
      </c>
      <c r="F7" s="6" t="s">
        <v>17</v>
      </c>
      <c r="G7" s="6">
        <v>39</v>
      </c>
      <c r="H7" s="6" t="s">
        <v>16</v>
      </c>
      <c r="J7" s="6" t="s">
        <v>17</v>
      </c>
      <c r="K7" s="6">
        <v>39</v>
      </c>
      <c r="L7" s="6" t="s">
        <v>16</v>
      </c>
    </row>
    <row r="8" spans="2:12" x14ac:dyDescent="0.25">
      <c r="B8" s="6" t="s">
        <v>20</v>
      </c>
      <c r="C8" s="6">
        <f>(C9/(1*(C7-C6)))/1000</f>
        <v>84.1</v>
      </c>
      <c r="D8" s="6" t="s">
        <v>25</v>
      </c>
      <c r="F8" s="6" t="s">
        <v>20</v>
      </c>
      <c r="G8" s="6">
        <f>(G9/(1*(G7-G6)))/1000</f>
        <v>46</v>
      </c>
      <c r="H8" s="6" t="s">
        <v>25</v>
      </c>
      <c r="J8" s="6" t="s">
        <v>20</v>
      </c>
      <c r="K8" s="6">
        <f>(K9/(1*(K7-K6)))/1000</f>
        <v>5.7</v>
      </c>
      <c r="L8" s="6" t="s">
        <v>25</v>
      </c>
    </row>
    <row r="9" spans="2:12" x14ac:dyDescent="0.25">
      <c r="B9" s="7" t="s">
        <v>18</v>
      </c>
      <c r="C9" s="8">
        <v>252300</v>
      </c>
      <c r="D9" s="8" t="s">
        <v>19</v>
      </c>
      <c r="F9" s="7" t="s">
        <v>18</v>
      </c>
      <c r="G9" s="8">
        <v>138000</v>
      </c>
      <c r="H9" s="8" t="s">
        <v>19</v>
      </c>
      <c r="J9" s="7" t="s">
        <v>18</v>
      </c>
      <c r="K9" s="8">
        <v>17100</v>
      </c>
      <c r="L9" s="8" t="s">
        <v>19</v>
      </c>
    </row>
    <row r="10" spans="2:12" x14ac:dyDescent="0.25">
      <c r="B10" s="6"/>
      <c r="C10" s="9">
        <f>C9/3024</f>
        <v>83.432539682539684</v>
      </c>
      <c r="D10" s="9" t="s">
        <v>21</v>
      </c>
      <c r="F10" s="6"/>
      <c r="G10" s="9">
        <f>G9/3024</f>
        <v>45.634920634920633</v>
      </c>
      <c r="H10" s="9" t="s">
        <v>21</v>
      </c>
      <c r="J10" s="6"/>
      <c r="K10" s="9">
        <f>K9/3024</f>
        <v>5.6547619047619051</v>
      </c>
      <c r="L10" s="9" t="s">
        <v>21</v>
      </c>
    </row>
    <row r="12" spans="2:12" x14ac:dyDescent="0.25">
      <c r="B12" s="5" t="s">
        <v>12</v>
      </c>
      <c r="C12" s="6" t="s">
        <v>23</v>
      </c>
      <c r="D12" s="6"/>
      <c r="F12" s="5" t="s">
        <v>14</v>
      </c>
      <c r="G12" s="183"/>
      <c r="H12" s="184"/>
      <c r="J12" s="10"/>
      <c r="K12" s="10"/>
      <c r="L12" s="10"/>
    </row>
    <row r="13" spans="2:12" x14ac:dyDescent="0.25">
      <c r="B13" s="6"/>
      <c r="C13" s="6"/>
      <c r="D13" s="6"/>
      <c r="F13" s="6"/>
      <c r="G13" s="6"/>
      <c r="H13" s="6"/>
      <c r="J13" s="10"/>
      <c r="K13" s="10"/>
      <c r="L13" s="10"/>
    </row>
    <row r="14" spans="2:12" x14ac:dyDescent="0.25">
      <c r="B14" s="6" t="s">
        <v>15</v>
      </c>
      <c r="C14" s="6">
        <v>36</v>
      </c>
      <c r="D14" s="6" t="s">
        <v>16</v>
      </c>
      <c r="F14" s="6" t="s">
        <v>15</v>
      </c>
      <c r="G14" s="6">
        <v>36</v>
      </c>
      <c r="H14" s="6" t="s">
        <v>16</v>
      </c>
      <c r="J14" s="10"/>
      <c r="K14" s="10"/>
      <c r="L14" s="10"/>
    </row>
    <row r="15" spans="2:12" x14ac:dyDescent="0.25">
      <c r="B15" s="6" t="s">
        <v>17</v>
      </c>
      <c r="C15" s="6">
        <v>39</v>
      </c>
      <c r="D15" s="6" t="s">
        <v>16</v>
      </c>
      <c r="F15" s="6" t="s">
        <v>17</v>
      </c>
      <c r="G15" s="6">
        <v>39</v>
      </c>
      <c r="H15" s="6" t="s">
        <v>16</v>
      </c>
      <c r="J15" s="18" t="s">
        <v>31</v>
      </c>
      <c r="K15" s="19">
        <f>C10+G10+K10+G18+C18</f>
        <v>381.38227513227514</v>
      </c>
      <c r="L15" s="18" t="s">
        <v>21</v>
      </c>
    </row>
    <row r="16" spans="2:12" x14ac:dyDescent="0.25">
      <c r="B16" s="6" t="s">
        <v>20</v>
      </c>
      <c r="C16" s="16">
        <f>(C17/(1*(C15-C14)))/1000</f>
        <v>233.33333333333334</v>
      </c>
      <c r="D16" s="6" t="s">
        <v>25</v>
      </c>
      <c r="F16" s="6" t="s">
        <v>20</v>
      </c>
      <c r="G16" s="6">
        <f>(G17/(1*(G15-G14)))/1000</f>
        <v>15.3</v>
      </c>
      <c r="H16" s="6" t="s">
        <v>25</v>
      </c>
      <c r="J16" s="18" t="s">
        <v>141</v>
      </c>
      <c r="K16" s="18">
        <f>K15*3024/4/1000</f>
        <v>288.32499999999999</v>
      </c>
      <c r="L16" s="18" t="s">
        <v>25</v>
      </c>
    </row>
    <row r="17" spans="2:12" x14ac:dyDescent="0.25">
      <c r="B17" s="7" t="s">
        <v>18</v>
      </c>
      <c r="C17" s="8">
        <v>700000</v>
      </c>
      <c r="D17" s="8" t="s">
        <v>19</v>
      </c>
      <c r="F17" s="7" t="s">
        <v>18</v>
      </c>
      <c r="G17" s="8">
        <v>45900</v>
      </c>
      <c r="H17" s="8" t="s">
        <v>19</v>
      </c>
      <c r="J17" s="10"/>
      <c r="K17" s="10"/>
      <c r="L17" s="10"/>
    </row>
    <row r="18" spans="2:12" x14ac:dyDescent="0.25">
      <c r="B18" s="6"/>
      <c r="C18" s="9">
        <f>C17/3024</f>
        <v>231.4814814814815</v>
      </c>
      <c r="D18" s="9" t="s">
        <v>21</v>
      </c>
      <c r="F18" s="6"/>
      <c r="G18" s="9">
        <f>G17/3024</f>
        <v>15.178571428571429</v>
      </c>
      <c r="H18" s="9" t="s">
        <v>21</v>
      </c>
      <c r="J18" s="10"/>
      <c r="K18" s="10"/>
      <c r="L18" s="10"/>
    </row>
    <row r="19" spans="2:12" ht="15.75" thickBot="1" x14ac:dyDescent="0.3"/>
    <row r="20" spans="2:12" ht="19.5" thickBot="1" x14ac:dyDescent="0.35">
      <c r="B20" s="180" t="s">
        <v>28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2"/>
    </row>
    <row r="21" spans="2:12" x14ac:dyDescent="0.25">
      <c r="F21" s="10"/>
      <c r="G21" s="10"/>
      <c r="H21" s="10"/>
      <c r="J21" s="10"/>
      <c r="K21" s="10"/>
      <c r="L21" s="10"/>
    </row>
    <row r="22" spans="2:12" x14ac:dyDescent="0.25">
      <c r="B22" s="1" t="s">
        <v>61</v>
      </c>
      <c r="C22" s="1"/>
      <c r="D22" s="1"/>
      <c r="E22" s="15"/>
      <c r="F22" s="13"/>
      <c r="G22" s="14"/>
      <c r="H22" s="14"/>
      <c r="I22" s="15"/>
      <c r="J22" s="15"/>
    </row>
    <row r="23" spans="2:12" x14ac:dyDescent="0.25">
      <c r="B23" s="1"/>
      <c r="C23" s="1"/>
      <c r="D23" s="1"/>
      <c r="E23" s="15"/>
      <c r="F23" s="13"/>
      <c r="G23" s="14" t="s">
        <v>143</v>
      </c>
      <c r="H23" s="14" t="s">
        <v>35</v>
      </c>
      <c r="I23" s="15">
        <f>114-6.02-6.02</f>
        <v>101.96000000000001</v>
      </c>
      <c r="J23" s="15" t="s">
        <v>36</v>
      </c>
      <c r="K23">
        <f>I23/1000</f>
        <v>0.10196000000000001</v>
      </c>
      <c r="L23" t="s">
        <v>38</v>
      </c>
    </row>
    <row r="24" spans="2:12" x14ac:dyDescent="0.25">
      <c r="B24" s="1" t="s">
        <v>33</v>
      </c>
      <c r="C24" s="1"/>
      <c r="D24" s="20">
        <f>I27</f>
        <v>88.135945084800028</v>
      </c>
      <c r="E24" s="15" t="s">
        <v>44</v>
      </c>
      <c r="F24" s="13"/>
      <c r="G24" s="14"/>
      <c r="H24" s="14" t="s">
        <v>37</v>
      </c>
      <c r="I24" s="15">
        <f>(3.14*K23*K23)/4</f>
        <v>8.1607356560000031E-3</v>
      </c>
      <c r="J24" s="15" t="s">
        <v>39</v>
      </c>
    </row>
    <row r="25" spans="2:12" x14ac:dyDescent="0.25">
      <c r="B25" s="1"/>
      <c r="C25" s="1"/>
      <c r="D25" s="1"/>
      <c r="E25" s="15"/>
      <c r="F25" s="13"/>
      <c r="G25" s="14"/>
      <c r="H25" s="14" t="s">
        <v>40</v>
      </c>
      <c r="I25" s="15">
        <v>3</v>
      </c>
      <c r="J25" s="15" t="s">
        <v>41</v>
      </c>
      <c r="K25" t="s">
        <v>45</v>
      </c>
    </row>
    <row r="26" spans="2:12" x14ac:dyDescent="0.25">
      <c r="B26" s="1" t="s">
        <v>46</v>
      </c>
      <c r="C26" s="1"/>
      <c r="D26" s="1">
        <v>4</v>
      </c>
      <c r="E26" s="15" t="s">
        <v>16</v>
      </c>
      <c r="F26" s="13"/>
      <c r="G26" s="14"/>
      <c r="H26" s="14" t="s">
        <v>42</v>
      </c>
      <c r="I26" s="15">
        <f>I25*I24</f>
        <v>2.4482206968000009E-2</v>
      </c>
      <c r="J26" s="15" t="s">
        <v>43</v>
      </c>
    </row>
    <row r="27" spans="2:12" x14ac:dyDescent="0.25">
      <c r="B27" s="1"/>
      <c r="C27" s="1"/>
      <c r="D27" s="1"/>
      <c r="E27" s="15"/>
      <c r="F27" s="13"/>
      <c r="G27" s="14"/>
      <c r="H27" s="14"/>
      <c r="I27" s="15">
        <f>I26*3600</f>
        <v>88.135945084800028</v>
      </c>
      <c r="J27" s="15" t="s">
        <v>44</v>
      </c>
    </row>
    <row r="28" spans="2:12" x14ac:dyDescent="0.25">
      <c r="B28" s="1" t="s">
        <v>18</v>
      </c>
      <c r="C28" s="1"/>
      <c r="D28" s="25">
        <f>D24*1000*1*D26</f>
        <v>352543.78033920011</v>
      </c>
      <c r="E28" s="3" t="s">
        <v>30</v>
      </c>
      <c r="F28" s="13"/>
      <c r="G28" s="14"/>
      <c r="H28" s="14"/>
      <c r="I28" s="15"/>
      <c r="J28" s="15"/>
    </row>
    <row r="29" spans="2:12" x14ac:dyDescent="0.25">
      <c r="B29" s="1"/>
      <c r="C29" s="1"/>
      <c r="D29" s="17">
        <f>D28/3024</f>
        <v>116.58193794285718</v>
      </c>
      <c r="E29" s="29" t="s">
        <v>21</v>
      </c>
      <c r="F29" s="13"/>
      <c r="G29" s="14"/>
      <c r="H29" s="14"/>
      <c r="I29" s="15"/>
      <c r="J29" s="15"/>
    </row>
    <row r="30" spans="2:12" x14ac:dyDescent="0.25">
      <c r="B30" s="1" t="s">
        <v>144</v>
      </c>
      <c r="C30" s="1"/>
      <c r="D30" s="24">
        <f>D29*0.9</f>
        <v>104.92374414857146</v>
      </c>
      <c r="E30" s="4" t="s">
        <v>21</v>
      </c>
      <c r="F30" s="13"/>
      <c r="G30" s="14"/>
      <c r="H30" s="14"/>
      <c r="I30" s="15"/>
      <c r="J30" s="15"/>
    </row>
    <row r="31" spans="2:12" s="15" customFormat="1" x14ac:dyDescent="0.25">
      <c r="B31" s="26"/>
      <c r="C31" s="18" t="s">
        <v>141</v>
      </c>
      <c r="D31" s="18">
        <f>D30*3024/4/1000</f>
        <v>79.322350576320019</v>
      </c>
      <c r="E31" s="18" t="s">
        <v>25</v>
      </c>
      <c r="F31" s="13"/>
      <c r="G31" s="14"/>
      <c r="H31" s="14"/>
    </row>
    <row r="32" spans="2:12" s="15" customFormat="1" ht="15.75" thickBot="1" x14ac:dyDescent="0.3">
      <c r="B32" s="26"/>
      <c r="C32" s="18"/>
      <c r="D32" s="18"/>
      <c r="E32" s="18"/>
      <c r="F32" s="13"/>
      <c r="G32" s="14"/>
      <c r="H32" s="14"/>
    </row>
    <row r="33" spans="2:12" ht="19.5" thickBot="1" x14ac:dyDescent="0.3">
      <c r="B33" s="177" t="s">
        <v>47</v>
      </c>
      <c r="C33" s="178"/>
      <c r="D33" s="178"/>
      <c r="E33" s="178"/>
      <c r="F33" s="178"/>
      <c r="G33" s="178"/>
      <c r="H33" s="178"/>
      <c r="I33" s="178"/>
      <c r="J33" s="178"/>
      <c r="K33" s="178"/>
      <c r="L33" s="179"/>
    </row>
    <row r="35" spans="2:12" x14ac:dyDescent="0.25">
      <c r="B35" s="13"/>
      <c r="C35" s="14"/>
      <c r="D35" s="14"/>
      <c r="E35" s="15"/>
      <c r="F35" s="13"/>
      <c r="G35" s="14"/>
      <c r="H35" s="14"/>
      <c r="I35" s="15"/>
      <c r="J35" s="15"/>
    </row>
    <row r="36" spans="2:12" x14ac:dyDescent="0.25">
      <c r="B36" s="1" t="s">
        <v>32</v>
      </c>
      <c r="C36" s="1"/>
      <c r="D36" s="1"/>
      <c r="E36" s="15"/>
      <c r="F36" s="13"/>
      <c r="G36" s="14"/>
      <c r="H36" s="14"/>
      <c r="I36" s="15"/>
      <c r="J36" s="15"/>
    </row>
    <row r="37" spans="2:12" x14ac:dyDescent="0.25">
      <c r="B37" s="1"/>
      <c r="C37" s="1"/>
      <c r="D37" s="1"/>
      <c r="E37" s="15"/>
      <c r="F37" s="13"/>
      <c r="G37" s="14" t="s">
        <v>34</v>
      </c>
      <c r="H37" s="14" t="s">
        <v>35</v>
      </c>
      <c r="I37" s="15">
        <f>48.26-3.68-3.68</f>
        <v>40.9</v>
      </c>
      <c r="J37" s="15" t="s">
        <v>36</v>
      </c>
      <c r="K37">
        <f>I37/1000</f>
        <v>4.0899999999999999E-2</v>
      </c>
      <c r="L37" t="s">
        <v>38</v>
      </c>
    </row>
    <row r="38" spans="2:12" x14ac:dyDescent="0.25">
      <c r="B38" s="1" t="s">
        <v>33</v>
      </c>
      <c r="C38" s="1"/>
      <c r="D38" s="20">
        <f>I41</f>
        <v>14.182083180000003</v>
      </c>
      <c r="E38" s="15" t="s">
        <v>44</v>
      </c>
      <c r="F38" s="13"/>
      <c r="G38" s="14"/>
      <c r="H38" s="14" t="s">
        <v>37</v>
      </c>
      <c r="I38" s="15">
        <f>(3.14*K37*K37)/4</f>
        <v>1.3131558500000002E-3</v>
      </c>
      <c r="J38" s="15" t="s">
        <v>39</v>
      </c>
    </row>
    <row r="39" spans="2:12" x14ac:dyDescent="0.25">
      <c r="B39" s="1"/>
      <c r="C39" s="1"/>
      <c r="D39" s="1"/>
      <c r="E39" s="15"/>
      <c r="F39" s="13"/>
      <c r="G39" s="14"/>
      <c r="H39" s="14" t="s">
        <v>40</v>
      </c>
      <c r="I39" s="15">
        <v>3</v>
      </c>
      <c r="J39" s="15" t="s">
        <v>41</v>
      </c>
      <c r="K39" t="s">
        <v>45</v>
      </c>
    </row>
    <row r="40" spans="2:12" x14ac:dyDescent="0.25">
      <c r="B40" s="1" t="s">
        <v>46</v>
      </c>
      <c r="C40" s="1"/>
      <c r="D40" s="1">
        <v>4</v>
      </c>
      <c r="E40" s="15" t="s">
        <v>16</v>
      </c>
      <c r="F40" s="13"/>
      <c r="G40" s="14"/>
      <c r="H40" s="14" t="s">
        <v>42</v>
      </c>
      <c r="I40" s="15">
        <f>I39*I38</f>
        <v>3.9394675500000007E-3</v>
      </c>
      <c r="J40" s="15" t="s">
        <v>43</v>
      </c>
    </row>
    <row r="41" spans="2:12" x14ac:dyDescent="0.25">
      <c r="B41" s="1"/>
      <c r="C41" s="1"/>
      <c r="D41" s="1"/>
      <c r="E41" s="15"/>
      <c r="F41" s="13"/>
      <c r="G41" s="14"/>
      <c r="H41" s="14"/>
      <c r="I41" s="15">
        <f>I40*3600</f>
        <v>14.182083180000003</v>
      </c>
      <c r="J41" s="15" t="s">
        <v>44</v>
      </c>
    </row>
    <row r="42" spans="2:12" x14ac:dyDescent="0.25">
      <c r="B42" s="1" t="s">
        <v>18</v>
      </c>
      <c r="C42" s="1"/>
      <c r="D42" s="25">
        <f>D38*1000*1*D40</f>
        <v>56728.332720000013</v>
      </c>
      <c r="E42" s="3" t="s">
        <v>30</v>
      </c>
      <c r="F42" s="13"/>
      <c r="G42" s="14"/>
      <c r="H42" s="14"/>
      <c r="I42" s="15"/>
      <c r="J42" s="15"/>
    </row>
    <row r="43" spans="2:12" x14ac:dyDescent="0.25">
      <c r="B43" s="1"/>
      <c r="C43" s="1"/>
      <c r="D43" s="17">
        <f>D42/3024</f>
        <v>18.759369285714289</v>
      </c>
      <c r="E43" s="29" t="s">
        <v>21</v>
      </c>
      <c r="F43" s="13"/>
      <c r="G43" s="14"/>
      <c r="H43" s="14"/>
      <c r="I43" s="15"/>
      <c r="J43" s="15"/>
    </row>
    <row r="44" spans="2:12" x14ac:dyDescent="0.25">
      <c r="B44" s="1" t="s">
        <v>62</v>
      </c>
      <c r="C44" s="1"/>
      <c r="D44" s="24">
        <f>D43*0.8</f>
        <v>15.007495428571431</v>
      </c>
      <c r="E44" s="4" t="s">
        <v>21</v>
      </c>
      <c r="F44" s="13"/>
      <c r="G44" s="14"/>
      <c r="H44" s="14"/>
      <c r="I44" s="15"/>
      <c r="J44" s="15"/>
    </row>
    <row r="45" spans="2:12" x14ac:dyDescent="0.25">
      <c r="C45" s="18" t="s">
        <v>141</v>
      </c>
      <c r="D45" s="18">
        <f>D44*3024/4/1000</f>
        <v>11.345666544000002</v>
      </c>
      <c r="E45" s="18" t="s">
        <v>25</v>
      </c>
    </row>
    <row r="46" spans="2:12" ht="15.75" thickBot="1" x14ac:dyDescent="0.3">
      <c r="C46" s="18"/>
      <c r="D46" s="18"/>
      <c r="E46" s="18"/>
    </row>
    <row r="47" spans="2:12" ht="19.5" thickBot="1" x14ac:dyDescent="0.3">
      <c r="B47" s="177" t="s">
        <v>29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9"/>
    </row>
    <row r="48" spans="2:12" x14ac:dyDescent="0.25">
      <c r="F48" s="10"/>
      <c r="G48" s="10"/>
      <c r="H48" s="10"/>
      <c r="J48" s="10"/>
      <c r="K48" s="10"/>
      <c r="L48" s="10"/>
    </row>
    <row r="49" spans="2:12" x14ac:dyDescent="0.25">
      <c r="B49" s="1" t="s">
        <v>32</v>
      </c>
      <c r="C49" s="1"/>
      <c r="D49" s="1"/>
      <c r="E49" s="15"/>
      <c r="F49" s="13"/>
      <c r="G49" s="14"/>
      <c r="H49" s="14"/>
      <c r="I49" s="15"/>
      <c r="J49" s="15"/>
    </row>
    <row r="50" spans="2:12" x14ac:dyDescent="0.25">
      <c r="B50" s="1"/>
      <c r="C50" s="1"/>
      <c r="D50" s="1"/>
      <c r="E50" s="15"/>
      <c r="F50" s="13"/>
      <c r="G50" s="14" t="s">
        <v>34</v>
      </c>
      <c r="H50" s="14" t="s">
        <v>35</v>
      </c>
      <c r="I50" s="15">
        <f>48.26-3.68-3.68</f>
        <v>40.9</v>
      </c>
      <c r="J50" s="15" t="s">
        <v>36</v>
      </c>
      <c r="K50">
        <f>I50/1000</f>
        <v>4.0899999999999999E-2</v>
      </c>
      <c r="L50" t="s">
        <v>38</v>
      </c>
    </row>
    <row r="51" spans="2:12" x14ac:dyDescent="0.25">
      <c r="B51" s="1" t="s">
        <v>33</v>
      </c>
      <c r="C51" s="1"/>
      <c r="D51" s="20">
        <f>I54</f>
        <v>14.182083180000003</v>
      </c>
      <c r="E51" s="15" t="s">
        <v>44</v>
      </c>
      <c r="F51" s="13"/>
      <c r="G51" s="14"/>
      <c r="H51" s="14" t="s">
        <v>37</v>
      </c>
      <c r="I51" s="15">
        <f>(3.14*K50*K50)/4</f>
        <v>1.3131558500000002E-3</v>
      </c>
      <c r="J51" s="15" t="s">
        <v>39</v>
      </c>
    </row>
    <row r="52" spans="2:12" x14ac:dyDescent="0.25">
      <c r="B52" s="1"/>
      <c r="C52" s="1"/>
      <c r="D52" s="1"/>
      <c r="E52" s="15"/>
      <c r="F52" s="13"/>
      <c r="G52" s="14"/>
      <c r="H52" s="14" t="s">
        <v>40</v>
      </c>
      <c r="I52" s="15">
        <v>3</v>
      </c>
      <c r="J52" s="15" t="s">
        <v>41</v>
      </c>
      <c r="K52" t="s">
        <v>45</v>
      </c>
    </row>
    <row r="53" spans="2:12" x14ac:dyDescent="0.25">
      <c r="B53" s="1" t="s">
        <v>46</v>
      </c>
      <c r="C53" s="1"/>
      <c r="D53" s="1">
        <v>4</v>
      </c>
      <c r="E53" s="15" t="s">
        <v>16</v>
      </c>
      <c r="F53" s="13"/>
      <c r="G53" s="14"/>
      <c r="H53" s="14" t="s">
        <v>42</v>
      </c>
      <c r="I53" s="15">
        <f>I52*I51</f>
        <v>3.9394675500000007E-3</v>
      </c>
      <c r="J53" s="15" t="s">
        <v>43</v>
      </c>
    </row>
    <row r="54" spans="2:12" x14ac:dyDescent="0.25">
      <c r="B54" s="1"/>
      <c r="C54" s="1"/>
      <c r="D54" s="1"/>
      <c r="E54" s="15"/>
      <c r="F54" s="13"/>
      <c r="G54" s="14"/>
      <c r="H54" s="14"/>
      <c r="I54" s="15">
        <f>I53*3600</f>
        <v>14.182083180000003</v>
      </c>
      <c r="J54" s="15" t="s">
        <v>44</v>
      </c>
    </row>
    <row r="55" spans="2:12" x14ac:dyDescent="0.25">
      <c r="B55" s="1" t="s">
        <v>18</v>
      </c>
      <c r="C55" s="1"/>
      <c r="D55" s="25">
        <f>D51*1000*1*D53</f>
        <v>56728.332720000013</v>
      </c>
      <c r="E55" s="3" t="s">
        <v>30</v>
      </c>
      <c r="F55" s="13"/>
      <c r="G55" s="14"/>
      <c r="H55" s="14"/>
      <c r="I55" s="15"/>
      <c r="J55" s="15"/>
    </row>
    <row r="56" spans="2:12" x14ac:dyDescent="0.25">
      <c r="B56" s="1"/>
      <c r="C56" s="1"/>
      <c r="D56" s="17">
        <f>D55/3024</f>
        <v>18.759369285714289</v>
      </c>
      <c r="E56" s="29" t="s">
        <v>21</v>
      </c>
      <c r="F56" s="13"/>
      <c r="G56" s="14"/>
      <c r="H56" s="14"/>
      <c r="I56" s="15"/>
      <c r="J56" s="15"/>
    </row>
    <row r="57" spans="2:12" x14ac:dyDescent="0.25">
      <c r="B57" s="1" t="s">
        <v>65</v>
      </c>
      <c r="C57" s="1"/>
      <c r="D57" s="24">
        <f>D56*0.7</f>
        <v>13.131558500000002</v>
      </c>
      <c r="E57" s="4" t="s">
        <v>21</v>
      </c>
      <c r="F57" s="13"/>
      <c r="G57" s="14"/>
      <c r="H57" s="14"/>
      <c r="I57" s="15"/>
      <c r="J57" s="15"/>
    </row>
    <row r="58" spans="2:12" x14ac:dyDescent="0.25">
      <c r="B58" s="1"/>
      <c r="C58" s="18" t="s">
        <v>141</v>
      </c>
      <c r="D58" s="18">
        <f>D57*3024/4/1000</f>
        <v>9.9274582260000024</v>
      </c>
      <c r="E58" s="18" t="s">
        <v>25</v>
      </c>
      <c r="F58" s="13"/>
      <c r="G58" s="14"/>
      <c r="H58" s="14"/>
      <c r="I58" s="15"/>
      <c r="J58" s="15"/>
    </row>
    <row r="59" spans="2:12" ht="15.75" thickBot="1" x14ac:dyDescent="0.3">
      <c r="B59" s="1"/>
      <c r="C59" s="18"/>
      <c r="D59" s="18"/>
      <c r="E59" s="18"/>
      <c r="F59" s="13"/>
      <c r="G59" s="14"/>
      <c r="H59" s="14"/>
      <c r="I59" s="15"/>
      <c r="J59" s="15"/>
    </row>
    <row r="60" spans="2:12" ht="19.5" thickBot="1" x14ac:dyDescent="0.3">
      <c r="B60" s="177" t="s">
        <v>48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9"/>
    </row>
    <row r="62" spans="2:12" x14ac:dyDescent="0.25">
      <c r="B62" s="12" t="s">
        <v>49</v>
      </c>
      <c r="C62" s="21" t="s">
        <v>50</v>
      </c>
      <c r="D62" s="21"/>
      <c r="E62" s="22"/>
      <c r="F62" s="23"/>
      <c r="G62" s="21"/>
      <c r="H62" s="14"/>
      <c r="I62" s="15"/>
      <c r="J62" s="15"/>
    </row>
    <row r="63" spans="2:12" x14ac:dyDescent="0.25">
      <c r="B63" s="1"/>
      <c r="C63" s="1"/>
      <c r="D63" s="1"/>
      <c r="E63" s="15"/>
      <c r="F63" s="13"/>
      <c r="G63" s="14"/>
      <c r="H63" s="14"/>
      <c r="I63" s="15"/>
      <c r="J63" s="15"/>
    </row>
    <row r="64" spans="2:12" x14ac:dyDescent="0.25">
      <c r="B64" s="1" t="s">
        <v>52</v>
      </c>
      <c r="C64" s="1"/>
      <c r="D64" s="20">
        <v>10</v>
      </c>
      <c r="E64" s="15" t="s">
        <v>53</v>
      </c>
      <c r="F64" s="13"/>
      <c r="G64" s="1"/>
      <c r="H64" s="1"/>
      <c r="I64" s="1"/>
      <c r="J64" s="15"/>
    </row>
    <row r="65" spans="2:10" x14ac:dyDescent="0.25">
      <c r="B65" s="1"/>
      <c r="C65" s="1"/>
      <c r="D65" s="1"/>
      <c r="E65" s="15"/>
      <c r="F65" s="13"/>
      <c r="G65" s="1"/>
      <c r="H65" s="1"/>
      <c r="I65" s="1"/>
      <c r="J65" s="15"/>
    </row>
    <row r="66" spans="2:10" x14ac:dyDescent="0.25">
      <c r="B66" s="1" t="s">
        <v>54</v>
      </c>
      <c r="C66" s="1"/>
      <c r="D66" s="1">
        <v>6.5</v>
      </c>
      <c r="E66" s="15" t="s">
        <v>53</v>
      </c>
      <c r="F66" s="13"/>
      <c r="G66" s="1"/>
      <c r="H66" s="1"/>
      <c r="I66" s="1"/>
      <c r="J66" s="15"/>
    </row>
    <row r="67" spans="2:10" x14ac:dyDescent="0.25">
      <c r="B67" s="1" t="s">
        <v>56</v>
      </c>
      <c r="C67" s="1"/>
      <c r="D67" s="1">
        <v>2</v>
      </c>
      <c r="E67" s="15" t="s">
        <v>51</v>
      </c>
      <c r="F67" s="13"/>
      <c r="G67" s="1"/>
      <c r="H67" s="1"/>
      <c r="I67" s="1"/>
      <c r="J67" s="15"/>
    </row>
    <row r="68" spans="2:10" x14ac:dyDescent="0.25">
      <c r="B68" s="26" t="s">
        <v>55</v>
      </c>
      <c r="C68" s="1"/>
      <c r="D68" s="26">
        <v>8</v>
      </c>
      <c r="E68" s="15" t="s">
        <v>51</v>
      </c>
      <c r="F68" s="13"/>
      <c r="G68" s="1"/>
      <c r="H68" s="1"/>
      <c r="I68" s="1"/>
      <c r="J68" s="15"/>
    </row>
    <row r="69" spans="2:10" x14ac:dyDescent="0.25">
      <c r="B69" s="26" t="s">
        <v>57</v>
      </c>
      <c r="C69" s="1"/>
      <c r="D69" s="20">
        <f>(D66*D67%)/D68%</f>
        <v>1.625</v>
      </c>
      <c r="E69" s="15" t="s">
        <v>53</v>
      </c>
      <c r="F69" s="13"/>
      <c r="G69" s="1"/>
      <c r="H69" s="1"/>
      <c r="I69" s="1"/>
      <c r="J69" s="15"/>
    </row>
    <row r="70" spans="2:10" x14ac:dyDescent="0.25">
      <c r="B70" s="26" t="s">
        <v>64</v>
      </c>
      <c r="D70" s="27">
        <f>D66-D69</f>
        <v>4.875</v>
      </c>
      <c r="E70" s="15" t="s">
        <v>53</v>
      </c>
      <c r="G70" s="1"/>
      <c r="H70" s="1"/>
      <c r="I70" s="1"/>
    </row>
    <row r="71" spans="2:10" x14ac:dyDescent="0.25">
      <c r="B71" s="26" t="s">
        <v>59</v>
      </c>
      <c r="D71">
        <f>D70/3</f>
        <v>1.625</v>
      </c>
      <c r="E71" s="15" t="s">
        <v>53</v>
      </c>
      <c r="G71" s="1"/>
      <c r="H71" s="1"/>
      <c r="I71" s="1"/>
    </row>
    <row r="72" spans="2:10" x14ac:dyDescent="0.25">
      <c r="B72" s="26" t="s">
        <v>60</v>
      </c>
      <c r="D72" s="28">
        <f>D71*1000*540</f>
        <v>877500</v>
      </c>
      <c r="E72" s="3" t="s">
        <v>30</v>
      </c>
      <c r="G72" s="1"/>
      <c r="H72" s="1"/>
      <c r="I72" s="1"/>
    </row>
    <row r="73" spans="2:10" x14ac:dyDescent="0.25">
      <c r="D73" s="24">
        <f>D72/3024</f>
        <v>290.17857142857144</v>
      </c>
      <c r="E73" s="4" t="s">
        <v>21</v>
      </c>
      <c r="G73" s="1"/>
      <c r="H73" s="1"/>
      <c r="I73" s="1"/>
    </row>
    <row r="74" spans="2:10" x14ac:dyDescent="0.25">
      <c r="C74" s="18" t="s">
        <v>141</v>
      </c>
      <c r="D74" s="18">
        <f>D73*3024/4/1000</f>
        <v>219.375</v>
      </c>
      <c r="E74" s="79" t="s">
        <v>25</v>
      </c>
      <c r="G74" s="1"/>
      <c r="H74" s="1"/>
      <c r="I74" s="1"/>
    </row>
    <row r="78" spans="2:10" x14ac:dyDescent="0.25">
      <c r="B78" s="32" t="s">
        <v>142</v>
      </c>
      <c r="D78" s="32">
        <f>D74+D58+D45+D31+K16</f>
        <v>608.29547534632002</v>
      </c>
      <c r="E78" s="79" t="s">
        <v>25</v>
      </c>
    </row>
  </sheetData>
  <mergeCells count="8">
    <mergeCell ref="B60:L60"/>
    <mergeCell ref="B33:L33"/>
    <mergeCell ref="B47:L47"/>
    <mergeCell ref="B2:L2"/>
    <mergeCell ref="B20:L20"/>
    <mergeCell ref="G12:H12"/>
    <mergeCell ref="G4:H4"/>
    <mergeCell ref="K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1"/>
  <sheetViews>
    <sheetView topLeftCell="A24" workbookViewId="0">
      <selection activeCell="H43" sqref="H43"/>
    </sheetView>
  </sheetViews>
  <sheetFormatPr defaultRowHeight="15" x14ac:dyDescent="0.25"/>
  <cols>
    <col min="2" max="2" width="11.5703125" customWidth="1"/>
    <col min="3" max="3" width="17.5703125" customWidth="1"/>
    <col min="4" max="4" width="12" customWidth="1"/>
    <col min="6" max="6" width="11.5703125" customWidth="1"/>
    <col min="7" max="7" width="14.85546875" customWidth="1"/>
    <col min="8" max="8" width="12" customWidth="1"/>
    <col min="10" max="10" width="16" customWidth="1"/>
    <col min="11" max="11" width="14.85546875" customWidth="1"/>
    <col min="12" max="12" width="12" customWidth="1"/>
  </cols>
  <sheetData>
    <row r="1" spans="2:12" ht="15.75" thickBot="1" x14ac:dyDescent="0.3"/>
    <row r="2" spans="2:12" ht="19.5" thickBot="1" x14ac:dyDescent="0.35">
      <c r="B2" s="180" t="s">
        <v>27</v>
      </c>
      <c r="C2" s="181"/>
      <c r="D2" s="181"/>
      <c r="E2" s="181"/>
      <c r="F2" s="181"/>
      <c r="G2" s="181"/>
      <c r="H2" s="181"/>
      <c r="I2" s="181"/>
      <c r="J2" s="181"/>
      <c r="K2" s="181"/>
      <c r="L2" s="182"/>
    </row>
    <row r="4" spans="2:12" x14ac:dyDescent="0.25">
      <c r="B4" s="5" t="s">
        <v>11</v>
      </c>
      <c r="C4" s="6" t="s">
        <v>24</v>
      </c>
      <c r="D4" s="6"/>
      <c r="F4" s="5" t="s">
        <v>26</v>
      </c>
      <c r="G4" s="183"/>
      <c r="H4" s="184"/>
      <c r="J4" s="5" t="s">
        <v>13</v>
      </c>
      <c r="K4" s="183" t="s">
        <v>22</v>
      </c>
      <c r="L4" s="184"/>
    </row>
    <row r="5" spans="2:12" x14ac:dyDescent="0.25">
      <c r="B5" s="6"/>
      <c r="C5" s="6"/>
      <c r="D5" s="6"/>
      <c r="F5" s="6"/>
      <c r="G5" s="6"/>
      <c r="H5" s="6"/>
      <c r="J5" s="6"/>
      <c r="K5" s="6"/>
      <c r="L5" s="6"/>
    </row>
    <row r="6" spans="2:12" x14ac:dyDescent="0.25">
      <c r="B6" s="6" t="s">
        <v>15</v>
      </c>
      <c r="C6" s="6">
        <v>36</v>
      </c>
      <c r="D6" s="6" t="s">
        <v>16</v>
      </c>
      <c r="F6" s="6" t="s">
        <v>15</v>
      </c>
      <c r="G6" s="6">
        <v>36</v>
      </c>
      <c r="H6" s="6" t="s">
        <v>16</v>
      </c>
      <c r="J6" s="6" t="s">
        <v>15</v>
      </c>
      <c r="K6" s="6">
        <v>36</v>
      </c>
      <c r="L6" s="6" t="s">
        <v>16</v>
      </c>
    </row>
    <row r="7" spans="2:12" x14ac:dyDescent="0.25">
      <c r="B7" s="6" t="s">
        <v>17</v>
      </c>
      <c r="C7" s="6">
        <v>39</v>
      </c>
      <c r="D7" s="6" t="s">
        <v>16</v>
      </c>
      <c r="F7" s="6" t="s">
        <v>17</v>
      </c>
      <c r="G7" s="6">
        <v>39</v>
      </c>
      <c r="H7" s="6" t="s">
        <v>16</v>
      </c>
      <c r="J7" s="6" t="s">
        <v>17</v>
      </c>
      <c r="K7" s="6">
        <v>39</v>
      </c>
      <c r="L7" s="6" t="s">
        <v>16</v>
      </c>
    </row>
    <row r="8" spans="2:12" x14ac:dyDescent="0.25">
      <c r="B8" s="6" t="s">
        <v>20</v>
      </c>
      <c r="C8" s="6">
        <f>(C9/(1*(C7-C6)))/1000</f>
        <v>84.1</v>
      </c>
      <c r="D8" s="6" t="s">
        <v>25</v>
      </c>
      <c r="F8" s="6" t="s">
        <v>20</v>
      </c>
      <c r="G8" s="6">
        <f>(G9/(1*(G7-G6)))/1000</f>
        <v>46</v>
      </c>
      <c r="H8" s="6" t="s">
        <v>25</v>
      </c>
      <c r="J8" s="6" t="s">
        <v>20</v>
      </c>
      <c r="K8" s="6">
        <f>(K9/(1*(K7-K6)))/1000</f>
        <v>5.7</v>
      </c>
      <c r="L8" s="6" t="s">
        <v>25</v>
      </c>
    </row>
    <row r="9" spans="2:12" x14ac:dyDescent="0.25">
      <c r="B9" s="7" t="s">
        <v>18</v>
      </c>
      <c r="C9" s="8">
        <v>252300</v>
      </c>
      <c r="D9" s="8" t="s">
        <v>19</v>
      </c>
      <c r="F9" s="7" t="s">
        <v>18</v>
      </c>
      <c r="G9" s="8">
        <v>138000</v>
      </c>
      <c r="H9" s="8" t="s">
        <v>19</v>
      </c>
      <c r="J9" s="7" t="s">
        <v>18</v>
      </c>
      <c r="K9" s="8">
        <v>17100</v>
      </c>
      <c r="L9" s="8" t="s">
        <v>19</v>
      </c>
    </row>
    <row r="10" spans="2:12" x14ac:dyDescent="0.25">
      <c r="B10" s="6"/>
      <c r="C10" s="9">
        <f>C9/3024</f>
        <v>83.432539682539684</v>
      </c>
      <c r="D10" s="9" t="s">
        <v>21</v>
      </c>
      <c r="F10" s="6"/>
      <c r="G10" s="9">
        <f>G9/3024</f>
        <v>45.634920634920633</v>
      </c>
      <c r="H10" s="9" t="s">
        <v>21</v>
      </c>
      <c r="J10" s="6"/>
      <c r="K10" s="9">
        <f>K9/3024</f>
        <v>5.6547619047619051</v>
      </c>
      <c r="L10" s="9" t="s">
        <v>21</v>
      </c>
    </row>
    <row r="12" spans="2:12" x14ac:dyDescent="0.25">
      <c r="B12" s="5" t="s">
        <v>12</v>
      </c>
      <c r="C12" s="6" t="s">
        <v>23</v>
      </c>
      <c r="D12" s="6"/>
      <c r="F12" s="5" t="s">
        <v>14</v>
      </c>
      <c r="G12" s="183"/>
      <c r="H12" s="184"/>
      <c r="J12" s="10"/>
      <c r="K12" s="10"/>
      <c r="L12" s="10"/>
    </row>
    <row r="13" spans="2:12" x14ac:dyDescent="0.25">
      <c r="B13" s="6"/>
      <c r="C13" s="6"/>
      <c r="D13" s="6"/>
      <c r="F13" s="6"/>
      <c r="G13" s="6"/>
      <c r="H13" s="6"/>
      <c r="J13" s="10"/>
      <c r="K13" s="10"/>
      <c r="L13" s="10"/>
    </row>
    <row r="14" spans="2:12" x14ac:dyDescent="0.25">
      <c r="B14" s="6" t="s">
        <v>15</v>
      </c>
      <c r="C14" s="6">
        <v>36</v>
      </c>
      <c r="D14" s="6" t="s">
        <v>16</v>
      </c>
      <c r="F14" s="6" t="s">
        <v>15</v>
      </c>
      <c r="G14" s="6">
        <v>36</v>
      </c>
      <c r="H14" s="6" t="s">
        <v>16</v>
      </c>
      <c r="J14" s="10"/>
      <c r="K14" s="10"/>
      <c r="L14" s="10"/>
    </row>
    <row r="15" spans="2:12" x14ac:dyDescent="0.25">
      <c r="B15" s="6" t="s">
        <v>17</v>
      </c>
      <c r="C15" s="6">
        <v>39</v>
      </c>
      <c r="D15" s="6" t="s">
        <v>16</v>
      </c>
      <c r="F15" s="6" t="s">
        <v>17</v>
      </c>
      <c r="G15" s="6">
        <v>39</v>
      </c>
      <c r="H15" s="6" t="s">
        <v>16</v>
      </c>
      <c r="J15" s="18" t="s">
        <v>31</v>
      </c>
      <c r="K15" s="19">
        <f>C10+G10+K10+G18+C18</f>
        <v>381.38227513227514</v>
      </c>
      <c r="L15" s="18" t="s">
        <v>21</v>
      </c>
    </row>
    <row r="16" spans="2:12" x14ac:dyDescent="0.25">
      <c r="B16" s="6" t="s">
        <v>20</v>
      </c>
      <c r="C16" s="16">
        <f>(C17/(1*(C15-C14)))/1000</f>
        <v>233.33333333333334</v>
      </c>
      <c r="D16" s="6" t="s">
        <v>25</v>
      </c>
      <c r="F16" s="6" t="s">
        <v>20</v>
      </c>
      <c r="G16" s="6">
        <f>(G17/(1*(G15-G14)))/1000</f>
        <v>15.3</v>
      </c>
      <c r="H16" s="6" t="s">
        <v>25</v>
      </c>
      <c r="J16" s="18" t="s">
        <v>141</v>
      </c>
      <c r="K16" s="18">
        <f>K15*3024/4/1000</f>
        <v>288.32499999999999</v>
      </c>
      <c r="L16" s="79" t="s">
        <v>25</v>
      </c>
    </row>
    <row r="17" spans="2:12" x14ac:dyDescent="0.25">
      <c r="B17" s="7" t="s">
        <v>18</v>
      </c>
      <c r="C17" s="8">
        <v>700000</v>
      </c>
      <c r="D17" s="8" t="s">
        <v>19</v>
      </c>
      <c r="F17" s="7" t="s">
        <v>18</v>
      </c>
      <c r="G17" s="8">
        <v>45900</v>
      </c>
      <c r="H17" s="8" t="s">
        <v>19</v>
      </c>
      <c r="J17" s="10"/>
      <c r="K17" s="10"/>
      <c r="L17" s="10"/>
    </row>
    <row r="18" spans="2:12" x14ac:dyDescent="0.25">
      <c r="B18" s="6"/>
      <c r="C18" s="9">
        <f>C17/3024</f>
        <v>231.4814814814815</v>
      </c>
      <c r="D18" s="9" t="s">
        <v>21</v>
      </c>
      <c r="F18" s="6"/>
      <c r="G18" s="9">
        <f>G17/3024</f>
        <v>15.178571428571429</v>
      </c>
      <c r="H18" s="9" t="s">
        <v>21</v>
      </c>
      <c r="J18" s="10"/>
      <c r="K18" s="10"/>
      <c r="L18" s="10"/>
    </row>
    <row r="19" spans="2:12" ht="15.75" thickBot="1" x14ac:dyDescent="0.3"/>
    <row r="20" spans="2:12" ht="19.5" thickBot="1" x14ac:dyDescent="0.35">
      <c r="B20" s="180" t="s">
        <v>28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2"/>
    </row>
    <row r="21" spans="2:12" x14ac:dyDescent="0.25">
      <c r="F21" s="10"/>
      <c r="G21" s="10"/>
      <c r="H21" s="10"/>
      <c r="J21" s="10"/>
      <c r="K21" s="10"/>
      <c r="L21" s="10"/>
    </row>
    <row r="22" spans="2:12" x14ac:dyDescent="0.25">
      <c r="B22" s="1" t="s">
        <v>61</v>
      </c>
      <c r="C22" s="1"/>
      <c r="D22" s="1"/>
      <c r="E22" s="15"/>
      <c r="F22" s="13"/>
      <c r="G22" s="14"/>
      <c r="H22" s="14"/>
      <c r="I22" s="15"/>
      <c r="J22" s="15"/>
    </row>
    <row r="23" spans="2:12" x14ac:dyDescent="0.25">
      <c r="B23" s="1"/>
      <c r="C23" s="1"/>
      <c r="D23" s="1"/>
      <c r="E23" s="15"/>
      <c r="F23" s="13"/>
      <c r="G23" s="14" t="s">
        <v>143</v>
      </c>
      <c r="H23" s="14" t="s">
        <v>35</v>
      </c>
      <c r="I23" s="15">
        <f>114-6.02-6.02</f>
        <v>101.96000000000001</v>
      </c>
      <c r="J23" s="15" t="s">
        <v>36</v>
      </c>
      <c r="K23">
        <f>I23/1000</f>
        <v>0.10196000000000001</v>
      </c>
      <c r="L23" t="s">
        <v>38</v>
      </c>
    </row>
    <row r="24" spans="2:12" x14ac:dyDescent="0.25">
      <c r="B24" s="1" t="s">
        <v>33</v>
      </c>
      <c r="C24" s="1"/>
      <c r="D24" s="20">
        <f>I27</f>
        <v>88.135945084800028</v>
      </c>
      <c r="E24" s="15" t="s">
        <v>44</v>
      </c>
      <c r="F24" s="13"/>
      <c r="G24" s="14"/>
      <c r="H24" s="14" t="s">
        <v>37</v>
      </c>
      <c r="I24" s="15">
        <f>(3.14*K23*K23)/4</f>
        <v>8.1607356560000031E-3</v>
      </c>
      <c r="J24" s="15" t="s">
        <v>39</v>
      </c>
    </row>
    <row r="25" spans="2:12" x14ac:dyDescent="0.25">
      <c r="B25" s="1"/>
      <c r="C25" s="1"/>
      <c r="D25" s="1"/>
      <c r="E25" s="15"/>
      <c r="F25" s="13"/>
      <c r="G25" s="14"/>
      <c r="H25" s="14" t="s">
        <v>40</v>
      </c>
      <c r="I25" s="15">
        <v>3</v>
      </c>
      <c r="J25" s="15" t="s">
        <v>41</v>
      </c>
      <c r="K25" t="s">
        <v>45</v>
      </c>
    </row>
    <row r="26" spans="2:12" x14ac:dyDescent="0.25">
      <c r="B26" s="1" t="s">
        <v>46</v>
      </c>
      <c r="C26" s="1"/>
      <c r="D26" s="1">
        <v>4</v>
      </c>
      <c r="E26" s="15" t="s">
        <v>16</v>
      </c>
      <c r="F26" s="13"/>
      <c r="G26" s="14"/>
      <c r="H26" s="14" t="s">
        <v>42</v>
      </c>
      <c r="I26" s="15">
        <f>I25*I24</f>
        <v>2.4482206968000009E-2</v>
      </c>
      <c r="J26" s="15" t="s">
        <v>43</v>
      </c>
    </row>
    <row r="27" spans="2:12" x14ac:dyDescent="0.25">
      <c r="B27" s="1"/>
      <c r="C27" s="1"/>
      <c r="D27" s="1"/>
      <c r="E27" s="15"/>
      <c r="F27" s="13"/>
      <c r="G27" s="14"/>
      <c r="H27" s="14"/>
      <c r="I27" s="15">
        <f>I26*3600</f>
        <v>88.135945084800028</v>
      </c>
      <c r="J27" s="15" t="s">
        <v>44</v>
      </c>
    </row>
    <row r="28" spans="2:12" x14ac:dyDescent="0.25">
      <c r="B28" s="1" t="s">
        <v>18</v>
      </c>
      <c r="C28" s="1"/>
      <c r="D28" s="25">
        <f>D24*1000*1*D26</f>
        <v>352543.78033920011</v>
      </c>
      <c r="E28" s="3" t="s">
        <v>30</v>
      </c>
      <c r="F28" s="13"/>
      <c r="G28" s="14"/>
      <c r="H28" s="14"/>
      <c r="I28" s="15"/>
      <c r="J28" s="15"/>
    </row>
    <row r="29" spans="2:12" x14ac:dyDescent="0.25">
      <c r="B29" s="1"/>
      <c r="C29" s="1"/>
      <c r="D29" s="17">
        <f>D28/3024</f>
        <v>116.58193794285718</v>
      </c>
      <c r="E29" s="29" t="s">
        <v>21</v>
      </c>
      <c r="F29" s="13"/>
      <c r="G29" s="14"/>
      <c r="H29" s="14"/>
      <c r="I29" s="15"/>
      <c r="J29" s="15"/>
    </row>
    <row r="30" spans="2:12" x14ac:dyDescent="0.25">
      <c r="B30" s="1" t="s">
        <v>144</v>
      </c>
      <c r="C30" s="1"/>
      <c r="D30" s="24">
        <f>D29*0.9</f>
        <v>104.92374414857146</v>
      </c>
      <c r="E30" s="4" t="s">
        <v>21</v>
      </c>
      <c r="F30" s="13"/>
      <c r="G30" s="14"/>
      <c r="H30" s="14"/>
      <c r="I30" s="15"/>
      <c r="J30" s="15"/>
    </row>
    <row r="31" spans="2:12" s="15" customFormat="1" x14ac:dyDescent="0.25">
      <c r="B31" s="26"/>
      <c r="C31" s="18" t="s">
        <v>141</v>
      </c>
      <c r="D31" s="18">
        <f>D30*3024/4/1000</f>
        <v>79.322350576320019</v>
      </c>
      <c r="E31" s="79" t="s">
        <v>25</v>
      </c>
      <c r="F31" s="13"/>
      <c r="G31" s="14"/>
      <c r="H31" s="14"/>
    </row>
    <row r="32" spans="2:12" s="15" customFormat="1" ht="15.75" thickBot="1" x14ac:dyDescent="0.3">
      <c r="B32" s="26"/>
      <c r="C32" s="18"/>
      <c r="D32" s="18"/>
      <c r="E32" s="79"/>
      <c r="F32" s="13"/>
      <c r="G32" s="14"/>
      <c r="H32" s="14"/>
    </row>
    <row r="33" spans="2:12" ht="19.5" thickBot="1" x14ac:dyDescent="0.3">
      <c r="B33" s="177" t="s">
        <v>47</v>
      </c>
      <c r="C33" s="178"/>
      <c r="D33" s="178"/>
      <c r="E33" s="178"/>
      <c r="F33" s="178"/>
      <c r="G33" s="178"/>
      <c r="H33" s="178"/>
      <c r="I33" s="178"/>
      <c r="J33" s="178"/>
      <c r="K33" s="178"/>
      <c r="L33" s="179"/>
    </row>
    <row r="35" spans="2:12" x14ac:dyDescent="0.25">
      <c r="B35" s="13"/>
      <c r="C35" s="14"/>
      <c r="D35" s="14"/>
      <c r="E35" s="15"/>
      <c r="F35" s="13"/>
      <c r="G35" s="14"/>
      <c r="H35" s="14"/>
      <c r="I35" s="15"/>
      <c r="J35" s="15"/>
    </row>
    <row r="36" spans="2:12" x14ac:dyDescent="0.25">
      <c r="B36" s="1" t="s">
        <v>32</v>
      </c>
      <c r="C36" s="1"/>
      <c r="D36" s="1"/>
      <c r="E36" s="15"/>
      <c r="F36" s="13"/>
      <c r="G36" s="14"/>
      <c r="H36" s="14"/>
      <c r="I36" s="15"/>
      <c r="J36" s="15"/>
    </row>
    <row r="37" spans="2:12" x14ac:dyDescent="0.25">
      <c r="B37" s="1"/>
      <c r="C37" s="1"/>
      <c r="D37" s="1"/>
      <c r="E37" s="15"/>
      <c r="F37" s="13"/>
      <c r="G37" s="14" t="s">
        <v>34</v>
      </c>
      <c r="H37" s="14" t="s">
        <v>35</v>
      </c>
      <c r="I37" s="15">
        <f>48.26-3.68-3.68</f>
        <v>40.9</v>
      </c>
      <c r="J37" s="15" t="s">
        <v>36</v>
      </c>
      <c r="K37">
        <f>I37/1000</f>
        <v>4.0899999999999999E-2</v>
      </c>
      <c r="L37" t="s">
        <v>38</v>
      </c>
    </row>
    <row r="38" spans="2:12" x14ac:dyDescent="0.25">
      <c r="B38" s="1" t="s">
        <v>33</v>
      </c>
      <c r="C38" s="1"/>
      <c r="D38" s="20">
        <f>I41</f>
        <v>14.182083180000003</v>
      </c>
      <c r="E38" s="15" t="s">
        <v>44</v>
      </c>
      <c r="F38" s="13"/>
      <c r="G38" s="14"/>
      <c r="H38" s="14" t="s">
        <v>37</v>
      </c>
      <c r="I38" s="15">
        <f>(3.14*K37*K37)/4</f>
        <v>1.3131558500000002E-3</v>
      </c>
      <c r="J38" s="15" t="s">
        <v>39</v>
      </c>
    </row>
    <row r="39" spans="2:12" x14ac:dyDescent="0.25">
      <c r="B39" s="1"/>
      <c r="C39" s="1"/>
      <c r="D39" s="1"/>
      <c r="E39" s="15"/>
      <c r="F39" s="13"/>
      <c r="G39" s="14"/>
      <c r="H39" s="14" t="s">
        <v>40</v>
      </c>
      <c r="I39" s="15">
        <v>3</v>
      </c>
      <c r="J39" s="15" t="s">
        <v>41</v>
      </c>
      <c r="K39" t="s">
        <v>45</v>
      </c>
    </row>
    <row r="40" spans="2:12" x14ac:dyDescent="0.25">
      <c r="B40" s="1" t="s">
        <v>46</v>
      </c>
      <c r="C40" s="1"/>
      <c r="D40" s="1">
        <v>4</v>
      </c>
      <c r="E40" s="15" t="s">
        <v>16</v>
      </c>
      <c r="F40" s="13"/>
      <c r="G40" s="14"/>
      <c r="H40" s="14" t="s">
        <v>42</v>
      </c>
      <c r="I40" s="15">
        <f>I39*I38</f>
        <v>3.9394675500000007E-3</v>
      </c>
      <c r="J40" s="15" t="s">
        <v>43</v>
      </c>
    </row>
    <row r="41" spans="2:12" x14ac:dyDescent="0.25">
      <c r="B41" s="1"/>
      <c r="C41" s="1"/>
      <c r="D41" s="1"/>
      <c r="E41" s="15"/>
      <c r="F41" s="13"/>
      <c r="G41" s="14"/>
      <c r="H41" s="14"/>
      <c r="I41" s="15">
        <f>I40*3600</f>
        <v>14.182083180000003</v>
      </c>
      <c r="J41" s="15" t="s">
        <v>44</v>
      </c>
    </row>
    <row r="42" spans="2:12" x14ac:dyDescent="0.25">
      <c r="B42" s="1" t="s">
        <v>18</v>
      </c>
      <c r="C42" s="1"/>
      <c r="D42" s="25">
        <f>D38*1000*1*D40</f>
        <v>56728.332720000013</v>
      </c>
      <c r="E42" s="3" t="s">
        <v>30</v>
      </c>
      <c r="F42" s="13"/>
      <c r="G42" s="14"/>
      <c r="H42" s="14"/>
      <c r="I42" s="15"/>
      <c r="J42" s="15"/>
    </row>
    <row r="43" spans="2:12" x14ac:dyDescent="0.25">
      <c r="B43" s="1"/>
      <c r="C43" s="1"/>
      <c r="D43" s="17">
        <f>D42/3024</f>
        <v>18.759369285714289</v>
      </c>
      <c r="E43" s="29" t="s">
        <v>21</v>
      </c>
      <c r="F43" s="13"/>
      <c r="G43" s="14"/>
      <c r="H43" s="14"/>
      <c r="I43" s="15"/>
      <c r="J43" s="15"/>
    </row>
    <row r="44" spans="2:12" x14ac:dyDescent="0.25">
      <c r="B44" s="1" t="s">
        <v>62</v>
      </c>
      <c r="C44" s="1"/>
      <c r="D44" s="24">
        <f>D43*0.8</f>
        <v>15.007495428571431</v>
      </c>
      <c r="E44" s="4" t="s">
        <v>21</v>
      </c>
      <c r="F44" s="13"/>
      <c r="G44" s="14"/>
      <c r="H44" s="14"/>
      <c r="I44" s="15"/>
      <c r="J44" s="15"/>
    </row>
    <row r="45" spans="2:12" x14ac:dyDescent="0.25">
      <c r="C45" s="18" t="s">
        <v>141</v>
      </c>
      <c r="D45" s="18">
        <f>D44*3024/4/1000</f>
        <v>11.345666544000002</v>
      </c>
      <c r="E45" s="79" t="s">
        <v>25</v>
      </c>
    </row>
    <row r="46" spans="2:12" ht="15.75" thickBot="1" x14ac:dyDescent="0.3">
      <c r="C46" s="18"/>
      <c r="D46" s="18"/>
      <c r="E46" s="79"/>
    </row>
    <row r="47" spans="2:12" ht="19.5" thickBot="1" x14ac:dyDescent="0.3">
      <c r="B47" s="177" t="s">
        <v>29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9"/>
    </row>
    <row r="48" spans="2:12" x14ac:dyDescent="0.25">
      <c r="F48" s="10"/>
      <c r="G48" s="10"/>
      <c r="H48" s="10"/>
      <c r="J48" s="10"/>
      <c r="K48" s="10"/>
      <c r="L48" s="10"/>
    </row>
    <row r="49" spans="2:12" x14ac:dyDescent="0.25">
      <c r="B49" s="1" t="s">
        <v>32</v>
      </c>
      <c r="C49" s="1"/>
      <c r="D49" s="1"/>
      <c r="E49" s="15"/>
      <c r="F49" s="13"/>
      <c r="G49" s="14"/>
      <c r="H49" s="14"/>
      <c r="I49" s="15"/>
      <c r="J49" s="15"/>
    </row>
    <row r="50" spans="2:12" x14ac:dyDescent="0.25">
      <c r="B50" s="1"/>
      <c r="C50" s="1"/>
      <c r="D50" s="1"/>
      <c r="E50" s="15"/>
      <c r="F50" s="13"/>
      <c r="G50" s="14" t="s">
        <v>34</v>
      </c>
      <c r="H50" s="14" t="s">
        <v>35</v>
      </c>
      <c r="I50" s="15">
        <f>48.26-3.68-3.68</f>
        <v>40.9</v>
      </c>
      <c r="J50" s="15" t="s">
        <v>36</v>
      </c>
      <c r="K50">
        <f>I50/1000</f>
        <v>4.0899999999999999E-2</v>
      </c>
      <c r="L50" t="s">
        <v>38</v>
      </c>
    </row>
    <row r="51" spans="2:12" x14ac:dyDescent="0.25">
      <c r="B51" s="1" t="s">
        <v>33</v>
      </c>
      <c r="C51" s="1"/>
      <c r="D51" s="20">
        <f>I54</f>
        <v>14.182083180000003</v>
      </c>
      <c r="E51" s="15" t="s">
        <v>44</v>
      </c>
      <c r="F51" s="13"/>
      <c r="G51" s="14"/>
      <c r="H51" s="14" t="s">
        <v>37</v>
      </c>
      <c r="I51" s="15">
        <f>(3.14*K50*K50)/4</f>
        <v>1.3131558500000002E-3</v>
      </c>
      <c r="J51" s="15" t="s">
        <v>39</v>
      </c>
    </row>
    <row r="52" spans="2:12" x14ac:dyDescent="0.25">
      <c r="B52" s="1"/>
      <c r="C52" s="1"/>
      <c r="D52" s="1"/>
      <c r="E52" s="15"/>
      <c r="F52" s="13"/>
      <c r="G52" s="14"/>
      <c r="H52" s="14" t="s">
        <v>40</v>
      </c>
      <c r="I52" s="15">
        <v>3</v>
      </c>
      <c r="J52" s="15" t="s">
        <v>41</v>
      </c>
      <c r="K52" t="s">
        <v>45</v>
      </c>
    </row>
    <row r="53" spans="2:12" x14ac:dyDescent="0.25">
      <c r="B53" s="1" t="s">
        <v>46</v>
      </c>
      <c r="C53" s="1"/>
      <c r="D53" s="1">
        <v>4</v>
      </c>
      <c r="E53" s="15" t="s">
        <v>16</v>
      </c>
      <c r="F53" s="13"/>
      <c r="G53" s="14"/>
      <c r="H53" s="14" t="s">
        <v>42</v>
      </c>
      <c r="I53" s="15">
        <f>I52*I51</f>
        <v>3.9394675500000007E-3</v>
      </c>
      <c r="J53" s="15" t="s">
        <v>43</v>
      </c>
    </row>
    <row r="54" spans="2:12" x14ac:dyDescent="0.25">
      <c r="B54" s="1"/>
      <c r="C54" s="1"/>
      <c r="D54" s="1"/>
      <c r="E54" s="15"/>
      <c r="F54" s="13"/>
      <c r="G54" s="14"/>
      <c r="H54" s="14"/>
      <c r="I54" s="15">
        <f>I53*3600</f>
        <v>14.182083180000003</v>
      </c>
      <c r="J54" s="15" t="s">
        <v>44</v>
      </c>
    </row>
    <row r="55" spans="2:12" x14ac:dyDescent="0.25">
      <c r="B55" s="1" t="s">
        <v>18</v>
      </c>
      <c r="C55" s="1"/>
      <c r="D55" s="25">
        <f>D51*1000*1*D53</f>
        <v>56728.332720000013</v>
      </c>
      <c r="E55" s="3" t="s">
        <v>30</v>
      </c>
      <c r="F55" s="13"/>
      <c r="G55" s="14"/>
      <c r="H55" s="14"/>
      <c r="I55" s="15"/>
      <c r="J55" s="15"/>
    </row>
    <row r="56" spans="2:12" x14ac:dyDescent="0.25">
      <c r="B56" s="1"/>
      <c r="C56" s="1"/>
      <c r="D56" s="17">
        <f>D55/3024</f>
        <v>18.759369285714289</v>
      </c>
      <c r="E56" s="29" t="s">
        <v>21</v>
      </c>
      <c r="F56" s="13"/>
      <c r="G56" s="14"/>
      <c r="H56" s="14"/>
      <c r="I56" s="15"/>
      <c r="J56" s="15"/>
    </row>
    <row r="57" spans="2:12" x14ac:dyDescent="0.25">
      <c r="B57" s="1" t="s">
        <v>65</v>
      </c>
      <c r="C57" s="1"/>
      <c r="D57" s="24">
        <f>D56*0.7</f>
        <v>13.131558500000002</v>
      </c>
      <c r="E57" s="4" t="s">
        <v>21</v>
      </c>
      <c r="F57" s="13"/>
      <c r="G57" s="14"/>
      <c r="H57" s="14"/>
      <c r="I57" s="15"/>
      <c r="J57" s="15"/>
    </row>
    <row r="58" spans="2:12" x14ac:dyDescent="0.25">
      <c r="B58" s="1"/>
      <c r="C58" s="18" t="s">
        <v>141</v>
      </c>
      <c r="D58" s="18">
        <f>D57*3024/4/1000</f>
        <v>9.9274582260000024</v>
      </c>
      <c r="E58" s="79" t="s">
        <v>25</v>
      </c>
      <c r="F58" s="13"/>
      <c r="G58" s="14"/>
      <c r="H58" s="14"/>
      <c r="I58" s="15"/>
      <c r="J58" s="15"/>
    </row>
    <row r="59" spans="2:12" ht="15.75" thickBot="1" x14ac:dyDescent="0.3">
      <c r="B59" s="1"/>
      <c r="C59" s="18"/>
      <c r="D59" s="18"/>
      <c r="E59" s="79"/>
      <c r="F59" s="13"/>
      <c r="G59" s="14"/>
      <c r="H59" s="14"/>
      <c r="I59" s="15"/>
      <c r="J59" s="15"/>
    </row>
    <row r="60" spans="2:12" ht="19.5" thickBot="1" x14ac:dyDescent="0.3">
      <c r="B60" s="177" t="s">
        <v>48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9"/>
    </row>
    <row r="62" spans="2:12" x14ac:dyDescent="0.25">
      <c r="B62" s="12" t="s">
        <v>49</v>
      </c>
      <c r="C62" s="21" t="s">
        <v>50</v>
      </c>
      <c r="D62" s="21"/>
      <c r="E62" s="22"/>
      <c r="F62" s="23"/>
      <c r="G62" s="21"/>
      <c r="H62" s="14"/>
      <c r="I62" s="15"/>
      <c r="J62" s="15"/>
    </row>
    <row r="63" spans="2:12" x14ac:dyDescent="0.25">
      <c r="B63" s="1"/>
      <c r="C63" s="1"/>
      <c r="D63" s="1"/>
      <c r="E63" s="15"/>
      <c r="F63" s="13"/>
      <c r="G63" s="14"/>
      <c r="H63" s="14"/>
      <c r="I63" s="15"/>
      <c r="J63" s="15"/>
    </row>
    <row r="64" spans="2:12" x14ac:dyDescent="0.25">
      <c r="B64" s="1" t="s">
        <v>52</v>
      </c>
      <c r="C64" s="1"/>
      <c r="D64" s="20">
        <v>10</v>
      </c>
      <c r="E64" s="15" t="s">
        <v>53</v>
      </c>
      <c r="F64" s="13"/>
      <c r="G64" s="1"/>
      <c r="H64" s="1"/>
      <c r="I64" s="1"/>
      <c r="J64" s="15"/>
    </row>
    <row r="65" spans="2:10" x14ac:dyDescent="0.25">
      <c r="B65" s="1"/>
      <c r="C65" s="1"/>
      <c r="D65" s="1"/>
      <c r="E65" s="15"/>
      <c r="F65" s="13"/>
      <c r="G65" s="1"/>
      <c r="H65" s="1"/>
      <c r="I65" s="1"/>
      <c r="J65" s="15"/>
    </row>
    <row r="66" spans="2:10" x14ac:dyDescent="0.25">
      <c r="B66" s="1" t="s">
        <v>54</v>
      </c>
      <c r="C66" s="1"/>
      <c r="D66" s="1">
        <v>7.7</v>
      </c>
      <c r="E66" s="15" t="s">
        <v>53</v>
      </c>
      <c r="F66" s="13"/>
      <c r="G66" s="1"/>
      <c r="H66" s="1"/>
      <c r="I66" s="1"/>
      <c r="J66" s="15"/>
    </row>
    <row r="67" spans="2:10" x14ac:dyDescent="0.25">
      <c r="B67" s="1" t="s">
        <v>56</v>
      </c>
      <c r="C67" s="1"/>
      <c r="D67" s="1">
        <v>15</v>
      </c>
      <c r="E67" s="15" t="s">
        <v>51</v>
      </c>
      <c r="F67" s="13"/>
      <c r="G67" s="1"/>
      <c r="H67" s="1"/>
      <c r="I67" s="1"/>
      <c r="J67" s="15"/>
    </row>
    <row r="68" spans="2:10" x14ac:dyDescent="0.25">
      <c r="B68" s="26" t="s">
        <v>55</v>
      </c>
      <c r="C68" s="1"/>
      <c r="D68" s="26">
        <v>30</v>
      </c>
      <c r="E68" s="15" t="s">
        <v>51</v>
      </c>
      <c r="F68" s="13"/>
      <c r="G68" s="1"/>
      <c r="H68" s="1"/>
      <c r="I68" s="1"/>
      <c r="J68" s="15"/>
    </row>
    <row r="69" spans="2:10" x14ac:dyDescent="0.25">
      <c r="B69" s="26" t="s">
        <v>57</v>
      </c>
      <c r="C69" s="1"/>
      <c r="D69" s="20">
        <f>(D66*D67%)/D68%</f>
        <v>3.85</v>
      </c>
      <c r="E69" s="15" t="s">
        <v>53</v>
      </c>
      <c r="F69" s="13"/>
      <c r="G69" s="1"/>
      <c r="H69" s="1"/>
      <c r="I69" s="1"/>
      <c r="J69" s="15"/>
    </row>
    <row r="70" spans="2:10" x14ac:dyDescent="0.25">
      <c r="B70" s="26" t="s">
        <v>64</v>
      </c>
      <c r="D70" s="27">
        <f>D66-D69</f>
        <v>3.85</v>
      </c>
      <c r="E70" s="15" t="s">
        <v>53</v>
      </c>
      <c r="G70" s="1"/>
      <c r="H70" s="1"/>
      <c r="I70" s="1"/>
    </row>
    <row r="71" spans="2:10" x14ac:dyDescent="0.25">
      <c r="B71" s="26" t="s">
        <v>59</v>
      </c>
      <c r="D71" s="36">
        <f>D70/3</f>
        <v>1.2833333333333334</v>
      </c>
      <c r="E71" s="15" t="s">
        <v>53</v>
      </c>
      <c r="G71" s="1"/>
      <c r="H71" s="1"/>
      <c r="I71" s="1"/>
    </row>
    <row r="72" spans="2:10" x14ac:dyDescent="0.25">
      <c r="B72" s="26" t="s">
        <v>60</v>
      </c>
      <c r="D72" s="28">
        <f>D71*1000*540</f>
        <v>693000.00000000012</v>
      </c>
      <c r="E72" s="3" t="s">
        <v>30</v>
      </c>
      <c r="G72" s="1"/>
      <c r="H72" s="1"/>
      <c r="I72" s="1"/>
    </row>
    <row r="73" spans="2:10" x14ac:dyDescent="0.25">
      <c r="D73" s="24">
        <f>D72/3024</f>
        <v>229.16666666666671</v>
      </c>
      <c r="E73" s="4" t="s">
        <v>21</v>
      </c>
      <c r="G73" s="1"/>
      <c r="H73" s="1"/>
      <c r="I73" s="1"/>
    </row>
    <row r="74" spans="2:10" x14ac:dyDescent="0.25">
      <c r="C74" s="18" t="s">
        <v>141</v>
      </c>
      <c r="D74" s="18">
        <f>D73*3024/4/1000</f>
        <v>173.25000000000003</v>
      </c>
      <c r="E74" s="79" t="s">
        <v>25</v>
      </c>
      <c r="G74" s="1"/>
      <c r="H74" s="1"/>
      <c r="I74" s="1"/>
    </row>
    <row r="76" spans="2:10" x14ac:dyDescent="0.25">
      <c r="B76" s="32"/>
      <c r="D76" s="32"/>
      <c r="E76" s="79"/>
    </row>
    <row r="81" spans="2:5" x14ac:dyDescent="0.25">
      <c r="B81" s="32"/>
      <c r="D81" s="32"/>
      <c r="E81" s="79"/>
    </row>
  </sheetData>
  <mergeCells count="8">
    <mergeCell ref="B47:L47"/>
    <mergeCell ref="B60:L60"/>
    <mergeCell ref="B2:L2"/>
    <mergeCell ref="G4:H4"/>
    <mergeCell ref="K4:L4"/>
    <mergeCell ref="G12:H12"/>
    <mergeCell ref="B20:L20"/>
    <mergeCell ref="B33:L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A9" workbookViewId="0">
      <selection activeCell="G31" sqref="G31"/>
    </sheetView>
  </sheetViews>
  <sheetFormatPr defaultRowHeight="15" x14ac:dyDescent="0.25"/>
  <cols>
    <col min="1" max="1" width="9.42578125" style="11" customWidth="1"/>
    <col min="2" max="2" width="30.5703125" style="11" bestFit="1" customWidth="1"/>
    <col min="3" max="3" width="10" style="11" customWidth="1"/>
    <col min="4" max="16" width="9.42578125" style="11" customWidth="1"/>
    <col min="17" max="16384" width="9.140625" style="11"/>
  </cols>
  <sheetData>
    <row r="2" spans="2:12" ht="15.75" thickBot="1" x14ac:dyDescent="0.3"/>
    <row r="3" spans="2:12" customFormat="1" ht="19.5" thickBot="1" x14ac:dyDescent="0.3">
      <c r="B3" s="177" t="s">
        <v>63</v>
      </c>
      <c r="C3" s="178"/>
      <c r="D3" s="178"/>
      <c r="E3" s="178"/>
      <c r="F3" s="178"/>
      <c r="G3" s="178"/>
      <c r="H3" s="178"/>
      <c r="I3" s="178"/>
      <c r="J3" s="178"/>
      <c r="K3" s="178"/>
      <c r="L3" s="179"/>
    </row>
    <row r="4" spans="2:12" customFormat="1" x14ac:dyDescent="0.25"/>
    <row r="5" spans="2:12" customFormat="1" x14ac:dyDescent="0.25">
      <c r="B5" s="12" t="s">
        <v>49</v>
      </c>
      <c r="C5" s="21" t="s">
        <v>66</v>
      </c>
      <c r="D5" s="21"/>
      <c r="E5" s="22"/>
      <c r="F5" s="23"/>
      <c r="G5" s="21"/>
      <c r="H5" s="21"/>
      <c r="I5" s="15"/>
      <c r="J5" s="15"/>
    </row>
    <row r="6" spans="2:12" customFormat="1" ht="15.75" thickBot="1" x14ac:dyDescent="0.3">
      <c r="B6" s="1"/>
      <c r="C6" s="1"/>
      <c r="D6" s="1"/>
      <c r="E6" s="15"/>
      <c r="F6" s="13"/>
      <c r="G6" s="14"/>
      <c r="H6" s="14"/>
      <c r="I6" s="15"/>
      <c r="J6" s="15"/>
    </row>
    <row r="7" spans="2:12" customFormat="1" ht="15.75" thickBot="1" x14ac:dyDescent="0.3">
      <c r="B7" s="185" t="s">
        <v>134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</row>
    <row r="8" spans="2:12" customFormat="1" x14ac:dyDescent="0.25">
      <c r="B8" s="1" t="s">
        <v>52</v>
      </c>
      <c r="C8" s="1"/>
      <c r="D8" s="20">
        <v>10</v>
      </c>
      <c r="E8" s="15" t="s">
        <v>53</v>
      </c>
      <c r="F8" s="13"/>
      <c r="G8" s="1"/>
      <c r="H8" s="1"/>
      <c r="I8" s="1"/>
      <c r="J8" s="15"/>
    </row>
    <row r="9" spans="2:12" customFormat="1" x14ac:dyDescent="0.25">
      <c r="B9" s="1"/>
      <c r="C9" s="1"/>
      <c r="D9" s="1"/>
      <c r="E9" s="15"/>
      <c r="F9" s="13"/>
      <c r="G9" s="1"/>
      <c r="H9" s="1"/>
      <c r="I9" s="1"/>
      <c r="J9" s="15"/>
    </row>
    <row r="10" spans="2:12" customFormat="1" x14ac:dyDescent="0.25">
      <c r="B10" s="1" t="s">
        <v>96</v>
      </c>
      <c r="C10" s="1"/>
      <c r="D10" s="1">
        <v>5</v>
      </c>
      <c r="E10" s="15" t="s">
        <v>53</v>
      </c>
      <c r="F10" s="13"/>
      <c r="G10" s="1"/>
      <c r="H10" s="1"/>
      <c r="I10" s="1"/>
      <c r="J10" s="15"/>
    </row>
    <row r="11" spans="2:12" customFormat="1" x14ac:dyDescent="0.25">
      <c r="B11" s="1" t="s">
        <v>56</v>
      </c>
      <c r="C11" s="1"/>
      <c r="D11" s="1">
        <v>9</v>
      </c>
      <c r="E11" s="15" t="s">
        <v>51</v>
      </c>
      <c r="F11" s="13"/>
      <c r="G11" s="1"/>
      <c r="H11" s="1"/>
      <c r="I11" s="1"/>
      <c r="J11" s="15"/>
    </row>
    <row r="12" spans="2:12" customFormat="1" x14ac:dyDescent="0.25">
      <c r="B12" s="26" t="s">
        <v>55</v>
      </c>
      <c r="C12" s="1"/>
      <c r="D12" s="26">
        <v>87</v>
      </c>
      <c r="E12" s="15" t="s">
        <v>51</v>
      </c>
      <c r="F12" s="13"/>
      <c r="G12" s="1"/>
      <c r="H12" s="1"/>
      <c r="I12" s="1"/>
      <c r="J12" s="15"/>
    </row>
    <row r="13" spans="2:12" customFormat="1" x14ac:dyDescent="0.25">
      <c r="B13" s="26" t="s">
        <v>57</v>
      </c>
      <c r="C13" s="1"/>
      <c r="D13" s="20">
        <f>(D10*D11%)/D12%</f>
        <v>0.51724137931034475</v>
      </c>
      <c r="E13" s="15" t="s">
        <v>53</v>
      </c>
      <c r="F13" s="13"/>
      <c r="G13" s="1"/>
      <c r="H13" s="1"/>
      <c r="I13" s="1"/>
      <c r="J13" s="15"/>
    </row>
    <row r="14" spans="2:12" customFormat="1" x14ac:dyDescent="0.25">
      <c r="B14" s="26" t="s">
        <v>58</v>
      </c>
      <c r="D14" s="27">
        <f>D10-D13</f>
        <v>4.4827586206896548</v>
      </c>
      <c r="E14" s="15" t="s">
        <v>53</v>
      </c>
      <c r="G14" s="1"/>
      <c r="H14" s="1"/>
      <c r="I14" s="1"/>
    </row>
    <row r="15" spans="2:12" customFormat="1" x14ac:dyDescent="0.25">
      <c r="B15" s="26" t="s">
        <v>59</v>
      </c>
      <c r="D15">
        <f>D14/3</f>
        <v>1.4942528735632183</v>
      </c>
      <c r="E15" s="15" t="s">
        <v>53</v>
      </c>
      <c r="G15" s="1"/>
      <c r="H15" s="1"/>
      <c r="I15" s="1"/>
    </row>
    <row r="16" spans="2:12" customFormat="1" x14ac:dyDescent="0.25">
      <c r="B16" s="26" t="s">
        <v>60</v>
      </c>
      <c r="D16" s="28">
        <f>D15*1000*540</f>
        <v>806896.55172413797</v>
      </c>
      <c r="E16" s="3" t="s">
        <v>30</v>
      </c>
      <c r="G16" s="1"/>
      <c r="H16" s="1"/>
      <c r="I16" s="1"/>
    </row>
    <row r="17" spans="2:12" customFormat="1" x14ac:dyDescent="0.25">
      <c r="D17" s="24">
        <f>D16/3024</f>
        <v>266.83087027914615</v>
      </c>
      <c r="E17" s="4" t="s">
        <v>21</v>
      </c>
      <c r="G17" s="1"/>
      <c r="H17" s="1"/>
      <c r="I17" s="1"/>
    </row>
    <row r="18" spans="2:12" x14ac:dyDescent="0.25">
      <c r="C18" s="18" t="s">
        <v>141</v>
      </c>
      <c r="D18" s="18">
        <f>D17*3024/4/1000</f>
        <v>201.72413793103451</v>
      </c>
      <c r="E18" s="79" t="s">
        <v>25</v>
      </c>
      <c r="I18" s="30"/>
    </row>
    <row r="19" spans="2:12" ht="15.75" thickBot="1" x14ac:dyDescent="0.3"/>
    <row r="20" spans="2:12" customFormat="1" ht="15.75" thickBot="1" x14ac:dyDescent="0.3">
      <c r="B20" s="185" t="s">
        <v>135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7"/>
    </row>
    <row r="21" spans="2:12" customFormat="1" x14ac:dyDescent="0.25">
      <c r="B21" s="1" t="s">
        <v>52</v>
      </c>
      <c r="C21" s="1"/>
      <c r="D21" s="20">
        <v>10</v>
      </c>
      <c r="E21" s="15" t="s">
        <v>53</v>
      </c>
      <c r="F21" s="13"/>
      <c r="G21" s="1"/>
      <c r="H21" s="1"/>
      <c r="I21" s="1"/>
      <c r="J21" s="15"/>
    </row>
    <row r="22" spans="2:12" customFormat="1" x14ac:dyDescent="0.25">
      <c r="B22" s="1"/>
      <c r="C22" s="1"/>
      <c r="D22" s="1"/>
      <c r="E22" s="15"/>
      <c r="F22" s="13"/>
      <c r="G22" s="1"/>
      <c r="H22" s="1"/>
      <c r="I22" s="1"/>
      <c r="J22" s="15"/>
    </row>
    <row r="23" spans="2:12" customFormat="1" x14ac:dyDescent="0.25">
      <c r="B23" s="1" t="s">
        <v>96</v>
      </c>
      <c r="C23" s="1"/>
      <c r="D23" s="1">
        <v>5</v>
      </c>
      <c r="E23" s="15" t="s">
        <v>53</v>
      </c>
      <c r="F23" s="13"/>
      <c r="G23" s="1"/>
      <c r="H23" s="1"/>
      <c r="I23" s="1"/>
      <c r="J23" s="15"/>
    </row>
    <row r="24" spans="2:12" customFormat="1" x14ac:dyDescent="0.25">
      <c r="B24" s="1" t="s">
        <v>56</v>
      </c>
      <c r="C24" s="1"/>
      <c r="D24" s="1">
        <v>30</v>
      </c>
      <c r="E24" s="15" t="s">
        <v>51</v>
      </c>
      <c r="F24" s="13"/>
      <c r="G24" s="1"/>
      <c r="H24" s="1"/>
      <c r="I24" s="1"/>
      <c r="J24" s="15"/>
    </row>
    <row r="25" spans="2:12" customFormat="1" x14ac:dyDescent="0.25">
      <c r="B25" s="26" t="s">
        <v>55</v>
      </c>
      <c r="C25" s="1"/>
      <c r="D25" s="26">
        <v>89</v>
      </c>
      <c r="E25" s="15" t="s">
        <v>51</v>
      </c>
      <c r="F25" s="13"/>
      <c r="G25" s="1"/>
      <c r="H25" s="1"/>
      <c r="I25" s="1"/>
      <c r="J25" s="15"/>
    </row>
    <row r="26" spans="2:12" customFormat="1" x14ac:dyDescent="0.25">
      <c r="B26" s="26" t="s">
        <v>57</v>
      </c>
      <c r="C26" s="1"/>
      <c r="D26" s="20">
        <f>(D23*D24%)/D25%</f>
        <v>1.6853932584269662</v>
      </c>
      <c r="E26" s="15" t="s">
        <v>53</v>
      </c>
      <c r="F26" s="13"/>
      <c r="G26" s="1"/>
      <c r="H26" s="1"/>
      <c r="I26" s="1"/>
      <c r="J26" s="15"/>
    </row>
    <row r="27" spans="2:12" customFormat="1" x14ac:dyDescent="0.25">
      <c r="B27" s="26" t="s">
        <v>58</v>
      </c>
      <c r="D27" s="27">
        <f>D23-D26</f>
        <v>3.3146067415730336</v>
      </c>
      <c r="E27" s="15" t="s">
        <v>53</v>
      </c>
      <c r="G27" s="1"/>
      <c r="H27" s="1"/>
      <c r="I27" s="1"/>
    </row>
    <row r="28" spans="2:12" customFormat="1" x14ac:dyDescent="0.25">
      <c r="B28" s="26" t="s">
        <v>59</v>
      </c>
      <c r="D28">
        <f>D27/3</f>
        <v>1.1048689138576779</v>
      </c>
      <c r="E28" s="15" t="s">
        <v>53</v>
      </c>
      <c r="G28" s="1"/>
      <c r="H28" s="1"/>
      <c r="I28" s="1"/>
    </row>
    <row r="29" spans="2:12" customFormat="1" x14ac:dyDescent="0.25">
      <c r="B29" s="26" t="s">
        <v>60</v>
      </c>
      <c r="D29" s="28">
        <f>D28*1000*540</f>
        <v>596629.21348314604</v>
      </c>
      <c r="E29" s="3" t="s">
        <v>30</v>
      </c>
      <c r="G29" s="1"/>
      <c r="H29" s="1"/>
      <c r="I29" s="1"/>
    </row>
    <row r="30" spans="2:12" customFormat="1" x14ac:dyDescent="0.25">
      <c r="D30" s="24">
        <f>D29/3024</f>
        <v>197.2980203317282</v>
      </c>
      <c r="E30" s="4" t="s">
        <v>21</v>
      </c>
      <c r="G30" s="1"/>
      <c r="H30" s="1"/>
      <c r="I30" s="1"/>
    </row>
    <row r="31" spans="2:12" x14ac:dyDescent="0.25">
      <c r="C31" s="18" t="s">
        <v>141</v>
      </c>
      <c r="D31" s="18">
        <f>D30*3024/4/1000</f>
        <v>149.15730337078651</v>
      </c>
      <c r="E31" s="79" t="s">
        <v>25</v>
      </c>
    </row>
  </sheetData>
  <mergeCells count="3">
    <mergeCell ref="B3:L3"/>
    <mergeCell ref="B7:L7"/>
    <mergeCell ref="B20:L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E36"/>
  <sheetViews>
    <sheetView workbookViewId="0">
      <selection sqref="A1:XFD1048576"/>
    </sheetView>
  </sheetViews>
  <sheetFormatPr defaultRowHeight="15.75" x14ac:dyDescent="0.25"/>
  <cols>
    <col min="1" max="1" width="9.140625" style="85"/>
    <col min="2" max="2" width="20.140625" style="85" customWidth="1"/>
    <col min="3" max="5" width="20.7109375" style="85" customWidth="1"/>
    <col min="6" max="16384" width="9.140625" style="85"/>
  </cols>
  <sheetData>
    <row r="3" spans="2:5" x14ac:dyDescent="0.25">
      <c r="B3" s="189" t="s">
        <v>67</v>
      </c>
      <c r="C3" s="189"/>
      <c r="D3" s="189"/>
      <c r="E3" s="189"/>
    </row>
    <row r="5" spans="2:5" ht="16.5" thickBot="1" x14ac:dyDescent="0.3"/>
    <row r="6" spans="2:5" ht="16.5" thickBot="1" x14ac:dyDescent="0.3">
      <c r="B6" s="191" t="s">
        <v>75</v>
      </c>
      <c r="C6" s="192"/>
      <c r="D6" s="193"/>
      <c r="E6" s="194"/>
    </row>
    <row r="7" spans="2:5" ht="16.5" thickBot="1" x14ac:dyDescent="0.3">
      <c r="B7" s="86"/>
      <c r="C7" s="87" t="s">
        <v>148</v>
      </c>
      <c r="D7" s="88" t="s">
        <v>136</v>
      </c>
      <c r="E7" s="89" t="s">
        <v>145</v>
      </c>
    </row>
    <row r="8" spans="2:5" s="90" customFormat="1" ht="31.5" x14ac:dyDescent="0.25">
      <c r="B8" s="91" t="s">
        <v>68</v>
      </c>
      <c r="C8" s="92" t="s">
        <v>18</v>
      </c>
      <c r="D8" s="93" t="s">
        <v>77</v>
      </c>
      <c r="E8" s="92" t="s">
        <v>18</v>
      </c>
    </row>
    <row r="9" spans="2:5" x14ac:dyDescent="0.25">
      <c r="B9" s="94"/>
      <c r="C9" s="95" t="s">
        <v>21</v>
      </c>
      <c r="D9" s="86"/>
      <c r="E9" s="96"/>
    </row>
    <row r="10" spans="2:5" x14ac:dyDescent="0.25">
      <c r="B10" s="97" t="s">
        <v>4</v>
      </c>
      <c r="C10" s="98">
        <f>'Heat Load of Paharpur (PFAD)'!K15</f>
        <v>381.38227513227514</v>
      </c>
      <c r="D10" s="99">
        <f>C10*0.8</f>
        <v>305.1058201058201</v>
      </c>
      <c r="E10" s="100">
        <f>'Heat Load of Paharpur (CNO RMO)'!K15</f>
        <v>381.38227513227514</v>
      </c>
    </row>
    <row r="11" spans="2:5" x14ac:dyDescent="0.25">
      <c r="B11" s="97" t="s">
        <v>28</v>
      </c>
      <c r="C11" s="101">
        <f>'Heat Load of Paharpur (PFAD)'!D30</f>
        <v>104.92374414857146</v>
      </c>
      <c r="D11" s="102">
        <v>0</v>
      </c>
      <c r="E11" s="103">
        <v>0</v>
      </c>
    </row>
    <row r="12" spans="2:5" x14ac:dyDescent="0.25">
      <c r="B12" s="97" t="s">
        <v>69</v>
      </c>
      <c r="C12" s="98">
        <f>'Heat Load of Paharpur (PFAD)'!D44</f>
        <v>15.007495428571431</v>
      </c>
      <c r="D12" s="104">
        <f t="shared" ref="D12:D13" si="0">C12</f>
        <v>15.007495428571431</v>
      </c>
      <c r="E12" s="100">
        <f>'Heat Load of Paharpur (CNO RMO)'!D44</f>
        <v>15.007495428571431</v>
      </c>
    </row>
    <row r="13" spans="2:5" x14ac:dyDescent="0.25">
      <c r="B13" s="97" t="s">
        <v>70</v>
      </c>
      <c r="C13" s="98">
        <f>'Heat Load of Paharpur (PFAD)'!D57</f>
        <v>13.131558500000002</v>
      </c>
      <c r="D13" s="104">
        <f t="shared" si="0"/>
        <v>13.131558500000002</v>
      </c>
      <c r="E13" s="100">
        <f>'Heat Load of Paharpur (CNO RMO)'!D57</f>
        <v>13.131558500000002</v>
      </c>
    </row>
    <row r="14" spans="2:5" ht="16.5" thickBot="1" x14ac:dyDescent="0.3">
      <c r="B14" s="105" t="s">
        <v>71</v>
      </c>
      <c r="C14" s="106">
        <f>'Heat Load of Paharpur (PFAD)'!D73</f>
        <v>290.17857142857144</v>
      </c>
      <c r="D14" s="107">
        <f>C14*0.8</f>
        <v>232.14285714285717</v>
      </c>
      <c r="E14" s="108">
        <f>'Heat Load of Paharpur (CNO RMO)'!D73</f>
        <v>229.16666666666671</v>
      </c>
    </row>
    <row r="15" spans="2:5" ht="16.5" thickBot="1" x14ac:dyDescent="0.3">
      <c r="B15" s="109" t="s">
        <v>74</v>
      </c>
      <c r="C15" s="110">
        <f>SUM(C10:C14)</f>
        <v>804.62364463798951</v>
      </c>
      <c r="D15" s="111">
        <f>SUM(D10:D14)</f>
        <v>565.38773117724872</v>
      </c>
      <c r="E15" s="112">
        <f>SUM(E10:E14)</f>
        <v>638.68799572751323</v>
      </c>
    </row>
    <row r="16" spans="2:5" s="113" customFormat="1" ht="16.5" thickBot="1" x14ac:dyDescent="0.3">
      <c r="B16" s="114"/>
      <c r="C16" s="115"/>
      <c r="D16" s="115"/>
    </row>
    <row r="17" spans="2:5" ht="16.5" thickBot="1" x14ac:dyDescent="0.3">
      <c r="B17" s="191" t="s">
        <v>76</v>
      </c>
      <c r="C17" s="193"/>
      <c r="D17" s="193"/>
      <c r="E17" s="194"/>
    </row>
    <row r="18" spans="2:5" ht="16.5" thickBot="1" x14ac:dyDescent="0.3">
      <c r="B18" s="116"/>
      <c r="C18" s="87" t="s">
        <v>148</v>
      </c>
      <c r="D18" s="117" t="s">
        <v>136</v>
      </c>
      <c r="E18" s="89" t="s">
        <v>145</v>
      </c>
    </row>
    <row r="19" spans="2:5" s="90" customFormat="1" ht="32.25" thickBot="1" x14ac:dyDescent="0.3">
      <c r="B19" s="118" t="s">
        <v>68</v>
      </c>
      <c r="C19" s="118" t="s">
        <v>18</v>
      </c>
      <c r="D19" s="119" t="s">
        <v>77</v>
      </c>
      <c r="E19" s="118" t="s">
        <v>18</v>
      </c>
    </row>
    <row r="20" spans="2:5" ht="16.5" thickBot="1" x14ac:dyDescent="0.3">
      <c r="B20" s="109" t="s">
        <v>73</v>
      </c>
      <c r="C20" s="110">
        <f>'Heat Load of Alphalaval'!D17</f>
        <v>266.83087027914615</v>
      </c>
      <c r="D20" s="120">
        <f>C20*0.8</f>
        <v>213.46469622331693</v>
      </c>
      <c r="E20" s="110">
        <f>'Heat Load of Alphalaval'!D30</f>
        <v>197.2980203317282</v>
      </c>
    </row>
    <row r="21" spans="2:5" ht="16.5" thickBot="1" x14ac:dyDescent="0.3">
      <c r="B21" s="90"/>
      <c r="C21" s="121"/>
      <c r="D21" s="122"/>
    </row>
    <row r="22" spans="2:5" ht="16.5" thickBot="1" x14ac:dyDescent="0.3">
      <c r="B22" s="123" t="s">
        <v>79</v>
      </c>
      <c r="C22" s="124" t="s">
        <v>21</v>
      </c>
      <c r="D22" s="125">
        <f>D15+D20</f>
        <v>778.8524274005656</v>
      </c>
      <c r="E22" s="126">
        <f>E15+E20</f>
        <v>835.98601605924136</v>
      </c>
    </row>
    <row r="23" spans="2:5" ht="16.5" thickBot="1" x14ac:dyDescent="0.3">
      <c r="D23" s="122"/>
    </row>
    <row r="24" spans="2:5" ht="16.5" thickBot="1" x14ac:dyDescent="0.3">
      <c r="B24" s="127" t="s">
        <v>72</v>
      </c>
      <c r="C24" s="128" t="s">
        <v>21</v>
      </c>
      <c r="D24" s="129">
        <v>860</v>
      </c>
    </row>
    <row r="28" spans="2:5" x14ac:dyDescent="0.25">
      <c r="B28" s="190" t="s">
        <v>78</v>
      </c>
      <c r="C28" s="190"/>
      <c r="D28" s="190"/>
    </row>
    <row r="29" spans="2:5" x14ac:dyDescent="0.25">
      <c r="B29" s="190"/>
      <c r="C29" s="190"/>
      <c r="D29" s="190"/>
    </row>
    <row r="30" spans="2:5" x14ac:dyDescent="0.25">
      <c r="B30" s="190"/>
      <c r="C30" s="190"/>
      <c r="D30" s="190"/>
    </row>
    <row r="31" spans="2:5" x14ac:dyDescent="0.25">
      <c r="B31" s="190"/>
      <c r="C31" s="190"/>
      <c r="D31" s="190"/>
    </row>
    <row r="33" spans="2:4" x14ac:dyDescent="0.25">
      <c r="B33" s="188" t="s">
        <v>146</v>
      </c>
      <c r="C33" s="188"/>
      <c r="D33" s="188"/>
    </row>
    <row r="34" spans="2:4" x14ac:dyDescent="0.25">
      <c r="B34" s="188"/>
      <c r="C34" s="188"/>
      <c r="D34" s="188"/>
    </row>
    <row r="35" spans="2:4" x14ac:dyDescent="0.25">
      <c r="B35" s="188"/>
      <c r="C35" s="188"/>
      <c r="D35" s="188"/>
    </row>
    <row r="36" spans="2:4" x14ac:dyDescent="0.25">
      <c r="B36" s="188"/>
      <c r="C36" s="188"/>
      <c r="D36" s="188"/>
    </row>
  </sheetData>
  <mergeCells count="5">
    <mergeCell ref="B33:D36"/>
    <mergeCell ref="B3:E3"/>
    <mergeCell ref="B28:D31"/>
    <mergeCell ref="B6:E6"/>
    <mergeCell ref="B17:E17"/>
  </mergeCells>
  <pageMargins left="0.7" right="0.7" top="0.75" bottom="0.75" header="0.3" footer="0.3"/>
  <pageSetup scale="98" orientation="portrait" verticalDpi="0" r:id="rId1"/>
  <ignoredErrors>
    <ignoredError sqref="E10 E12:E14 E2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60"/>
  <sheetViews>
    <sheetView tabSelected="1" topLeftCell="H19" workbookViewId="0">
      <selection activeCell="N23" sqref="N23"/>
    </sheetView>
  </sheetViews>
  <sheetFormatPr defaultRowHeight="15" x14ac:dyDescent="0.25"/>
  <cols>
    <col min="2" max="2" width="22.140625" bestFit="1" customWidth="1"/>
    <col min="3" max="4" width="16.28515625" customWidth="1"/>
    <col min="5" max="5" width="13.28515625" customWidth="1"/>
    <col min="6" max="7" width="12.28515625" customWidth="1"/>
    <col min="8" max="8" width="19.7109375" bestFit="1" customWidth="1"/>
    <col min="9" max="9" width="22" bestFit="1" customWidth="1"/>
    <col min="10" max="10" width="28" customWidth="1"/>
    <col min="11" max="11" width="22" customWidth="1"/>
    <col min="12" max="12" width="17.85546875" bestFit="1" customWidth="1"/>
    <col min="13" max="13" width="18.42578125" bestFit="1" customWidth="1"/>
  </cols>
  <sheetData>
    <row r="2" spans="2:13" x14ac:dyDescent="0.25">
      <c r="C2" t="s">
        <v>153</v>
      </c>
    </row>
    <row r="3" spans="2:13" x14ac:dyDescent="0.25">
      <c r="B3" t="s">
        <v>154</v>
      </c>
    </row>
    <row r="5" spans="2:13" ht="30" x14ac:dyDescent="0.25">
      <c r="B5" s="6" t="s">
        <v>155</v>
      </c>
      <c r="C5" s="130" t="s">
        <v>156</v>
      </c>
      <c r="D5" s="130" t="s">
        <v>157</v>
      </c>
      <c r="E5" s="130" t="s">
        <v>158</v>
      </c>
      <c r="F5" s="218" t="s">
        <v>159</v>
      </c>
      <c r="G5" s="219" t="s">
        <v>160</v>
      </c>
      <c r="H5" s="219" t="s">
        <v>161</v>
      </c>
    </row>
    <row r="6" spans="2:13" x14ac:dyDescent="0.25">
      <c r="B6" s="6" t="s">
        <v>162</v>
      </c>
      <c r="C6" s="220">
        <f>1.73*420*220*0.85/1000</f>
        <v>135.87419999999997</v>
      </c>
      <c r="D6" s="220">
        <f>1.73*420*129*0.85/1000</f>
        <v>79.671689999999998</v>
      </c>
      <c r="E6" s="220">
        <f>1.73*420*130*0.85/1000</f>
        <v>80.289299999999997</v>
      </c>
      <c r="F6" s="220">
        <f>1.73*420*116*0.85/1000</f>
        <v>71.64276000000001</v>
      </c>
      <c r="G6" s="39">
        <v>28</v>
      </c>
      <c r="H6" s="39">
        <v>18.5</v>
      </c>
    </row>
    <row r="7" spans="2:13" x14ac:dyDescent="0.25">
      <c r="B7" s="6"/>
      <c r="C7" s="220">
        <f>1.73*420*206*0.85/1000</f>
        <v>127.22766</v>
      </c>
      <c r="D7" s="6"/>
      <c r="E7" s="6"/>
      <c r="F7" s="6"/>
      <c r="G7" s="6"/>
      <c r="H7" s="6"/>
    </row>
    <row r="8" spans="2:13" x14ac:dyDescent="0.25">
      <c r="B8" s="11"/>
      <c r="C8" s="221"/>
      <c r="D8" s="11"/>
      <c r="E8" s="11"/>
      <c r="F8" s="11"/>
      <c r="G8" s="11"/>
      <c r="H8" s="11"/>
    </row>
    <row r="9" spans="2:13" x14ac:dyDescent="0.25">
      <c r="B9" s="39" t="s">
        <v>163</v>
      </c>
      <c r="C9" s="222">
        <v>42675</v>
      </c>
      <c r="D9" s="222">
        <v>42705</v>
      </c>
      <c r="E9" s="222">
        <v>42736</v>
      </c>
      <c r="F9" s="222">
        <v>42767</v>
      </c>
      <c r="G9" s="222">
        <v>42795</v>
      </c>
      <c r="H9" s="11"/>
    </row>
    <row r="10" spans="2:13" x14ac:dyDescent="0.25">
      <c r="B10" s="41" t="s">
        <v>164</v>
      </c>
      <c r="C10" s="39">
        <v>5.66</v>
      </c>
      <c r="D10" s="39">
        <v>6.18</v>
      </c>
      <c r="E10" s="39">
        <v>6.06</v>
      </c>
      <c r="F10" s="39">
        <v>5.99</v>
      </c>
      <c r="G10" s="39">
        <v>5.9</v>
      </c>
    </row>
    <row r="11" spans="2:13" ht="15.75" thickBot="1" x14ac:dyDescent="0.3"/>
    <row r="12" spans="2:13" x14ac:dyDescent="0.25">
      <c r="B12" s="223" t="s">
        <v>165</v>
      </c>
      <c r="C12" s="224" t="s">
        <v>166</v>
      </c>
      <c r="D12" s="151"/>
      <c r="E12" s="151"/>
      <c r="F12" s="224" t="s">
        <v>167</v>
      </c>
      <c r="G12" s="224"/>
      <c r="H12" s="224" t="s">
        <v>168</v>
      </c>
      <c r="I12" s="224" t="s">
        <v>169</v>
      </c>
      <c r="J12" s="225" t="s">
        <v>170</v>
      </c>
      <c r="K12" s="225" t="s">
        <v>171</v>
      </c>
      <c r="L12" s="225" t="s">
        <v>172</v>
      </c>
      <c r="M12" s="226" t="s">
        <v>173</v>
      </c>
    </row>
    <row r="13" spans="2:13" ht="15.75" thickBot="1" x14ac:dyDescent="0.3">
      <c r="B13" s="227"/>
      <c r="C13" s="228"/>
      <c r="D13" s="146"/>
      <c r="E13" s="146"/>
      <c r="F13" s="229" t="s">
        <v>4</v>
      </c>
      <c r="G13" s="229" t="s">
        <v>174</v>
      </c>
      <c r="H13" s="228"/>
      <c r="I13" s="228"/>
      <c r="J13" s="230"/>
      <c r="K13" s="230"/>
      <c r="L13" s="230"/>
      <c r="M13" s="231"/>
    </row>
    <row r="14" spans="2:13" x14ac:dyDescent="0.25">
      <c r="B14" s="232">
        <v>42696</v>
      </c>
      <c r="C14" s="233">
        <v>8</v>
      </c>
      <c r="D14" s="233"/>
      <c r="E14" s="233"/>
      <c r="F14" s="67" t="s">
        <v>175</v>
      </c>
      <c r="G14" s="67" t="s">
        <v>176</v>
      </c>
      <c r="H14" s="67" t="s">
        <v>156</v>
      </c>
      <c r="I14" s="67" t="s">
        <v>177</v>
      </c>
      <c r="J14" s="234">
        <f>$C$7+$G$6</f>
        <v>155.22766000000001</v>
      </c>
      <c r="K14" s="234">
        <f t="shared" ref="K14:K20" si="0">$D$6+$G$6+$F$6+$H$6</f>
        <v>197.81445000000002</v>
      </c>
      <c r="L14" s="234">
        <f>K14-J14</f>
        <v>42.586790000000008</v>
      </c>
      <c r="M14" s="235">
        <f t="shared" ref="M14:M20" si="1">(L14*C14*$C$10)/10^5</f>
        <v>1.9283298512000002E-2</v>
      </c>
    </row>
    <row r="15" spans="2:13" x14ac:dyDescent="0.25">
      <c r="B15" s="236">
        <v>42697</v>
      </c>
      <c r="C15" s="39">
        <v>24</v>
      </c>
      <c r="D15" s="39"/>
      <c r="E15" s="39"/>
      <c r="F15" s="6" t="s">
        <v>175</v>
      </c>
      <c r="G15" s="6" t="s">
        <v>176</v>
      </c>
      <c r="H15" s="6" t="s">
        <v>156</v>
      </c>
      <c r="I15" s="6" t="s">
        <v>177</v>
      </c>
      <c r="J15" s="237">
        <f>$C$7+$G$6</f>
        <v>155.22766000000001</v>
      </c>
      <c r="K15" s="237">
        <f t="shared" si="0"/>
        <v>197.81445000000002</v>
      </c>
      <c r="L15" s="237">
        <f t="shared" ref="L15:L57" si="2">K15-J15</f>
        <v>42.586790000000008</v>
      </c>
      <c r="M15" s="238">
        <f t="shared" si="1"/>
        <v>5.7849895536000014E-2</v>
      </c>
    </row>
    <row r="16" spans="2:13" x14ac:dyDescent="0.25">
      <c r="B16" s="236">
        <v>42698</v>
      </c>
      <c r="C16" s="39">
        <v>24</v>
      </c>
      <c r="D16" s="39"/>
      <c r="E16" s="39"/>
      <c r="F16" s="6" t="s">
        <v>175</v>
      </c>
      <c r="G16" s="6" t="s">
        <v>176</v>
      </c>
      <c r="H16" s="6" t="s">
        <v>157</v>
      </c>
      <c r="I16" s="6" t="s">
        <v>177</v>
      </c>
      <c r="J16" s="237">
        <f>$D$6+$G$6</f>
        <v>107.67169</v>
      </c>
      <c r="K16" s="237">
        <f t="shared" si="0"/>
        <v>197.81445000000002</v>
      </c>
      <c r="L16" s="237">
        <f t="shared" si="2"/>
        <v>90.142760000000024</v>
      </c>
      <c r="M16" s="238">
        <f t="shared" si="1"/>
        <v>0.12244992518400004</v>
      </c>
    </row>
    <row r="17" spans="2:13" x14ac:dyDescent="0.25">
      <c r="B17" s="236">
        <v>42699</v>
      </c>
      <c r="C17" s="39">
        <v>24</v>
      </c>
      <c r="D17" s="39"/>
      <c r="E17" s="39"/>
      <c r="F17" s="6" t="s">
        <v>175</v>
      </c>
      <c r="G17" s="6" t="s">
        <v>176</v>
      </c>
      <c r="H17" s="6" t="s">
        <v>157</v>
      </c>
      <c r="I17" s="6" t="s">
        <v>177</v>
      </c>
      <c r="J17" s="237">
        <f>$D$6+$G$6</f>
        <v>107.67169</v>
      </c>
      <c r="K17" s="237">
        <f t="shared" si="0"/>
        <v>197.81445000000002</v>
      </c>
      <c r="L17" s="237">
        <f t="shared" si="2"/>
        <v>90.142760000000024</v>
      </c>
      <c r="M17" s="238">
        <f t="shared" si="1"/>
        <v>0.12244992518400004</v>
      </c>
    </row>
    <row r="18" spans="2:13" x14ac:dyDescent="0.25">
      <c r="B18" s="236">
        <v>42700</v>
      </c>
      <c r="C18" s="39">
        <v>24</v>
      </c>
      <c r="D18" s="39"/>
      <c r="E18" s="39"/>
      <c r="F18" s="6" t="s">
        <v>175</v>
      </c>
      <c r="G18" s="6" t="s">
        <v>176</v>
      </c>
      <c r="H18" s="6" t="s">
        <v>157</v>
      </c>
      <c r="I18" s="6" t="s">
        <v>177</v>
      </c>
      <c r="J18" s="237">
        <f>$D$6+$G$6</f>
        <v>107.67169</v>
      </c>
      <c r="K18" s="237">
        <f t="shared" si="0"/>
        <v>197.81445000000002</v>
      </c>
      <c r="L18" s="237">
        <f t="shared" si="2"/>
        <v>90.142760000000024</v>
      </c>
      <c r="M18" s="238">
        <f t="shared" si="1"/>
        <v>0.12244992518400004</v>
      </c>
    </row>
    <row r="19" spans="2:13" x14ac:dyDescent="0.25">
      <c r="B19" s="236">
        <v>42701</v>
      </c>
      <c r="C19" s="39">
        <v>24</v>
      </c>
      <c r="D19" s="39"/>
      <c r="E19" s="39"/>
      <c r="F19" s="6" t="s">
        <v>175</v>
      </c>
      <c r="G19" s="6" t="s">
        <v>176</v>
      </c>
      <c r="H19" s="6" t="s">
        <v>157</v>
      </c>
      <c r="I19" s="6" t="s">
        <v>177</v>
      </c>
      <c r="J19" s="237">
        <f>$D$6+$G$6</f>
        <v>107.67169</v>
      </c>
      <c r="K19" s="237">
        <f t="shared" si="0"/>
        <v>197.81445000000002</v>
      </c>
      <c r="L19" s="237">
        <f t="shared" si="2"/>
        <v>90.142760000000024</v>
      </c>
      <c r="M19" s="238">
        <f t="shared" si="1"/>
        <v>0.12244992518400004</v>
      </c>
    </row>
    <row r="20" spans="2:13" x14ac:dyDescent="0.25">
      <c r="B20" s="236">
        <v>42702</v>
      </c>
      <c r="C20" s="39">
        <v>24</v>
      </c>
      <c r="D20" s="39"/>
      <c r="E20" s="39"/>
      <c r="F20" s="6" t="s">
        <v>175</v>
      </c>
      <c r="G20" s="6" t="s">
        <v>176</v>
      </c>
      <c r="H20" s="6" t="s">
        <v>157</v>
      </c>
      <c r="I20" s="6" t="s">
        <v>177</v>
      </c>
      <c r="J20" s="237">
        <f>$D$6+$G$6</f>
        <v>107.67169</v>
      </c>
      <c r="K20" s="237">
        <f t="shared" si="0"/>
        <v>197.81445000000002</v>
      </c>
      <c r="L20" s="237">
        <f t="shared" si="2"/>
        <v>90.142760000000024</v>
      </c>
      <c r="M20" s="238">
        <f t="shared" si="1"/>
        <v>0.12244992518400004</v>
      </c>
    </row>
    <row r="21" spans="2:13" x14ac:dyDescent="0.25">
      <c r="B21" s="236">
        <v>42703</v>
      </c>
      <c r="C21" s="39">
        <v>24</v>
      </c>
      <c r="D21" s="39"/>
      <c r="E21" s="39"/>
      <c r="F21" s="6" t="s">
        <v>175</v>
      </c>
      <c r="G21" s="6" t="s">
        <v>176</v>
      </c>
      <c r="H21" s="6" t="s">
        <v>178</v>
      </c>
      <c r="I21" s="6" t="s">
        <v>179</v>
      </c>
      <c r="J21" s="41"/>
      <c r="K21" s="41"/>
      <c r="L21" s="237"/>
      <c r="M21" s="238"/>
    </row>
    <row r="22" spans="2:13" x14ac:dyDescent="0.25">
      <c r="B22" s="236">
        <v>42704</v>
      </c>
      <c r="C22" s="39">
        <v>24</v>
      </c>
      <c r="D22" s="39"/>
      <c r="E22" s="39"/>
      <c r="F22" s="6" t="s">
        <v>176</v>
      </c>
      <c r="G22" s="6" t="s">
        <v>176</v>
      </c>
      <c r="H22" s="6" t="s">
        <v>180</v>
      </c>
      <c r="I22" s="6" t="s">
        <v>177</v>
      </c>
      <c r="J22" s="237">
        <f>$C$6+$E$6+$G$6</f>
        <v>244.16349999999997</v>
      </c>
      <c r="K22" s="237">
        <f>$D$6+$E$6+$F$6+$G$6+$H$6</f>
        <v>278.10374999999999</v>
      </c>
      <c r="L22" s="237">
        <f t="shared" si="2"/>
        <v>33.94025000000002</v>
      </c>
      <c r="M22" s="238">
        <f>(L22*C22*$C$10)/10^5</f>
        <v>4.6104435600000021E-2</v>
      </c>
    </row>
    <row r="23" spans="2:13" ht="18.75" x14ac:dyDescent="0.3">
      <c r="B23" s="239"/>
      <c r="C23" s="39"/>
      <c r="D23" s="39"/>
      <c r="E23" s="39"/>
      <c r="F23" s="6"/>
      <c r="G23" s="6"/>
      <c r="H23" s="6"/>
      <c r="I23" s="6"/>
      <c r="J23" s="237"/>
      <c r="K23" s="237"/>
      <c r="L23" s="237"/>
      <c r="M23" s="240">
        <f>SUM(M14:M22)</f>
        <v>0.73548725556800021</v>
      </c>
    </row>
    <row r="24" spans="2:13" ht="15.75" thickBot="1" x14ac:dyDescent="0.3"/>
    <row r="25" spans="2:13" x14ac:dyDescent="0.25">
      <c r="B25" s="223" t="s">
        <v>165</v>
      </c>
      <c r="C25" s="224" t="s">
        <v>166</v>
      </c>
      <c r="D25" s="151"/>
      <c r="E25" s="151"/>
      <c r="F25" s="224" t="s">
        <v>167</v>
      </c>
      <c r="G25" s="224"/>
      <c r="H25" s="224" t="s">
        <v>168</v>
      </c>
      <c r="I25" s="224" t="s">
        <v>169</v>
      </c>
      <c r="J25" s="225" t="s">
        <v>170</v>
      </c>
      <c r="K25" s="225" t="s">
        <v>171</v>
      </c>
      <c r="L25" s="225" t="s">
        <v>172</v>
      </c>
      <c r="M25" s="226" t="s">
        <v>173</v>
      </c>
    </row>
    <row r="26" spans="2:13" ht="15.75" thickBot="1" x14ac:dyDescent="0.3">
      <c r="B26" s="227"/>
      <c r="C26" s="228"/>
      <c r="D26" s="146"/>
      <c r="E26" s="146"/>
      <c r="F26" s="229" t="s">
        <v>4</v>
      </c>
      <c r="G26" s="229" t="s">
        <v>174</v>
      </c>
      <c r="H26" s="228"/>
      <c r="I26" s="228"/>
      <c r="J26" s="230"/>
      <c r="K26" s="230"/>
      <c r="L26" s="230"/>
      <c r="M26" s="231"/>
    </row>
    <row r="27" spans="2:13" x14ac:dyDescent="0.25">
      <c r="B27" s="236">
        <v>42705</v>
      </c>
      <c r="C27" s="39">
        <v>24</v>
      </c>
      <c r="D27" s="39"/>
      <c r="E27" s="39"/>
      <c r="F27" s="6" t="s">
        <v>176</v>
      </c>
      <c r="G27" s="6" t="s">
        <v>176</v>
      </c>
      <c r="H27" s="6" t="s">
        <v>180</v>
      </c>
      <c r="I27" s="6" t="s">
        <v>177</v>
      </c>
      <c r="J27" s="237">
        <f>$C$6+$E$6+$G$6</f>
        <v>244.16349999999997</v>
      </c>
      <c r="K27" s="237">
        <f>$D$6+$E$6+$F$6+$G$6+$H$6</f>
        <v>278.10374999999999</v>
      </c>
      <c r="L27" s="237">
        <f t="shared" si="2"/>
        <v>33.94025000000002</v>
      </c>
      <c r="M27" s="241">
        <f t="shared" ref="M27:M57" si="3">L27*C27*$D$10/10^5</f>
        <v>5.0340178800000031E-2</v>
      </c>
    </row>
    <row r="28" spans="2:13" x14ac:dyDescent="0.25">
      <c r="B28" s="236">
        <v>42706</v>
      </c>
      <c r="C28" s="39">
        <v>24</v>
      </c>
      <c r="D28" s="39"/>
      <c r="E28" s="39"/>
      <c r="F28" s="6" t="s">
        <v>176</v>
      </c>
      <c r="G28" s="6" t="s">
        <v>176</v>
      </c>
      <c r="H28" s="6" t="s">
        <v>180</v>
      </c>
      <c r="I28" s="6" t="s">
        <v>177</v>
      </c>
      <c r="J28" s="237">
        <f>$C$6+$E$6+$G$6</f>
        <v>244.16349999999997</v>
      </c>
      <c r="K28" s="237">
        <f>$D$6+$E$6+$F$6+$G$6+$H$6</f>
        <v>278.10374999999999</v>
      </c>
      <c r="L28" s="237">
        <f t="shared" si="2"/>
        <v>33.94025000000002</v>
      </c>
      <c r="M28" s="241">
        <f t="shared" si="3"/>
        <v>5.0340178800000031E-2</v>
      </c>
    </row>
    <row r="29" spans="2:13" x14ac:dyDescent="0.25">
      <c r="B29" s="236">
        <v>42707</v>
      </c>
      <c r="C29" s="39">
        <v>24</v>
      </c>
      <c r="D29" s="39"/>
      <c r="E29" s="39"/>
      <c r="F29" s="6" t="s">
        <v>176</v>
      </c>
      <c r="G29" s="6" t="s">
        <v>176</v>
      </c>
      <c r="H29" s="6" t="s">
        <v>180</v>
      </c>
      <c r="I29" s="6" t="s">
        <v>177</v>
      </c>
      <c r="J29" s="237">
        <f>$C$6+$E$6+$G$6</f>
        <v>244.16349999999997</v>
      </c>
      <c r="K29" s="237">
        <f>$D$6+$E$6+$F$6+$G$6+$H$6</f>
        <v>278.10374999999999</v>
      </c>
      <c r="L29" s="237">
        <f t="shared" si="2"/>
        <v>33.94025000000002</v>
      </c>
      <c r="M29" s="241">
        <f t="shared" si="3"/>
        <v>5.0340178800000031E-2</v>
      </c>
    </row>
    <row r="30" spans="2:13" x14ac:dyDescent="0.25">
      <c r="B30" s="236">
        <v>42708</v>
      </c>
      <c r="C30" s="39">
        <v>24</v>
      </c>
      <c r="D30" s="39"/>
      <c r="E30" s="39"/>
      <c r="F30" s="6" t="s">
        <v>176</v>
      </c>
      <c r="G30" s="6" t="s">
        <v>176</v>
      </c>
      <c r="H30" s="6" t="s">
        <v>180</v>
      </c>
      <c r="I30" s="6" t="s">
        <v>177</v>
      </c>
      <c r="J30" s="237">
        <f>$C$6+$E$6+$G$6</f>
        <v>244.16349999999997</v>
      </c>
      <c r="K30" s="237">
        <f>$D$6+$E$6+$F$6+$G$6+$H$6</f>
        <v>278.10374999999999</v>
      </c>
      <c r="L30" s="237">
        <f t="shared" si="2"/>
        <v>33.94025000000002</v>
      </c>
      <c r="M30" s="241">
        <f t="shared" si="3"/>
        <v>5.0340178800000031E-2</v>
      </c>
    </row>
    <row r="31" spans="2:13" x14ac:dyDescent="0.25">
      <c r="B31" s="236">
        <v>42709</v>
      </c>
      <c r="C31" s="39">
        <v>24</v>
      </c>
      <c r="D31" s="39"/>
      <c r="E31" s="39"/>
      <c r="F31" s="6" t="s">
        <v>176</v>
      </c>
      <c r="G31" s="6" t="s">
        <v>176</v>
      </c>
      <c r="H31" s="6" t="s">
        <v>180</v>
      </c>
      <c r="I31" s="6" t="s">
        <v>177</v>
      </c>
      <c r="J31" s="237">
        <f>$C$6+$E$6+$G$6</f>
        <v>244.16349999999997</v>
      </c>
      <c r="K31" s="237">
        <f>$D$6+$E$6+$F$6+$G$6+$H$6</f>
        <v>278.10374999999999</v>
      </c>
      <c r="L31" s="237">
        <f t="shared" si="2"/>
        <v>33.94025000000002</v>
      </c>
      <c r="M31" s="241">
        <f t="shared" si="3"/>
        <v>5.0340178800000031E-2</v>
      </c>
    </row>
    <row r="32" spans="2:13" x14ac:dyDescent="0.25">
      <c r="B32" s="236">
        <v>42710</v>
      </c>
      <c r="C32" s="39">
        <v>24</v>
      </c>
      <c r="D32" s="39"/>
      <c r="E32" s="39"/>
      <c r="F32" s="6" t="s">
        <v>176</v>
      </c>
      <c r="G32" s="6" t="s">
        <v>176</v>
      </c>
      <c r="H32" s="6" t="s">
        <v>181</v>
      </c>
      <c r="I32" s="6" t="s">
        <v>177</v>
      </c>
      <c r="J32" s="237">
        <f>$C$7+$D$6+$E$6+$G$6</f>
        <v>315.18865</v>
      </c>
      <c r="K32" s="237">
        <f>$C$6+$E$6+$F$6+$G$6+$H$6</f>
        <v>334.30625999999995</v>
      </c>
      <c r="L32" s="237">
        <f t="shared" si="2"/>
        <v>19.117609999999956</v>
      </c>
      <c r="M32" s="241">
        <f t="shared" si="3"/>
        <v>2.8355239151999934E-2</v>
      </c>
    </row>
    <row r="33" spans="2:13" x14ac:dyDescent="0.25">
      <c r="B33" s="236">
        <v>42711</v>
      </c>
      <c r="C33" s="39">
        <v>24</v>
      </c>
      <c r="D33" s="39"/>
      <c r="E33" s="39"/>
      <c r="F33" s="6" t="s">
        <v>176</v>
      </c>
      <c r="G33" s="6" t="s">
        <v>176</v>
      </c>
      <c r="H33" s="6" t="s">
        <v>181</v>
      </c>
      <c r="I33" s="6" t="s">
        <v>177</v>
      </c>
      <c r="J33" s="237">
        <f>$C$7+$D$6+$E$6+$G$6</f>
        <v>315.18865</v>
      </c>
      <c r="K33" s="237">
        <f>$C$6+$E$6+$F$6+$G$6+$H$6</f>
        <v>334.30625999999995</v>
      </c>
      <c r="L33" s="237">
        <f t="shared" si="2"/>
        <v>19.117609999999956</v>
      </c>
      <c r="M33" s="241">
        <f t="shared" si="3"/>
        <v>2.8355239151999934E-2</v>
      </c>
    </row>
    <row r="34" spans="2:13" x14ac:dyDescent="0.25">
      <c r="B34" s="236">
        <v>42712</v>
      </c>
      <c r="C34" s="39">
        <v>24</v>
      </c>
      <c r="D34" s="39"/>
      <c r="E34" s="39"/>
      <c r="F34" s="6" t="s">
        <v>175</v>
      </c>
      <c r="G34" s="6" t="s">
        <v>176</v>
      </c>
      <c r="H34" s="6" t="s">
        <v>182</v>
      </c>
      <c r="I34" s="6" t="s">
        <v>177</v>
      </c>
      <c r="J34" s="237">
        <f>$D$6+$E$6+$G$6</f>
        <v>187.96098999999998</v>
      </c>
      <c r="K34" s="237">
        <f>$D$6+$F$6+$H$6+$G$6</f>
        <v>197.81445000000002</v>
      </c>
      <c r="L34" s="237">
        <f t="shared" si="2"/>
        <v>9.853460000000041</v>
      </c>
      <c r="M34" s="241">
        <f t="shared" si="3"/>
        <v>1.461465187200006E-2</v>
      </c>
    </row>
    <row r="35" spans="2:13" x14ac:dyDescent="0.25">
      <c r="B35" s="236">
        <v>42713</v>
      </c>
      <c r="C35" s="39">
        <v>24</v>
      </c>
      <c r="D35" s="39"/>
      <c r="E35" s="39"/>
      <c r="F35" s="6" t="s">
        <v>175</v>
      </c>
      <c r="G35" s="6" t="s">
        <v>176</v>
      </c>
      <c r="H35" s="6" t="s">
        <v>182</v>
      </c>
      <c r="I35" s="6" t="s">
        <v>177</v>
      </c>
      <c r="J35" s="237">
        <f>$D$6+$E$6+$G$6</f>
        <v>187.96098999999998</v>
      </c>
      <c r="K35" s="237">
        <f>$D$6+$F$6+$H$6+$G$6</f>
        <v>197.81445000000002</v>
      </c>
      <c r="L35" s="237">
        <f t="shared" si="2"/>
        <v>9.853460000000041</v>
      </c>
      <c r="M35" s="241">
        <f t="shared" si="3"/>
        <v>1.461465187200006E-2</v>
      </c>
    </row>
    <row r="36" spans="2:13" x14ac:dyDescent="0.25">
      <c r="B36" s="236">
        <v>42714</v>
      </c>
      <c r="C36" s="39">
        <v>24</v>
      </c>
      <c r="D36" s="39"/>
      <c r="E36" s="39"/>
      <c r="F36" s="6" t="s">
        <v>175</v>
      </c>
      <c r="G36" s="6" t="s">
        <v>176</v>
      </c>
      <c r="H36" s="6" t="s">
        <v>158</v>
      </c>
      <c r="I36" s="6" t="s">
        <v>177</v>
      </c>
      <c r="J36" s="237">
        <f t="shared" ref="J36:J41" si="4">$E$6+$G$6</f>
        <v>108.2893</v>
      </c>
      <c r="K36" s="237">
        <f t="shared" ref="K36:K41" si="5">$D$6+$F$6+$G$6+$H$6</f>
        <v>197.81445000000002</v>
      </c>
      <c r="L36" s="237">
        <f t="shared" si="2"/>
        <v>89.525150000000025</v>
      </c>
      <c r="M36" s="241">
        <f t="shared" si="3"/>
        <v>0.13278370248000002</v>
      </c>
    </row>
    <row r="37" spans="2:13" x14ac:dyDescent="0.25">
      <c r="B37" s="236">
        <v>42715</v>
      </c>
      <c r="C37" s="39">
        <v>24</v>
      </c>
      <c r="D37" s="39"/>
      <c r="E37" s="39"/>
      <c r="F37" s="6" t="s">
        <v>175</v>
      </c>
      <c r="G37" s="6" t="s">
        <v>176</v>
      </c>
      <c r="H37" s="6" t="s">
        <v>158</v>
      </c>
      <c r="I37" s="6" t="s">
        <v>177</v>
      </c>
      <c r="J37" s="237">
        <f t="shared" si="4"/>
        <v>108.2893</v>
      </c>
      <c r="K37" s="237">
        <f t="shared" si="5"/>
        <v>197.81445000000002</v>
      </c>
      <c r="L37" s="237">
        <f t="shared" si="2"/>
        <v>89.525150000000025</v>
      </c>
      <c r="M37" s="241">
        <f t="shared" si="3"/>
        <v>0.13278370248000002</v>
      </c>
    </row>
    <row r="38" spans="2:13" x14ac:dyDescent="0.25">
      <c r="B38" s="236">
        <v>42716</v>
      </c>
      <c r="C38" s="39">
        <v>24</v>
      </c>
      <c r="D38" s="39"/>
      <c r="E38" s="39"/>
      <c r="F38" s="6" t="s">
        <v>175</v>
      </c>
      <c r="G38" s="6" t="s">
        <v>176</v>
      </c>
      <c r="H38" s="6" t="s">
        <v>158</v>
      </c>
      <c r="I38" s="6" t="s">
        <v>177</v>
      </c>
      <c r="J38" s="237">
        <f t="shared" si="4"/>
        <v>108.2893</v>
      </c>
      <c r="K38" s="237">
        <f t="shared" si="5"/>
        <v>197.81445000000002</v>
      </c>
      <c r="L38" s="237">
        <f t="shared" si="2"/>
        <v>89.525150000000025</v>
      </c>
      <c r="M38" s="241">
        <f t="shared" si="3"/>
        <v>0.13278370248000002</v>
      </c>
    </row>
    <row r="39" spans="2:13" x14ac:dyDescent="0.25">
      <c r="B39" s="236">
        <v>42717</v>
      </c>
      <c r="C39" s="39">
        <v>24</v>
      </c>
      <c r="D39" s="39"/>
      <c r="E39" s="39"/>
      <c r="F39" s="6" t="s">
        <v>175</v>
      </c>
      <c r="G39" s="6" t="s">
        <v>176</v>
      </c>
      <c r="H39" s="6" t="s">
        <v>158</v>
      </c>
      <c r="I39" s="6" t="s">
        <v>177</v>
      </c>
      <c r="J39" s="237">
        <f t="shared" si="4"/>
        <v>108.2893</v>
      </c>
      <c r="K39" s="237">
        <f t="shared" si="5"/>
        <v>197.81445000000002</v>
      </c>
      <c r="L39" s="237">
        <f t="shared" si="2"/>
        <v>89.525150000000025</v>
      </c>
      <c r="M39" s="241">
        <f t="shared" si="3"/>
        <v>0.13278370248000002</v>
      </c>
    </row>
    <row r="40" spans="2:13" x14ac:dyDescent="0.25">
      <c r="B40" s="236">
        <v>42718</v>
      </c>
      <c r="C40" s="39">
        <v>24</v>
      </c>
      <c r="D40" s="39"/>
      <c r="E40" s="39"/>
      <c r="F40" s="6" t="s">
        <v>175</v>
      </c>
      <c r="G40" s="6" t="s">
        <v>176</v>
      </c>
      <c r="H40" s="6" t="s">
        <v>157</v>
      </c>
      <c r="I40" s="6" t="s">
        <v>177</v>
      </c>
      <c r="J40" s="237">
        <f t="shared" si="4"/>
        <v>108.2893</v>
      </c>
      <c r="K40" s="237">
        <f t="shared" si="5"/>
        <v>197.81445000000002</v>
      </c>
      <c r="L40" s="237">
        <f t="shared" si="2"/>
        <v>89.525150000000025</v>
      </c>
      <c r="M40" s="241">
        <f t="shared" si="3"/>
        <v>0.13278370248000002</v>
      </c>
    </row>
    <row r="41" spans="2:13" x14ac:dyDescent="0.25">
      <c r="B41" s="236">
        <v>42719</v>
      </c>
      <c r="C41" s="39">
        <v>24</v>
      </c>
      <c r="D41" s="39"/>
      <c r="E41" s="39"/>
      <c r="F41" s="6" t="s">
        <v>175</v>
      </c>
      <c r="G41" s="6" t="s">
        <v>176</v>
      </c>
      <c r="H41" s="6" t="s">
        <v>157</v>
      </c>
      <c r="I41" s="6" t="s">
        <v>177</v>
      </c>
      <c r="J41" s="237">
        <f t="shared" si="4"/>
        <v>108.2893</v>
      </c>
      <c r="K41" s="237">
        <f t="shared" si="5"/>
        <v>197.81445000000002</v>
      </c>
      <c r="L41" s="237">
        <f t="shared" si="2"/>
        <v>89.525150000000025</v>
      </c>
      <c r="M41" s="241">
        <f t="shared" si="3"/>
        <v>0.13278370248000002</v>
      </c>
    </row>
    <row r="42" spans="2:13" x14ac:dyDescent="0.25">
      <c r="B42" s="236">
        <v>42720</v>
      </c>
      <c r="C42" s="39">
        <v>24</v>
      </c>
      <c r="D42" s="39"/>
      <c r="E42" s="39"/>
      <c r="F42" s="6" t="s">
        <v>176</v>
      </c>
      <c r="G42" s="6" t="s">
        <v>176</v>
      </c>
      <c r="H42" s="6" t="s">
        <v>180</v>
      </c>
      <c r="I42" s="6" t="s">
        <v>177</v>
      </c>
      <c r="J42" s="237">
        <f>$C$6+$E$6+$G$6</f>
        <v>244.16349999999997</v>
      </c>
      <c r="K42" s="237">
        <f>$D$6+$E$6+$F$6+$G$6+$H$6</f>
        <v>278.10374999999999</v>
      </c>
      <c r="L42" s="237">
        <f t="shared" si="2"/>
        <v>33.94025000000002</v>
      </c>
      <c r="M42" s="241">
        <f t="shared" si="3"/>
        <v>5.0340178800000031E-2</v>
      </c>
    </row>
    <row r="43" spans="2:13" x14ac:dyDescent="0.25">
      <c r="B43" s="236">
        <v>42721</v>
      </c>
      <c r="C43" s="39">
        <v>24</v>
      </c>
      <c r="D43" s="39"/>
      <c r="E43" s="39"/>
      <c r="F43" s="6" t="s">
        <v>176</v>
      </c>
      <c r="G43" s="6" t="s">
        <v>176</v>
      </c>
      <c r="H43" s="6" t="s">
        <v>180</v>
      </c>
      <c r="I43" s="6" t="s">
        <v>177</v>
      </c>
      <c r="J43" s="237">
        <f>$C$6+$E$6+$G$6</f>
        <v>244.16349999999997</v>
      </c>
      <c r="K43" s="237">
        <f>$D$6+$E$6+$F$6+$G$6+$H$6</f>
        <v>278.10374999999999</v>
      </c>
      <c r="L43" s="237">
        <f t="shared" si="2"/>
        <v>33.94025000000002</v>
      </c>
      <c r="M43" s="241">
        <f t="shared" si="3"/>
        <v>5.0340178800000031E-2</v>
      </c>
    </row>
    <row r="44" spans="2:13" x14ac:dyDescent="0.25">
      <c r="B44" s="236">
        <v>42722</v>
      </c>
      <c r="C44" s="39">
        <v>24</v>
      </c>
      <c r="D44" s="39"/>
      <c r="E44" s="39"/>
      <c r="F44" s="6" t="s">
        <v>176</v>
      </c>
      <c r="G44" s="6" t="s">
        <v>176</v>
      </c>
      <c r="H44" s="6" t="s">
        <v>158</v>
      </c>
      <c r="I44" s="6" t="s">
        <v>177</v>
      </c>
      <c r="J44" s="237">
        <f t="shared" ref="J44:J50" si="6">$E$6+$G$6</f>
        <v>108.2893</v>
      </c>
      <c r="K44" s="237">
        <f t="shared" ref="K44:K50" si="7">$D$6+$F$6+$G$6+$H$6</f>
        <v>197.81445000000002</v>
      </c>
      <c r="L44" s="237">
        <f t="shared" si="2"/>
        <v>89.525150000000025</v>
      </c>
      <c r="M44" s="241">
        <f t="shared" si="3"/>
        <v>0.13278370248000002</v>
      </c>
    </row>
    <row r="45" spans="2:13" x14ac:dyDescent="0.25">
      <c r="B45" s="236">
        <v>42723</v>
      </c>
      <c r="C45" s="39">
        <v>24</v>
      </c>
      <c r="D45" s="39"/>
      <c r="E45" s="39"/>
      <c r="F45" s="6" t="s">
        <v>176</v>
      </c>
      <c r="G45" s="6" t="s">
        <v>176</v>
      </c>
      <c r="H45" s="6" t="s">
        <v>158</v>
      </c>
      <c r="I45" s="6" t="s">
        <v>177</v>
      </c>
      <c r="J45" s="237">
        <f t="shared" si="6"/>
        <v>108.2893</v>
      </c>
      <c r="K45" s="237">
        <f t="shared" si="7"/>
        <v>197.81445000000002</v>
      </c>
      <c r="L45" s="237">
        <f t="shared" si="2"/>
        <v>89.525150000000025</v>
      </c>
      <c r="M45" s="241">
        <f t="shared" si="3"/>
        <v>0.13278370248000002</v>
      </c>
    </row>
    <row r="46" spans="2:13" x14ac:dyDescent="0.25">
      <c r="B46" s="236">
        <v>42724</v>
      </c>
      <c r="C46" s="39">
        <v>24</v>
      </c>
      <c r="D46" s="39"/>
      <c r="E46" s="39"/>
      <c r="F46" s="6" t="s">
        <v>176</v>
      </c>
      <c r="G46" s="6" t="s">
        <v>176</v>
      </c>
      <c r="H46" s="6" t="s">
        <v>158</v>
      </c>
      <c r="I46" s="6" t="s">
        <v>177</v>
      </c>
      <c r="J46" s="237">
        <f t="shared" si="6"/>
        <v>108.2893</v>
      </c>
      <c r="K46" s="237">
        <f t="shared" si="7"/>
        <v>197.81445000000002</v>
      </c>
      <c r="L46" s="237">
        <f t="shared" si="2"/>
        <v>89.525150000000025</v>
      </c>
      <c r="M46" s="241">
        <f t="shared" si="3"/>
        <v>0.13278370248000002</v>
      </c>
    </row>
    <row r="47" spans="2:13" x14ac:dyDescent="0.25">
      <c r="B47" s="236">
        <v>42725</v>
      </c>
      <c r="C47" s="39">
        <v>24</v>
      </c>
      <c r="D47" s="39"/>
      <c r="E47" s="39"/>
      <c r="F47" s="6" t="s">
        <v>176</v>
      </c>
      <c r="G47" s="6" t="s">
        <v>176</v>
      </c>
      <c r="H47" s="6" t="s">
        <v>158</v>
      </c>
      <c r="I47" s="6" t="s">
        <v>177</v>
      </c>
      <c r="J47" s="237">
        <f t="shared" si="6"/>
        <v>108.2893</v>
      </c>
      <c r="K47" s="237">
        <f t="shared" si="7"/>
        <v>197.81445000000002</v>
      </c>
      <c r="L47" s="237">
        <f t="shared" si="2"/>
        <v>89.525150000000025</v>
      </c>
      <c r="M47" s="241">
        <f t="shared" si="3"/>
        <v>0.13278370248000002</v>
      </c>
    </row>
    <row r="48" spans="2:13" x14ac:dyDescent="0.25">
      <c r="B48" s="236">
        <v>42726</v>
      </c>
      <c r="C48" s="39">
        <v>24</v>
      </c>
      <c r="D48" s="39"/>
      <c r="E48" s="39"/>
      <c r="F48" s="6" t="s">
        <v>176</v>
      </c>
      <c r="G48" s="6" t="s">
        <v>176</v>
      </c>
      <c r="H48" s="6" t="s">
        <v>158</v>
      </c>
      <c r="I48" s="6" t="s">
        <v>177</v>
      </c>
      <c r="J48" s="237">
        <f t="shared" si="6"/>
        <v>108.2893</v>
      </c>
      <c r="K48" s="237">
        <f t="shared" si="7"/>
        <v>197.81445000000002</v>
      </c>
      <c r="L48" s="237">
        <f t="shared" si="2"/>
        <v>89.525150000000025</v>
      </c>
      <c r="M48" s="241">
        <f t="shared" si="3"/>
        <v>0.13278370248000002</v>
      </c>
    </row>
    <row r="49" spans="2:13" x14ac:dyDescent="0.25">
      <c r="B49" s="236">
        <v>42727</v>
      </c>
      <c r="C49" s="39">
        <v>24</v>
      </c>
      <c r="D49" s="39"/>
      <c r="E49" s="39"/>
      <c r="F49" s="6" t="s">
        <v>176</v>
      </c>
      <c r="G49" s="6" t="s">
        <v>176</v>
      </c>
      <c r="H49" s="6" t="s">
        <v>158</v>
      </c>
      <c r="I49" s="6" t="s">
        <v>177</v>
      </c>
      <c r="J49" s="237">
        <f t="shared" si="6"/>
        <v>108.2893</v>
      </c>
      <c r="K49" s="237">
        <f t="shared" si="7"/>
        <v>197.81445000000002</v>
      </c>
      <c r="L49" s="237">
        <f t="shared" si="2"/>
        <v>89.525150000000025</v>
      </c>
      <c r="M49" s="241">
        <f t="shared" si="3"/>
        <v>0.13278370248000002</v>
      </c>
    </row>
    <row r="50" spans="2:13" x14ac:dyDescent="0.25">
      <c r="B50" s="236">
        <v>42728</v>
      </c>
      <c r="C50" s="39">
        <v>24</v>
      </c>
      <c r="D50" s="39"/>
      <c r="E50" s="39"/>
      <c r="F50" s="6" t="s">
        <v>176</v>
      </c>
      <c r="G50" s="6" t="s">
        <v>176</v>
      </c>
      <c r="H50" s="6" t="s">
        <v>158</v>
      </c>
      <c r="I50" s="6" t="s">
        <v>177</v>
      </c>
      <c r="J50" s="237">
        <f t="shared" si="6"/>
        <v>108.2893</v>
      </c>
      <c r="K50" s="237">
        <f t="shared" si="7"/>
        <v>197.81445000000002</v>
      </c>
      <c r="L50" s="237">
        <f t="shared" si="2"/>
        <v>89.525150000000025</v>
      </c>
      <c r="M50" s="241">
        <f t="shared" si="3"/>
        <v>0.13278370248000002</v>
      </c>
    </row>
    <row r="51" spans="2:13" x14ac:dyDescent="0.25">
      <c r="B51" s="236">
        <v>42729</v>
      </c>
      <c r="C51" s="39">
        <v>24</v>
      </c>
      <c r="D51" s="39"/>
      <c r="E51" s="39"/>
      <c r="F51" s="6" t="s">
        <v>176</v>
      </c>
      <c r="G51" s="6" t="s">
        <v>176</v>
      </c>
      <c r="H51" s="6" t="s">
        <v>180</v>
      </c>
      <c r="I51" s="6" t="s">
        <v>177</v>
      </c>
      <c r="J51" s="237">
        <f>$C$6+$E$6+$G$6</f>
        <v>244.16349999999997</v>
      </c>
      <c r="K51" s="237">
        <f>$D$6+$E$6+$F$6+$G$6+$H$6</f>
        <v>278.10374999999999</v>
      </c>
      <c r="L51" s="237">
        <f t="shared" si="2"/>
        <v>33.94025000000002</v>
      </c>
      <c r="M51" s="241">
        <f t="shared" si="3"/>
        <v>5.0340178800000031E-2</v>
      </c>
    </row>
    <row r="52" spans="2:13" x14ac:dyDescent="0.25">
      <c r="B52" s="236">
        <v>42730</v>
      </c>
      <c r="C52" s="39">
        <v>24</v>
      </c>
      <c r="D52" s="39"/>
      <c r="E52" s="39"/>
      <c r="F52" s="6" t="s">
        <v>176</v>
      </c>
      <c r="G52" s="6" t="s">
        <v>176</v>
      </c>
      <c r="H52" s="6" t="s">
        <v>180</v>
      </c>
      <c r="I52" s="6" t="s">
        <v>177</v>
      </c>
      <c r="J52" s="237">
        <f>$C$6+$E$6+$G$6</f>
        <v>244.16349999999997</v>
      </c>
      <c r="K52" s="237">
        <f>$D$6+$E$6+$F$6+$G$6+$H$6</f>
        <v>278.10374999999999</v>
      </c>
      <c r="L52" s="237">
        <f t="shared" si="2"/>
        <v>33.94025000000002</v>
      </c>
      <c r="M52" s="241">
        <f t="shared" si="3"/>
        <v>5.0340178800000031E-2</v>
      </c>
    </row>
    <row r="53" spans="2:13" x14ac:dyDescent="0.25">
      <c r="B53" s="236">
        <v>42731</v>
      </c>
      <c r="C53" s="39">
        <v>24</v>
      </c>
      <c r="D53" s="39"/>
      <c r="E53" s="39"/>
      <c r="F53" s="6" t="s">
        <v>176</v>
      </c>
      <c r="G53" s="6" t="s">
        <v>176</v>
      </c>
      <c r="H53" s="6" t="s">
        <v>156</v>
      </c>
      <c r="I53" s="6" t="s">
        <v>177</v>
      </c>
      <c r="J53" s="237">
        <f>$C$7+$G$6</f>
        <v>155.22766000000001</v>
      </c>
      <c r="K53" s="237">
        <f>$D$6+$G$6+$F$6+$H$6</f>
        <v>197.81445000000002</v>
      </c>
      <c r="L53" s="237">
        <f t="shared" si="2"/>
        <v>42.586790000000008</v>
      </c>
      <c r="M53" s="241">
        <f t="shared" si="3"/>
        <v>6.3164726928000015E-2</v>
      </c>
    </row>
    <row r="54" spans="2:13" x14ac:dyDescent="0.25">
      <c r="B54" s="236">
        <v>42732</v>
      </c>
      <c r="C54" s="39">
        <v>24</v>
      </c>
      <c r="D54" s="39"/>
      <c r="E54" s="39"/>
      <c r="F54" s="6" t="s">
        <v>176</v>
      </c>
      <c r="G54" s="6" t="s">
        <v>176</v>
      </c>
      <c r="H54" s="6" t="s">
        <v>156</v>
      </c>
      <c r="I54" s="6" t="s">
        <v>177</v>
      </c>
      <c r="J54" s="237">
        <f>$C$7+$G$6</f>
        <v>155.22766000000001</v>
      </c>
      <c r="K54" s="237">
        <f>$D$6+$G$6+$F$6+$H$6</f>
        <v>197.81445000000002</v>
      </c>
      <c r="L54" s="237">
        <f t="shared" si="2"/>
        <v>42.586790000000008</v>
      </c>
      <c r="M54" s="241">
        <f t="shared" si="3"/>
        <v>6.3164726928000015E-2</v>
      </c>
    </row>
    <row r="55" spans="2:13" x14ac:dyDescent="0.25">
      <c r="B55" s="236">
        <v>42733</v>
      </c>
      <c r="C55" s="39">
        <v>24</v>
      </c>
      <c r="D55" s="39"/>
      <c r="E55" s="39"/>
      <c r="F55" s="6" t="s">
        <v>176</v>
      </c>
      <c r="G55" s="6" t="s">
        <v>176</v>
      </c>
      <c r="H55" s="6" t="s">
        <v>156</v>
      </c>
      <c r="I55" s="6" t="s">
        <v>177</v>
      </c>
      <c r="J55" s="237">
        <f>$C$7+$G$6</f>
        <v>155.22766000000001</v>
      </c>
      <c r="K55" s="237">
        <f>$D$6+$G$6+$F$6+$H$6</f>
        <v>197.81445000000002</v>
      </c>
      <c r="L55" s="237">
        <f t="shared" si="2"/>
        <v>42.586790000000008</v>
      </c>
      <c r="M55" s="241">
        <f t="shared" si="3"/>
        <v>6.3164726928000015E-2</v>
      </c>
    </row>
    <row r="56" spans="2:13" x14ac:dyDescent="0.25">
      <c r="B56" s="236">
        <v>42734</v>
      </c>
      <c r="C56" s="39">
        <v>24</v>
      </c>
      <c r="D56" s="39"/>
      <c r="E56" s="39"/>
      <c r="F56" s="6" t="s">
        <v>176</v>
      </c>
      <c r="G56" s="6" t="s">
        <v>176</v>
      </c>
      <c r="H56" s="6" t="s">
        <v>156</v>
      </c>
      <c r="I56" s="6" t="s">
        <v>177</v>
      </c>
      <c r="J56" s="237">
        <f>$C$7+$G$6</f>
        <v>155.22766000000001</v>
      </c>
      <c r="K56" s="237">
        <f>$D$6+$G$6+$F$6+$H$6</f>
        <v>197.81445000000002</v>
      </c>
      <c r="L56" s="237">
        <f t="shared" si="2"/>
        <v>42.586790000000008</v>
      </c>
      <c r="M56" s="241">
        <f t="shared" si="3"/>
        <v>6.3164726928000015E-2</v>
      </c>
    </row>
    <row r="57" spans="2:13" ht="15.75" thickBot="1" x14ac:dyDescent="0.3">
      <c r="B57" s="236">
        <v>42735</v>
      </c>
      <c r="C57" s="39">
        <v>24</v>
      </c>
      <c r="D57" s="39"/>
      <c r="E57" s="39"/>
      <c r="F57" s="6" t="s">
        <v>176</v>
      </c>
      <c r="G57" s="6" t="s">
        <v>176</v>
      </c>
      <c r="H57" s="6" t="s">
        <v>156</v>
      </c>
      <c r="I57" s="6" t="s">
        <v>177</v>
      </c>
      <c r="J57" s="237">
        <f>$C$7+$G$6</f>
        <v>155.22766000000001</v>
      </c>
      <c r="K57" s="237">
        <f>$D$6+$G$6+$F$6+$H$6</f>
        <v>197.81445000000002</v>
      </c>
      <c r="L57" s="237">
        <f t="shared" si="2"/>
        <v>42.586790000000008</v>
      </c>
      <c r="M57" s="242">
        <f t="shared" si="3"/>
        <v>6.3164726928000015E-2</v>
      </c>
    </row>
    <row r="58" spans="2:13" ht="19.5" thickBo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243"/>
      <c r="M58" s="244">
        <f>SUM(M27:M57)</f>
        <v>2.5810131581280005</v>
      </c>
    </row>
    <row r="59" spans="2:13" s="245" customFormat="1" x14ac:dyDescent="0.25"/>
    <row r="60" spans="2:13" hidden="1" x14ac:dyDescent="0.25">
      <c r="B60" s="223" t="s">
        <v>165</v>
      </c>
      <c r="C60" s="224" t="s">
        <v>166</v>
      </c>
      <c r="D60" s="246" t="s">
        <v>167</v>
      </c>
      <c r="E60" s="247"/>
      <c r="F60" s="247"/>
      <c r="G60" s="248"/>
      <c r="H60" s="224" t="s">
        <v>168</v>
      </c>
      <c r="I60" s="224" t="s">
        <v>169</v>
      </c>
      <c r="J60" s="225" t="s">
        <v>170</v>
      </c>
      <c r="K60" s="225" t="s">
        <v>171</v>
      </c>
      <c r="L60" s="225" t="s">
        <v>172</v>
      </c>
      <c r="M60" s="226" t="s">
        <v>173</v>
      </c>
    </row>
    <row r="61" spans="2:13" ht="15.75" hidden="1" thickBot="1" x14ac:dyDescent="0.3">
      <c r="B61" s="227"/>
      <c r="C61" s="228"/>
      <c r="D61" s="146" t="s">
        <v>183</v>
      </c>
      <c r="E61" s="146" t="s">
        <v>184</v>
      </c>
      <c r="F61" s="146" t="s">
        <v>4</v>
      </c>
      <c r="G61" s="146" t="s">
        <v>174</v>
      </c>
      <c r="H61" s="228"/>
      <c r="I61" s="228"/>
      <c r="J61" s="230"/>
      <c r="K61" s="230"/>
      <c r="L61" s="230"/>
      <c r="M61" s="231"/>
    </row>
    <row r="62" spans="2:13" hidden="1" x14ac:dyDescent="0.25">
      <c r="B62" s="232">
        <v>42736</v>
      </c>
      <c r="C62" s="233">
        <v>24</v>
      </c>
      <c r="D62" s="67" t="s">
        <v>176</v>
      </c>
      <c r="E62" s="67" t="s">
        <v>176</v>
      </c>
      <c r="F62" s="67" t="s">
        <v>176</v>
      </c>
      <c r="G62" s="67" t="s">
        <v>176</v>
      </c>
      <c r="H62" s="67" t="s">
        <v>185</v>
      </c>
      <c r="I62" s="67" t="s">
        <v>177</v>
      </c>
      <c r="J62" s="234">
        <f>$C$7+$G$6</f>
        <v>155.22766000000001</v>
      </c>
      <c r="K62" s="234">
        <f>$D$6+$G$6+$H$6+$F$6</f>
        <v>197.81445000000002</v>
      </c>
      <c r="L62" s="234">
        <f>K62-J62</f>
        <v>42.586790000000008</v>
      </c>
      <c r="M62" s="249">
        <f t="shared" ref="M62:M92" si="8">(L62*C62*$E$10)/10^5</f>
        <v>6.1938227376000007E-2</v>
      </c>
    </row>
    <row r="63" spans="2:13" hidden="1" x14ac:dyDescent="0.25">
      <c r="B63" s="236">
        <v>42737</v>
      </c>
      <c r="C63" s="39">
        <v>24</v>
      </c>
      <c r="D63" s="6" t="s">
        <v>176</v>
      </c>
      <c r="E63" s="6" t="s">
        <v>176</v>
      </c>
      <c r="F63" s="6" t="s">
        <v>175</v>
      </c>
      <c r="G63" s="6" t="s">
        <v>176</v>
      </c>
      <c r="H63" s="6" t="s">
        <v>157</v>
      </c>
      <c r="I63" s="6" t="s">
        <v>177</v>
      </c>
      <c r="J63" s="237">
        <f>$D$6+$G$6</f>
        <v>107.67169</v>
      </c>
      <c r="K63" s="237">
        <f>$G$6+$H$6+$F$6+$D$6</f>
        <v>197.81445000000002</v>
      </c>
      <c r="L63" s="237">
        <f t="shared" ref="L63:L92" si="9">K63-J63</f>
        <v>90.142760000000024</v>
      </c>
      <c r="M63" s="241">
        <f t="shared" si="8"/>
        <v>0.13110363014400003</v>
      </c>
    </row>
    <row r="64" spans="2:13" hidden="1" x14ac:dyDescent="0.25">
      <c r="B64" s="236">
        <v>42738</v>
      </c>
      <c r="C64" s="39">
        <v>24</v>
      </c>
      <c r="D64" s="6" t="s">
        <v>175</v>
      </c>
      <c r="E64" s="6" t="s">
        <v>176</v>
      </c>
      <c r="F64" s="6" t="s">
        <v>175</v>
      </c>
      <c r="G64" s="6" t="s">
        <v>176</v>
      </c>
      <c r="H64" s="6" t="s">
        <v>157</v>
      </c>
      <c r="I64" s="6" t="s">
        <v>177</v>
      </c>
      <c r="J64" s="237">
        <f>$D$6+$G$6</f>
        <v>107.67169</v>
      </c>
      <c r="K64" s="237">
        <f>$G$6+$H$6+$F$6+$D$6</f>
        <v>197.81445000000002</v>
      </c>
      <c r="L64" s="237">
        <f t="shared" si="9"/>
        <v>90.142760000000024</v>
      </c>
      <c r="M64" s="241">
        <f t="shared" si="8"/>
        <v>0.13110363014400003</v>
      </c>
    </row>
    <row r="65" spans="2:13" hidden="1" x14ac:dyDescent="0.25">
      <c r="B65" s="236">
        <v>42739</v>
      </c>
      <c r="C65" s="39">
        <v>24</v>
      </c>
      <c r="D65" s="6" t="s">
        <v>175</v>
      </c>
      <c r="E65" s="6" t="s">
        <v>176</v>
      </c>
      <c r="F65" s="6" t="s">
        <v>175</v>
      </c>
      <c r="G65" s="6" t="s">
        <v>176</v>
      </c>
      <c r="H65" s="6" t="s">
        <v>157</v>
      </c>
      <c r="I65" s="6" t="s">
        <v>177</v>
      </c>
      <c r="J65" s="237">
        <f>$D$6+$G$6</f>
        <v>107.67169</v>
      </c>
      <c r="K65" s="237">
        <f>$G$6+$H$6+$F$6+$D$6</f>
        <v>197.81445000000002</v>
      </c>
      <c r="L65" s="237">
        <f t="shared" si="9"/>
        <v>90.142760000000024</v>
      </c>
      <c r="M65" s="241">
        <f t="shared" si="8"/>
        <v>0.13110363014400003</v>
      </c>
    </row>
    <row r="66" spans="2:13" hidden="1" x14ac:dyDescent="0.25">
      <c r="B66" s="236">
        <v>42740</v>
      </c>
      <c r="C66" s="39">
        <v>24</v>
      </c>
      <c r="D66" s="6" t="s">
        <v>175</v>
      </c>
      <c r="E66" s="6" t="s">
        <v>176</v>
      </c>
      <c r="F66" s="6" t="s">
        <v>175</v>
      </c>
      <c r="G66" s="6" t="s">
        <v>176</v>
      </c>
      <c r="H66" s="6" t="s">
        <v>157</v>
      </c>
      <c r="I66" s="6" t="s">
        <v>177</v>
      </c>
      <c r="J66" s="237">
        <f>$D$6+$G$6</f>
        <v>107.67169</v>
      </c>
      <c r="K66" s="237">
        <f>$G$6+$H$6+$F$6+$D$6</f>
        <v>197.81445000000002</v>
      </c>
      <c r="L66" s="237">
        <f t="shared" si="9"/>
        <v>90.142760000000024</v>
      </c>
      <c r="M66" s="241">
        <f t="shared" si="8"/>
        <v>0.13110363014400003</v>
      </c>
    </row>
    <row r="67" spans="2:13" hidden="1" x14ac:dyDescent="0.25">
      <c r="B67" s="236">
        <v>42741</v>
      </c>
      <c r="C67" s="39">
        <v>24</v>
      </c>
      <c r="D67" s="6" t="s">
        <v>175</v>
      </c>
      <c r="E67" s="6" t="s">
        <v>176</v>
      </c>
      <c r="F67" s="6" t="s">
        <v>176</v>
      </c>
      <c r="G67" s="6" t="s">
        <v>176</v>
      </c>
      <c r="H67" s="6" t="s">
        <v>186</v>
      </c>
      <c r="I67" s="6" t="s">
        <v>177</v>
      </c>
      <c r="J67" s="237">
        <f>$C$6+$E$6+$G$6</f>
        <v>244.16349999999997</v>
      </c>
      <c r="K67" s="237">
        <f>$D$6+$E$6+$F$6+$G$6+$H$6</f>
        <v>278.10374999999999</v>
      </c>
      <c r="L67" s="237">
        <f t="shared" si="9"/>
        <v>33.94025000000002</v>
      </c>
      <c r="M67" s="241">
        <f t="shared" si="8"/>
        <v>4.9362699600000025E-2</v>
      </c>
    </row>
    <row r="68" spans="2:13" hidden="1" x14ac:dyDescent="0.25">
      <c r="B68" s="236">
        <v>42742</v>
      </c>
      <c r="C68" s="39">
        <v>24</v>
      </c>
      <c r="D68" s="6" t="s">
        <v>175</v>
      </c>
      <c r="E68" s="6" t="s">
        <v>176</v>
      </c>
      <c r="F68" s="6" t="s">
        <v>176</v>
      </c>
      <c r="G68" s="6" t="s">
        <v>176</v>
      </c>
      <c r="H68" s="6" t="s">
        <v>186</v>
      </c>
      <c r="I68" s="6" t="s">
        <v>177</v>
      </c>
      <c r="J68" s="237">
        <f>$C$6+$E$6+$G$6</f>
        <v>244.16349999999997</v>
      </c>
      <c r="K68" s="237">
        <f>$D$6+$E$6+$F$6+$G$6+$H$6</f>
        <v>278.10374999999999</v>
      </c>
      <c r="L68" s="237">
        <f t="shared" si="9"/>
        <v>33.94025000000002</v>
      </c>
      <c r="M68" s="241">
        <f t="shared" si="8"/>
        <v>4.9362699600000025E-2</v>
      </c>
    </row>
    <row r="69" spans="2:13" hidden="1" x14ac:dyDescent="0.25">
      <c r="B69" s="236">
        <v>42743</v>
      </c>
      <c r="C69" s="39">
        <v>24</v>
      </c>
      <c r="D69" s="6" t="s">
        <v>175</v>
      </c>
      <c r="E69" s="6" t="s">
        <v>176</v>
      </c>
      <c r="F69" s="6" t="s">
        <v>176</v>
      </c>
      <c r="G69" s="6" t="s">
        <v>176</v>
      </c>
      <c r="H69" s="6" t="s">
        <v>185</v>
      </c>
      <c r="I69" s="6" t="s">
        <v>177</v>
      </c>
      <c r="J69" s="237">
        <f>$C$7+$G$6</f>
        <v>155.22766000000001</v>
      </c>
      <c r="K69" s="237">
        <f>$D$6+$G$6+$H$6+$F$6</f>
        <v>197.81445000000002</v>
      </c>
      <c r="L69" s="237">
        <f t="shared" si="9"/>
        <v>42.586790000000008</v>
      </c>
      <c r="M69" s="241">
        <f t="shared" si="8"/>
        <v>6.1938227376000007E-2</v>
      </c>
    </row>
    <row r="70" spans="2:13" hidden="1" x14ac:dyDescent="0.25">
      <c r="B70" s="236">
        <v>42744</v>
      </c>
      <c r="C70" s="39">
        <v>24</v>
      </c>
      <c r="D70" s="6" t="s">
        <v>175</v>
      </c>
      <c r="E70" s="6" t="s">
        <v>176</v>
      </c>
      <c r="F70" s="6" t="s">
        <v>176</v>
      </c>
      <c r="G70" s="6" t="s">
        <v>176</v>
      </c>
      <c r="H70" s="6" t="s">
        <v>186</v>
      </c>
      <c r="I70" s="6" t="s">
        <v>177</v>
      </c>
      <c r="J70" s="237">
        <f>$C$6+$E$6+$G$6</f>
        <v>244.16349999999997</v>
      </c>
      <c r="K70" s="237">
        <f>$D$6+$E$6+$F$6+$G$6+$H$6</f>
        <v>278.10374999999999</v>
      </c>
      <c r="L70" s="237">
        <f t="shared" si="9"/>
        <v>33.94025000000002</v>
      </c>
      <c r="M70" s="241">
        <f t="shared" si="8"/>
        <v>4.9362699600000025E-2</v>
      </c>
    </row>
    <row r="71" spans="2:13" hidden="1" x14ac:dyDescent="0.25">
      <c r="B71" s="236">
        <v>42745</v>
      </c>
      <c r="C71" s="39">
        <v>24</v>
      </c>
      <c r="D71" s="6" t="s">
        <v>175</v>
      </c>
      <c r="E71" s="6" t="s">
        <v>176</v>
      </c>
      <c r="F71" s="6" t="s">
        <v>176</v>
      </c>
      <c r="G71" s="6" t="s">
        <v>176</v>
      </c>
      <c r="H71" s="6" t="s">
        <v>186</v>
      </c>
      <c r="I71" s="6" t="s">
        <v>177</v>
      </c>
      <c r="J71" s="237">
        <f>$C$6+$E$6+$G$6</f>
        <v>244.16349999999997</v>
      </c>
      <c r="K71" s="237">
        <f>$D$6+$E$6+$F$6+$G$6+$H$6</f>
        <v>278.10374999999999</v>
      </c>
      <c r="L71" s="237">
        <f t="shared" si="9"/>
        <v>33.94025000000002</v>
      </c>
      <c r="M71" s="241">
        <f t="shared" si="8"/>
        <v>4.9362699600000025E-2</v>
      </c>
    </row>
    <row r="72" spans="2:13" hidden="1" x14ac:dyDescent="0.25">
      <c r="B72" s="236">
        <v>42746</v>
      </c>
      <c r="C72" s="39">
        <v>24</v>
      </c>
      <c r="D72" s="6" t="s">
        <v>175</v>
      </c>
      <c r="E72" s="6" t="s">
        <v>176</v>
      </c>
      <c r="F72" s="6" t="s">
        <v>176</v>
      </c>
      <c r="G72" s="6" t="s">
        <v>176</v>
      </c>
      <c r="H72" s="6" t="s">
        <v>186</v>
      </c>
      <c r="I72" s="6" t="s">
        <v>177</v>
      </c>
      <c r="J72" s="237">
        <f>$C$6+$E$6+$G$6</f>
        <v>244.16349999999997</v>
      </c>
      <c r="K72" s="237">
        <f>$D$6+$E$6+$F$6+$G$6+$H$6</f>
        <v>278.10374999999999</v>
      </c>
      <c r="L72" s="237">
        <f t="shared" si="9"/>
        <v>33.94025000000002</v>
      </c>
      <c r="M72" s="241">
        <f t="shared" si="8"/>
        <v>4.9362699600000025E-2</v>
      </c>
    </row>
    <row r="73" spans="2:13" hidden="1" x14ac:dyDescent="0.25">
      <c r="B73" s="236">
        <v>42747</v>
      </c>
      <c r="C73" s="39">
        <v>24</v>
      </c>
      <c r="D73" s="6" t="s">
        <v>176</v>
      </c>
      <c r="E73" s="6" t="s">
        <v>176</v>
      </c>
      <c r="F73" s="6" t="s">
        <v>176</v>
      </c>
      <c r="G73" s="6" t="s">
        <v>176</v>
      </c>
      <c r="H73" s="6" t="s">
        <v>187</v>
      </c>
      <c r="I73" s="6" t="s">
        <v>177</v>
      </c>
      <c r="J73" s="237">
        <f>$C$6+$E$6+$G$6</f>
        <v>244.16349999999997</v>
      </c>
      <c r="K73" s="237">
        <f>$D$6+$E$6+$F$6+$G$6+$H$6</f>
        <v>278.10374999999999</v>
      </c>
      <c r="L73" s="237">
        <f t="shared" si="9"/>
        <v>33.94025000000002</v>
      </c>
      <c r="M73" s="241">
        <f t="shared" si="8"/>
        <v>4.9362699600000025E-2</v>
      </c>
    </row>
    <row r="74" spans="2:13" hidden="1" x14ac:dyDescent="0.25">
      <c r="B74" s="236">
        <v>42748</v>
      </c>
      <c r="C74" s="39">
        <v>24</v>
      </c>
      <c r="D74" s="6" t="s">
        <v>176</v>
      </c>
      <c r="E74" s="6" t="s">
        <v>176</v>
      </c>
      <c r="F74" s="6" t="s">
        <v>176</v>
      </c>
      <c r="G74" s="6" t="s">
        <v>176</v>
      </c>
      <c r="H74" s="6" t="s">
        <v>187</v>
      </c>
      <c r="I74" s="6" t="s">
        <v>177</v>
      </c>
      <c r="J74" s="237">
        <f>$C$6+$E$6+$G$6</f>
        <v>244.16349999999997</v>
      </c>
      <c r="K74" s="237">
        <f>$D$6+$E$6+$F$6+$G$6+$H$6</f>
        <v>278.10374999999999</v>
      </c>
      <c r="L74" s="237">
        <f t="shared" si="9"/>
        <v>33.94025000000002</v>
      </c>
      <c r="M74" s="241">
        <f t="shared" si="8"/>
        <v>4.9362699600000025E-2</v>
      </c>
    </row>
    <row r="75" spans="2:13" hidden="1" x14ac:dyDescent="0.25">
      <c r="B75" s="236">
        <v>42749</v>
      </c>
      <c r="C75" s="39">
        <v>24</v>
      </c>
      <c r="D75" s="6" t="s">
        <v>176</v>
      </c>
      <c r="E75" s="6" t="s">
        <v>176</v>
      </c>
      <c r="F75" s="6" t="s">
        <v>176</v>
      </c>
      <c r="G75" s="6" t="s">
        <v>176</v>
      </c>
      <c r="H75" s="6" t="s">
        <v>188</v>
      </c>
      <c r="I75" s="6" t="s">
        <v>177</v>
      </c>
      <c r="J75" s="237">
        <f>$C$7+$D$6+$E$6+$G$6</f>
        <v>315.18865</v>
      </c>
      <c r="K75" s="237">
        <f>$C$6+$E$6+$F$6+$G$6+$H$6</f>
        <v>334.30625999999995</v>
      </c>
      <c r="L75" s="237">
        <f t="shared" si="9"/>
        <v>19.117609999999956</v>
      </c>
      <c r="M75" s="241">
        <f t="shared" si="8"/>
        <v>2.7804651983999933E-2</v>
      </c>
    </row>
    <row r="76" spans="2:13" hidden="1" x14ac:dyDescent="0.25">
      <c r="B76" s="236">
        <v>42750</v>
      </c>
      <c r="C76" s="39">
        <v>24</v>
      </c>
      <c r="D76" s="6" t="s">
        <v>176</v>
      </c>
      <c r="E76" s="6" t="s">
        <v>176</v>
      </c>
      <c r="F76" s="6" t="s">
        <v>175</v>
      </c>
      <c r="G76" s="6" t="s">
        <v>176</v>
      </c>
      <c r="H76" s="6" t="s">
        <v>189</v>
      </c>
      <c r="I76" s="6" t="s">
        <v>177</v>
      </c>
      <c r="J76" s="237">
        <f>$E$6+$G$6</f>
        <v>108.2893</v>
      </c>
      <c r="K76" s="237">
        <f>$D$6+$F$6+$G$6+$H$6</f>
        <v>197.81445000000002</v>
      </c>
      <c r="L76" s="237">
        <f t="shared" si="9"/>
        <v>89.525150000000025</v>
      </c>
      <c r="M76" s="241">
        <f t="shared" si="8"/>
        <v>0.13020537816000002</v>
      </c>
    </row>
    <row r="77" spans="2:13" hidden="1" x14ac:dyDescent="0.25">
      <c r="B77" s="236">
        <v>42751</v>
      </c>
      <c r="C77" s="39">
        <v>24</v>
      </c>
      <c r="D77" s="6" t="s">
        <v>176</v>
      </c>
      <c r="E77" s="6" t="s">
        <v>176</v>
      </c>
      <c r="F77" s="6" t="s">
        <v>175</v>
      </c>
      <c r="G77" s="6" t="s">
        <v>176</v>
      </c>
      <c r="H77" s="6" t="s">
        <v>190</v>
      </c>
      <c r="I77" s="6" t="s">
        <v>177</v>
      </c>
      <c r="J77" s="237">
        <f t="shared" ref="J77:J88" si="10">$D$6+$E$6+$G$6</f>
        <v>187.96098999999998</v>
      </c>
      <c r="K77" s="237">
        <f t="shared" ref="K77:K88" si="11">$D$6+$F$6+$H$6+$G$6</f>
        <v>197.81445000000002</v>
      </c>
      <c r="L77" s="237">
        <f t="shared" si="9"/>
        <v>9.853460000000041</v>
      </c>
      <c r="M77" s="241">
        <f t="shared" si="8"/>
        <v>1.433087222400006E-2</v>
      </c>
    </row>
    <row r="78" spans="2:13" hidden="1" x14ac:dyDescent="0.25">
      <c r="B78" s="236">
        <v>42752</v>
      </c>
      <c r="C78" s="39">
        <v>24</v>
      </c>
      <c r="D78" s="6" t="s">
        <v>176</v>
      </c>
      <c r="E78" s="6" t="s">
        <v>176</v>
      </c>
      <c r="F78" s="6" t="s">
        <v>175</v>
      </c>
      <c r="G78" s="6" t="s">
        <v>176</v>
      </c>
      <c r="H78" s="6" t="s">
        <v>190</v>
      </c>
      <c r="I78" s="6" t="s">
        <v>177</v>
      </c>
      <c r="J78" s="237">
        <f t="shared" si="10"/>
        <v>187.96098999999998</v>
      </c>
      <c r="K78" s="237">
        <f t="shared" si="11"/>
        <v>197.81445000000002</v>
      </c>
      <c r="L78" s="237">
        <f t="shared" si="9"/>
        <v>9.853460000000041</v>
      </c>
      <c r="M78" s="241">
        <f t="shared" si="8"/>
        <v>1.433087222400006E-2</v>
      </c>
    </row>
    <row r="79" spans="2:13" hidden="1" x14ac:dyDescent="0.25">
      <c r="B79" s="236">
        <v>42753</v>
      </c>
      <c r="C79" s="39">
        <v>24</v>
      </c>
      <c r="D79" s="6" t="s">
        <v>176</v>
      </c>
      <c r="E79" s="6" t="s">
        <v>176</v>
      </c>
      <c r="F79" s="6" t="s">
        <v>175</v>
      </c>
      <c r="G79" s="6" t="s">
        <v>176</v>
      </c>
      <c r="H79" s="6" t="s">
        <v>190</v>
      </c>
      <c r="I79" s="6" t="s">
        <v>177</v>
      </c>
      <c r="J79" s="237">
        <f t="shared" si="10"/>
        <v>187.96098999999998</v>
      </c>
      <c r="K79" s="237">
        <f t="shared" si="11"/>
        <v>197.81445000000002</v>
      </c>
      <c r="L79" s="237">
        <f t="shared" si="9"/>
        <v>9.853460000000041</v>
      </c>
      <c r="M79" s="241">
        <f t="shared" si="8"/>
        <v>1.433087222400006E-2</v>
      </c>
    </row>
    <row r="80" spans="2:13" hidden="1" x14ac:dyDescent="0.25">
      <c r="B80" s="236">
        <v>42754</v>
      </c>
      <c r="C80" s="39">
        <v>24</v>
      </c>
      <c r="D80" s="6" t="s">
        <v>176</v>
      </c>
      <c r="E80" s="6" t="s">
        <v>176</v>
      </c>
      <c r="F80" s="6" t="s">
        <v>175</v>
      </c>
      <c r="G80" s="6" t="s">
        <v>176</v>
      </c>
      <c r="H80" s="6" t="s">
        <v>190</v>
      </c>
      <c r="I80" s="6" t="s">
        <v>177</v>
      </c>
      <c r="J80" s="237">
        <f t="shared" si="10"/>
        <v>187.96098999999998</v>
      </c>
      <c r="K80" s="237">
        <f t="shared" si="11"/>
        <v>197.81445000000002</v>
      </c>
      <c r="L80" s="237">
        <f t="shared" si="9"/>
        <v>9.853460000000041</v>
      </c>
      <c r="M80" s="241">
        <f t="shared" si="8"/>
        <v>1.433087222400006E-2</v>
      </c>
    </row>
    <row r="81" spans="2:13" hidden="1" x14ac:dyDescent="0.25">
      <c r="B81" s="236">
        <v>42755</v>
      </c>
      <c r="C81" s="39">
        <v>24</v>
      </c>
      <c r="D81" s="6" t="s">
        <v>176</v>
      </c>
      <c r="E81" s="6" t="s">
        <v>176</v>
      </c>
      <c r="F81" s="6" t="s">
        <v>175</v>
      </c>
      <c r="G81" s="6" t="s">
        <v>176</v>
      </c>
      <c r="H81" s="6" t="s">
        <v>190</v>
      </c>
      <c r="I81" s="6" t="s">
        <v>177</v>
      </c>
      <c r="J81" s="237">
        <f t="shared" si="10"/>
        <v>187.96098999999998</v>
      </c>
      <c r="K81" s="237">
        <f t="shared" si="11"/>
        <v>197.81445000000002</v>
      </c>
      <c r="L81" s="237">
        <f t="shared" si="9"/>
        <v>9.853460000000041</v>
      </c>
      <c r="M81" s="241">
        <f t="shared" si="8"/>
        <v>1.433087222400006E-2</v>
      </c>
    </row>
    <row r="82" spans="2:13" hidden="1" x14ac:dyDescent="0.25">
      <c r="B82" s="236">
        <v>42756</v>
      </c>
      <c r="C82" s="39">
        <v>24</v>
      </c>
      <c r="D82" s="6" t="s">
        <v>176</v>
      </c>
      <c r="E82" s="6" t="s">
        <v>176</v>
      </c>
      <c r="F82" s="6" t="s">
        <v>175</v>
      </c>
      <c r="G82" s="6" t="s">
        <v>176</v>
      </c>
      <c r="H82" s="6" t="s">
        <v>190</v>
      </c>
      <c r="I82" s="6" t="s">
        <v>177</v>
      </c>
      <c r="J82" s="237">
        <f t="shared" si="10"/>
        <v>187.96098999999998</v>
      </c>
      <c r="K82" s="237">
        <f t="shared" si="11"/>
        <v>197.81445000000002</v>
      </c>
      <c r="L82" s="237">
        <f t="shared" si="9"/>
        <v>9.853460000000041</v>
      </c>
      <c r="M82" s="241">
        <f t="shared" si="8"/>
        <v>1.433087222400006E-2</v>
      </c>
    </row>
    <row r="83" spans="2:13" hidden="1" x14ac:dyDescent="0.25">
      <c r="B83" s="236">
        <v>42757</v>
      </c>
      <c r="C83" s="39">
        <v>24</v>
      </c>
      <c r="D83" s="6" t="s">
        <v>176</v>
      </c>
      <c r="E83" s="6" t="s">
        <v>176</v>
      </c>
      <c r="F83" s="6" t="s">
        <v>175</v>
      </c>
      <c r="G83" s="6" t="s">
        <v>176</v>
      </c>
      <c r="H83" s="6" t="s">
        <v>190</v>
      </c>
      <c r="I83" s="6" t="s">
        <v>177</v>
      </c>
      <c r="J83" s="237">
        <f t="shared" si="10"/>
        <v>187.96098999999998</v>
      </c>
      <c r="K83" s="237">
        <f t="shared" si="11"/>
        <v>197.81445000000002</v>
      </c>
      <c r="L83" s="237">
        <f t="shared" si="9"/>
        <v>9.853460000000041</v>
      </c>
      <c r="M83" s="241">
        <f t="shared" si="8"/>
        <v>1.433087222400006E-2</v>
      </c>
    </row>
    <row r="84" spans="2:13" hidden="1" x14ac:dyDescent="0.25">
      <c r="B84" s="236">
        <v>42758</v>
      </c>
      <c r="C84" s="39">
        <v>24</v>
      </c>
      <c r="D84" s="6" t="s">
        <v>176</v>
      </c>
      <c r="E84" s="6" t="s">
        <v>176</v>
      </c>
      <c r="F84" s="6" t="s">
        <v>175</v>
      </c>
      <c r="G84" s="6" t="s">
        <v>176</v>
      </c>
      <c r="H84" s="6" t="s">
        <v>190</v>
      </c>
      <c r="I84" s="6" t="s">
        <v>177</v>
      </c>
      <c r="J84" s="237">
        <f t="shared" si="10"/>
        <v>187.96098999999998</v>
      </c>
      <c r="K84" s="237">
        <f t="shared" si="11"/>
        <v>197.81445000000002</v>
      </c>
      <c r="L84" s="237">
        <f t="shared" si="9"/>
        <v>9.853460000000041</v>
      </c>
      <c r="M84" s="241">
        <f t="shared" si="8"/>
        <v>1.433087222400006E-2</v>
      </c>
    </row>
    <row r="85" spans="2:13" hidden="1" x14ac:dyDescent="0.25">
      <c r="B85" s="236">
        <v>42759</v>
      </c>
      <c r="C85" s="39">
        <v>24</v>
      </c>
      <c r="D85" s="6" t="s">
        <v>176</v>
      </c>
      <c r="E85" s="6" t="s">
        <v>176</v>
      </c>
      <c r="F85" s="6" t="s">
        <v>175</v>
      </c>
      <c r="G85" s="6" t="s">
        <v>176</v>
      </c>
      <c r="H85" s="6" t="s">
        <v>190</v>
      </c>
      <c r="I85" s="6" t="s">
        <v>177</v>
      </c>
      <c r="J85" s="237">
        <f t="shared" si="10"/>
        <v>187.96098999999998</v>
      </c>
      <c r="K85" s="237">
        <f t="shared" si="11"/>
        <v>197.81445000000002</v>
      </c>
      <c r="L85" s="237">
        <f t="shared" si="9"/>
        <v>9.853460000000041</v>
      </c>
      <c r="M85" s="241">
        <f t="shared" si="8"/>
        <v>1.433087222400006E-2</v>
      </c>
    </row>
    <row r="86" spans="2:13" hidden="1" x14ac:dyDescent="0.25">
      <c r="B86" s="236">
        <v>42760</v>
      </c>
      <c r="C86" s="39">
        <v>24</v>
      </c>
      <c r="D86" s="6" t="s">
        <v>175</v>
      </c>
      <c r="E86" s="6" t="s">
        <v>176</v>
      </c>
      <c r="F86" s="6" t="s">
        <v>175</v>
      </c>
      <c r="G86" s="6" t="s">
        <v>176</v>
      </c>
      <c r="H86" s="6" t="s">
        <v>190</v>
      </c>
      <c r="I86" s="6" t="s">
        <v>177</v>
      </c>
      <c r="J86" s="237">
        <f t="shared" si="10"/>
        <v>187.96098999999998</v>
      </c>
      <c r="K86" s="237">
        <f t="shared" si="11"/>
        <v>197.81445000000002</v>
      </c>
      <c r="L86" s="237">
        <f t="shared" si="9"/>
        <v>9.853460000000041</v>
      </c>
      <c r="M86" s="241">
        <f t="shared" si="8"/>
        <v>1.433087222400006E-2</v>
      </c>
    </row>
    <row r="87" spans="2:13" hidden="1" x14ac:dyDescent="0.25">
      <c r="B87" s="236">
        <v>42761</v>
      </c>
      <c r="C87" s="39">
        <v>24</v>
      </c>
      <c r="D87" s="6" t="s">
        <v>175</v>
      </c>
      <c r="E87" s="6" t="s">
        <v>176</v>
      </c>
      <c r="F87" s="6" t="s">
        <v>175</v>
      </c>
      <c r="G87" s="6" t="s">
        <v>176</v>
      </c>
      <c r="H87" s="6" t="s">
        <v>190</v>
      </c>
      <c r="I87" s="6" t="s">
        <v>177</v>
      </c>
      <c r="J87" s="237">
        <f t="shared" si="10"/>
        <v>187.96098999999998</v>
      </c>
      <c r="K87" s="237">
        <f t="shared" si="11"/>
        <v>197.81445000000002</v>
      </c>
      <c r="L87" s="237">
        <f t="shared" si="9"/>
        <v>9.853460000000041</v>
      </c>
      <c r="M87" s="241">
        <f t="shared" si="8"/>
        <v>1.433087222400006E-2</v>
      </c>
    </row>
    <row r="88" spans="2:13" hidden="1" x14ac:dyDescent="0.25">
      <c r="B88" s="236">
        <v>42762</v>
      </c>
      <c r="C88" s="39">
        <v>24</v>
      </c>
      <c r="D88" s="6" t="s">
        <v>176</v>
      </c>
      <c r="E88" s="6" t="s">
        <v>176</v>
      </c>
      <c r="F88" s="6" t="s">
        <v>175</v>
      </c>
      <c r="G88" s="6" t="s">
        <v>176</v>
      </c>
      <c r="H88" s="6" t="s">
        <v>190</v>
      </c>
      <c r="I88" s="6" t="s">
        <v>177</v>
      </c>
      <c r="J88" s="237">
        <f t="shared" si="10"/>
        <v>187.96098999999998</v>
      </c>
      <c r="K88" s="237">
        <f t="shared" si="11"/>
        <v>197.81445000000002</v>
      </c>
      <c r="L88" s="237">
        <f t="shared" si="9"/>
        <v>9.853460000000041</v>
      </c>
      <c r="M88" s="241">
        <f t="shared" si="8"/>
        <v>1.433087222400006E-2</v>
      </c>
    </row>
    <row r="89" spans="2:13" hidden="1" x14ac:dyDescent="0.25">
      <c r="B89" s="236">
        <v>42763</v>
      </c>
      <c r="C89" s="39">
        <v>24</v>
      </c>
      <c r="D89" s="6" t="s">
        <v>176</v>
      </c>
      <c r="E89" s="6" t="s">
        <v>176</v>
      </c>
      <c r="F89" s="6" t="s">
        <v>176</v>
      </c>
      <c r="G89" s="6" t="s">
        <v>176</v>
      </c>
      <c r="H89" s="6" t="s">
        <v>186</v>
      </c>
      <c r="I89" s="6" t="s">
        <v>177</v>
      </c>
      <c r="J89" s="237">
        <f>$C$6+$D$6+$G$6</f>
        <v>243.54588999999999</v>
      </c>
      <c r="K89" s="237">
        <f>$D$6+$E$6+$F$6+$G$6+$H$6</f>
        <v>278.10374999999999</v>
      </c>
      <c r="L89" s="237">
        <f t="shared" si="9"/>
        <v>34.557860000000005</v>
      </c>
      <c r="M89" s="241">
        <f t="shared" si="8"/>
        <v>5.0260951584000006E-2</v>
      </c>
    </row>
    <row r="90" spans="2:13" hidden="1" x14ac:dyDescent="0.25">
      <c r="B90" s="236">
        <v>42764</v>
      </c>
      <c r="C90" s="39">
        <v>24</v>
      </c>
      <c r="D90" s="6" t="s">
        <v>176</v>
      </c>
      <c r="E90" s="6" t="s">
        <v>176</v>
      </c>
      <c r="F90" s="6" t="s">
        <v>176</v>
      </c>
      <c r="G90" s="6" t="s">
        <v>176</v>
      </c>
      <c r="H90" s="6" t="s">
        <v>186</v>
      </c>
      <c r="I90" s="6" t="s">
        <v>177</v>
      </c>
      <c r="J90" s="237">
        <f>$C$6+$D$6+$G$6</f>
        <v>243.54588999999999</v>
      </c>
      <c r="K90" s="237">
        <f>$D$6+$E$6+$F$6+$G$6+$H$6</f>
        <v>278.10374999999999</v>
      </c>
      <c r="L90" s="237">
        <f t="shared" si="9"/>
        <v>34.557860000000005</v>
      </c>
      <c r="M90" s="241">
        <f t="shared" si="8"/>
        <v>5.0260951584000006E-2</v>
      </c>
    </row>
    <row r="91" spans="2:13" hidden="1" x14ac:dyDescent="0.25">
      <c r="B91" s="236">
        <v>42765</v>
      </c>
      <c r="C91" s="39">
        <v>24</v>
      </c>
      <c r="D91" s="6" t="s">
        <v>176</v>
      </c>
      <c r="E91" s="6" t="s">
        <v>176</v>
      </c>
      <c r="F91" s="6" t="s">
        <v>176</v>
      </c>
      <c r="G91" s="6" t="s">
        <v>176</v>
      </c>
      <c r="H91" s="6" t="s">
        <v>186</v>
      </c>
      <c r="I91" s="6" t="s">
        <v>177</v>
      </c>
      <c r="J91" s="237">
        <f>$C$6+$D$6+$G$6</f>
        <v>243.54588999999999</v>
      </c>
      <c r="K91" s="237">
        <f>$D$6+$E$6+$F$6+$G$6+$H$6</f>
        <v>278.10374999999999</v>
      </c>
      <c r="L91" s="237">
        <f t="shared" si="9"/>
        <v>34.557860000000005</v>
      </c>
      <c r="M91" s="241">
        <f t="shared" si="8"/>
        <v>5.0260951584000006E-2</v>
      </c>
    </row>
    <row r="92" spans="2:13" hidden="1" x14ac:dyDescent="0.25">
      <c r="B92" s="236">
        <v>42766</v>
      </c>
      <c r="C92" s="39">
        <v>24</v>
      </c>
      <c r="D92" s="6" t="s">
        <v>176</v>
      </c>
      <c r="E92" s="6" t="s">
        <v>176</v>
      </c>
      <c r="F92" s="6" t="s">
        <v>176</v>
      </c>
      <c r="G92" s="6" t="s">
        <v>176</v>
      </c>
      <c r="H92" s="6" t="s">
        <v>186</v>
      </c>
      <c r="I92" s="6" t="s">
        <v>177</v>
      </c>
      <c r="J92" s="237">
        <f>$C$6+$D$6+$G$6</f>
        <v>243.54588999999999</v>
      </c>
      <c r="K92" s="237">
        <f>$D$6+$E$6+$F$6+$G$6+$H$6</f>
        <v>278.10374999999999</v>
      </c>
      <c r="L92" s="237">
        <f t="shared" si="9"/>
        <v>34.557860000000005</v>
      </c>
      <c r="M92" s="242">
        <f t="shared" si="8"/>
        <v>5.0260951584000006E-2</v>
      </c>
    </row>
    <row r="93" spans="2:13" ht="19.5" hidden="1" thickBot="1" x14ac:dyDescent="0.35">
      <c r="M93" s="244">
        <f>SUM(M62:M92)</f>
        <v>1.5248541756960017</v>
      </c>
    </row>
    <row r="94" spans="2:13" hidden="1" x14ac:dyDescent="0.25"/>
    <row r="95" spans="2:13" hidden="1" x14ac:dyDescent="0.25">
      <c r="B95" s="223" t="s">
        <v>165</v>
      </c>
      <c r="C95" s="224" t="s">
        <v>166</v>
      </c>
      <c r="D95" s="246" t="s">
        <v>167</v>
      </c>
      <c r="E95" s="247"/>
      <c r="F95" s="247"/>
      <c r="G95" s="248"/>
      <c r="H95" s="224" t="s">
        <v>168</v>
      </c>
      <c r="I95" s="224" t="s">
        <v>169</v>
      </c>
      <c r="J95" s="225" t="s">
        <v>170</v>
      </c>
      <c r="K95" s="225" t="s">
        <v>171</v>
      </c>
      <c r="L95" s="225" t="s">
        <v>172</v>
      </c>
      <c r="M95" s="226" t="s">
        <v>173</v>
      </c>
    </row>
    <row r="96" spans="2:13" ht="15.75" hidden="1" thickBot="1" x14ac:dyDescent="0.3">
      <c r="B96" s="227"/>
      <c r="C96" s="228"/>
      <c r="D96" s="146" t="s">
        <v>183</v>
      </c>
      <c r="E96" s="146" t="s">
        <v>184</v>
      </c>
      <c r="F96" s="146" t="s">
        <v>4</v>
      </c>
      <c r="G96" s="146" t="s">
        <v>174</v>
      </c>
      <c r="H96" s="228"/>
      <c r="I96" s="228"/>
      <c r="J96" s="230"/>
      <c r="K96" s="230"/>
      <c r="L96" s="230"/>
      <c r="M96" s="231"/>
    </row>
    <row r="97" spans="2:13" hidden="1" x14ac:dyDescent="0.25">
      <c r="B97" s="232">
        <v>42767</v>
      </c>
      <c r="C97" s="233">
        <v>24</v>
      </c>
      <c r="D97" s="6" t="s">
        <v>176</v>
      </c>
      <c r="E97" s="6" t="s">
        <v>176</v>
      </c>
      <c r="F97" s="6" t="s">
        <v>176</v>
      </c>
      <c r="G97" s="6" t="s">
        <v>176</v>
      </c>
      <c r="H97" s="6" t="s">
        <v>186</v>
      </c>
      <c r="I97" s="6" t="s">
        <v>177</v>
      </c>
      <c r="J97" s="237">
        <f t="shared" ref="J97:J100" si="12">$C$6+$D$6+$G$6</f>
        <v>243.54588999999999</v>
      </c>
      <c r="K97" s="237">
        <f t="shared" ref="K97:K100" si="13">$D$6+$E$6+$F$6+$G$6+$H$6</f>
        <v>278.10374999999999</v>
      </c>
      <c r="L97" s="234">
        <f>K97-J97</f>
        <v>34.557860000000005</v>
      </c>
      <c r="M97" s="249">
        <f>(L97*C97*$F$10)/10^5</f>
        <v>4.9680379536000012E-2</v>
      </c>
    </row>
    <row r="98" spans="2:13" hidden="1" x14ac:dyDescent="0.25">
      <c r="B98" s="232">
        <v>42768</v>
      </c>
      <c r="C98" s="39">
        <v>24</v>
      </c>
      <c r="D98" s="6" t="s">
        <v>176</v>
      </c>
      <c r="E98" s="6" t="s">
        <v>176</v>
      </c>
      <c r="F98" s="6" t="s">
        <v>176</v>
      </c>
      <c r="G98" s="6" t="s">
        <v>176</v>
      </c>
      <c r="H98" s="6" t="s">
        <v>186</v>
      </c>
      <c r="I98" s="6" t="s">
        <v>177</v>
      </c>
      <c r="J98" s="237">
        <f t="shared" si="12"/>
        <v>243.54588999999999</v>
      </c>
      <c r="K98" s="237">
        <f t="shared" si="13"/>
        <v>278.10374999999999</v>
      </c>
      <c r="L98" s="237">
        <f t="shared" ref="L98:L124" si="14">K98-J98</f>
        <v>34.557860000000005</v>
      </c>
      <c r="M98" s="249">
        <f t="shared" ref="M98:M124" si="15">(L98*C98*$F$10)/10^5</f>
        <v>4.9680379536000012E-2</v>
      </c>
    </row>
    <row r="99" spans="2:13" hidden="1" x14ac:dyDescent="0.25">
      <c r="B99" s="232">
        <v>42769</v>
      </c>
      <c r="C99" s="39">
        <v>24</v>
      </c>
      <c r="D99" s="6" t="s">
        <v>176</v>
      </c>
      <c r="E99" s="6" t="s">
        <v>176</v>
      </c>
      <c r="F99" s="6" t="s">
        <v>176</v>
      </c>
      <c r="G99" s="6" t="s">
        <v>176</v>
      </c>
      <c r="H99" s="6" t="s">
        <v>186</v>
      </c>
      <c r="I99" s="6" t="s">
        <v>177</v>
      </c>
      <c r="J99" s="237">
        <f t="shared" si="12"/>
        <v>243.54588999999999</v>
      </c>
      <c r="K99" s="237">
        <f t="shared" si="13"/>
        <v>278.10374999999999</v>
      </c>
      <c r="L99" s="237">
        <f t="shared" si="14"/>
        <v>34.557860000000005</v>
      </c>
      <c r="M99" s="249">
        <f t="shared" si="15"/>
        <v>4.9680379536000012E-2</v>
      </c>
    </row>
    <row r="100" spans="2:13" hidden="1" x14ac:dyDescent="0.25">
      <c r="B100" s="232">
        <v>42770</v>
      </c>
      <c r="C100" s="39">
        <v>24</v>
      </c>
      <c r="D100" s="6" t="s">
        <v>175</v>
      </c>
      <c r="E100" s="6" t="s">
        <v>176</v>
      </c>
      <c r="F100" s="6" t="s">
        <v>176</v>
      </c>
      <c r="G100" s="6" t="s">
        <v>176</v>
      </c>
      <c r="H100" s="6" t="s">
        <v>186</v>
      </c>
      <c r="I100" s="6" t="s">
        <v>177</v>
      </c>
      <c r="J100" s="237">
        <f t="shared" si="12"/>
        <v>243.54588999999999</v>
      </c>
      <c r="K100" s="237">
        <f t="shared" si="13"/>
        <v>278.10374999999999</v>
      </c>
      <c r="L100" s="237">
        <f t="shared" si="14"/>
        <v>34.557860000000005</v>
      </c>
      <c r="M100" s="249">
        <f t="shared" si="15"/>
        <v>4.9680379536000012E-2</v>
      </c>
    </row>
    <row r="101" spans="2:13" hidden="1" x14ac:dyDescent="0.25">
      <c r="B101" s="232">
        <v>42771</v>
      </c>
      <c r="C101" s="39">
        <v>24</v>
      </c>
      <c r="D101" s="6" t="s">
        <v>175</v>
      </c>
      <c r="E101" s="6" t="s">
        <v>176</v>
      </c>
      <c r="F101" s="6" t="s">
        <v>176</v>
      </c>
      <c r="G101" s="6" t="s">
        <v>176</v>
      </c>
      <c r="H101" s="6" t="s">
        <v>157</v>
      </c>
      <c r="I101" s="6" t="s">
        <v>177</v>
      </c>
      <c r="J101" s="237">
        <f t="shared" ref="J101:J105" si="16">$D$6+$G$6</f>
        <v>107.67169</v>
      </c>
      <c r="K101" s="237">
        <f t="shared" ref="K101:K105" si="17">$G$6+$H$6+$F$6+$D$6</f>
        <v>197.81445000000002</v>
      </c>
      <c r="L101" s="237">
        <f t="shared" si="14"/>
        <v>90.142760000000024</v>
      </c>
      <c r="M101" s="249">
        <f t="shared" si="15"/>
        <v>0.12958923177600004</v>
      </c>
    </row>
    <row r="102" spans="2:13" hidden="1" x14ac:dyDescent="0.25">
      <c r="B102" s="232">
        <v>42772</v>
      </c>
      <c r="C102" s="39">
        <v>24</v>
      </c>
      <c r="D102" s="6" t="s">
        <v>175</v>
      </c>
      <c r="E102" s="6" t="s">
        <v>176</v>
      </c>
      <c r="F102" s="6" t="s">
        <v>176</v>
      </c>
      <c r="G102" s="6" t="s">
        <v>176</v>
      </c>
      <c r="H102" s="6" t="s">
        <v>157</v>
      </c>
      <c r="I102" s="6" t="s">
        <v>177</v>
      </c>
      <c r="J102" s="237">
        <f t="shared" si="16"/>
        <v>107.67169</v>
      </c>
      <c r="K102" s="237">
        <f t="shared" si="17"/>
        <v>197.81445000000002</v>
      </c>
      <c r="L102" s="237">
        <f t="shared" si="14"/>
        <v>90.142760000000024</v>
      </c>
      <c r="M102" s="249">
        <f t="shared" si="15"/>
        <v>0.12958923177600004</v>
      </c>
    </row>
    <row r="103" spans="2:13" hidden="1" x14ac:dyDescent="0.25">
      <c r="B103" s="232">
        <v>42773</v>
      </c>
      <c r="C103" s="39">
        <v>24</v>
      </c>
      <c r="D103" s="6" t="s">
        <v>175</v>
      </c>
      <c r="E103" s="6" t="s">
        <v>176</v>
      </c>
      <c r="F103" s="6" t="s">
        <v>176</v>
      </c>
      <c r="G103" s="6" t="s">
        <v>176</v>
      </c>
      <c r="H103" s="6" t="s">
        <v>157</v>
      </c>
      <c r="I103" s="6" t="s">
        <v>177</v>
      </c>
      <c r="J103" s="237">
        <f t="shared" si="16"/>
        <v>107.67169</v>
      </c>
      <c r="K103" s="237">
        <f t="shared" si="17"/>
        <v>197.81445000000002</v>
      </c>
      <c r="L103" s="237">
        <f t="shared" si="14"/>
        <v>90.142760000000024</v>
      </c>
      <c r="M103" s="249">
        <f t="shared" si="15"/>
        <v>0.12958923177600004</v>
      </c>
    </row>
    <row r="104" spans="2:13" hidden="1" x14ac:dyDescent="0.25">
      <c r="B104" s="232">
        <v>42774</v>
      </c>
      <c r="C104" s="39">
        <v>24</v>
      </c>
      <c r="D104" s="6" t="s">
        <v>176</v>
      </c>
      <c r="E104" s="6" t="s">
        <v>176</v>
      </c>
      <c r="F104" s="6" t="s">
        <v>176</v>
      </c>
      <c r="G104" s="6" t="s">
        <v>175</v>
      </c>
      <c r="H104" s="6" t="s">
        <v>157</v>
      </c>
      <c r="I104" s="6" t="s">
        <v>177</v>
      </c>
      <c r="J104" s="237">
        <f t="shared" si="16"/>
        <v>107.67169</v>
      </c>
      <c r="K104" s="237">
        <f t="shared" si="17"/>
        <v>197.81445000000002</v>
      </c>
      <c r="L104" s="237">
        <f t="shared" si="14"/>
        <v>90.142760000000024</v>
      </c>
      <c r="M104" s="249">
        <f t="shared" si="15"/>
        <v>0.12958923177600004</v>
      </c>
    </row>
    <row r="105" spans="2:13" hidden="1" x14ac:dyDescent="0.25">
      <c r="B105" s="232">
        <v>42775</v>
      </c>
      <c r="C105" s="39">
        <v>24</v>
      </c>
      <c r="D105" s="6" t="s">
        <v>176</v>
      </c>
      <c r="E105" s="6" t="s">
        <v>176</v>
      </c>
      <c r="F105" s="6" t="s">
        <v>176</v>
      </c>
      <c r="G105" s="6" t="s">
        <v>176</v>
      </c>
      <c r="H105" s="6" t="s">
        <v>157</v>
      </c>
      <c r="I105" s="6" t="s">
        <v>177</v>
      </c>
      <c r="J105" s="237">
        <f t="shared" si="16"/>
        <v>107.67169</v>
      </c>
      <c r="K105" s="237">
        <f t="shared" si="17"/>
        <v>197.81445000000002</v>
      </c>
      <c r="L105" s="237">
        <f t="shared" si="14"/>
        <v>90.142760000000024</v>
      </c>
      <c r="M105" s="249">
        <f t="shared" si="15"/>
        <v>0.12958923177600004</v>
      </c>
    </row>
    <row r="106" spans="2:13" hidden="1" x14ac:dyDescent="0.25">
      <c r="B106" s="232">
        <v>42776</v>
      </c>
      <c r="C106" s="39">
        <v>24</v>
      </c>
      <c r="D106" s="6" t="s">
        <v>176</v>
      </c>
      <c r="E106" s="6" t="s">
        <v>176</v>
      </c>
      <c r="F106" s="6" t="s">
        <v>176</v>
      </c>
      <c r="G106" s="6" t="s">
        <v>176</v>
      </c>
      <c r="H106" s="6" t="s">
        <v>191</v>
      </c>
      <c r="I106" s="6" t="s">
        <v>177</v>
      </c>
      <c r="J106" s="237">
        <f t="shared" ref="J106" si="18">$D$6+$E$6+$G$6</f>
        <v>187.96098999999998</v>
      </c>
      <c r="K106" s="237">
        <f t="shared" ref="K106" si="19">$D$6+$F$6+$H$6+$G$6</f>
        <v>197.81445000000002</v>
      </c>
      <c r="L106" s="237">
        <f t="shared" si="14"/>
        <v>9.853460000000041</v>
      </c>
      <c r="M106" s="249">
        <f t="shared" si="15"/>
        <v>1.416533409600006E-2</v>
      </c>
    </row>
    <row r="107" spans="2:13" hidden="1" x14ac:dyDescent="0.25">
      <c r="B107" s="232">
        <v>42777</v>
      </c>
      <c r="C107" s="39">
        <v>24</v>
      </c>
      <c r="D107" s="6" t="s">
        <v>176</v>
      </c>
      <c r="E107" s="6" t="s">
        <v>176</v>
      </c>
      <c r="F107" s="6" t="s">
        <v>175</v>
      </c>
      <c r="G107" s="6" t="s">
        <v>176</v>
      </c>
      <c r="H107" s="6" t="s">
        <v>189</v>
      </c>
      <c r="I107" s="6" t="s">
        <v>177</v>
      </c>
      <c r="J107" s="237">
        <f t="shared" ref="J107:J115" si="20">$E$6+$G$6</f>
        <v>108.2893</v>
      </c>
      <c r="K107" s="237">
        <f t="shared" ref="K107:K115" si="21">$D$6+$F$6+$G$6+$H$6</f>
        <v>197.81445000000002</v>
      </c>
      <c r="L107" s="237">
        <f t="shared" si="14"/>
        <v>89.525150000000025</v>
      </c>
      <c r="M107" s="249">
        <f t="shared" si="15"/>
        <v>0.12870135564000001</v>
      </c>
    </row>
    <row r="108" spans="2:13" hidden="1" x14ac:dyDescent="0.25">
      <c r="B108" s="232">
        <v>42778</v>
      </c>
      <c r="C108" s="39">
        <v>24</v>
      </c>
      <c r="D108" s="6" t="s">
        <v>176</v>
      </c>
      <c r="E108" s="6" t="s">
        <v>176</v>
      </c>
      <c r="F108" s="6" t="s">
        <v>175</v>
      </c>
      <c r="G108" s="6" t="s">
        <v>176</v>
      </c>
      <c r="H108" s="6" t="s">
        <v>189</v>
      </c>
      <c r="I108" s="6" t="s">
        <v>177</v>
      </c>
      <c r="J108" s="237">
        <f t="shared" si="20"/>
        <v>108.2893</v>
      </c>
      <c r="K108" s="237">
        <f t="shared" si="21"/>
        <v>197.81445000000002</v>
      </c>
      <c r="L108" s="237">
        <f t="shared" si="14"/>
        <v>89.525150000000025</v>
      </c>
      <c r="M108" s="249">
        <f t="shared" si="15"/>
        <v>0.12870135564000001</v>
      </c>
    </row>
    <row r="109" spans="2:13" hidden="1" x14ac:dyDescent="0.25">
      <c r="B109" s="232">
        <v>42779</v>
      </c>
      <c r="C109" s="39">
        <v>24</v>
      </c>
      <c r="D109" s="6" t="s">
        <v>176</v>
      </c>
      <c r="E109" s="6" t="s">
        <v>176</v>
      </c>
      <c r="F109" s="6" t="s">
        <v>175</v>
      </c>
      <c r="G109" s="6" t="s">
        <v>176</v>
      </c>
      <c r="H109" s="6" t="s">
        <v>189</v>
      </c>
      <c r="I109" s="6" t="s">
        <v>177</v>
      </c>
      <c r="J109" s="237">
        <f t="shared" si="20"/>
        <v>108.2893</v>
      </c>
      <c r="K109" s="237">
        <f t="shared" si="21"/>
        <v>197.81445000000002</v>
      </c>
      <c r="L109" s="237">
        <f t="shared" si="14"/>
        <v>89.525150000000025</v>
      </c>
      <c r="M109" s="249">
        <f t="shared" si="15"/>
        <v>0.12870135564000001</v>
      </c>
    </row>
    <row r="110" spans="2:13" hidden="1" x14ac:dyDescent="0.25">
      <c r="B110" s="232">
        <v>42780</v>
      </c>
      <c r="C110" s="39">
        <v>24</v>
      </c>
      <c r="D110" s="6" t="s">
        <v>176</v>
      </c>
      <c r="E110" s="6" t="s">
        <v>176</v>
      </c>
      <c r="F110" s="6" t="s">
        <v>175</v>
      </c>
      <c r="G110" s="6" t="s">
        <v>176</v>
      </c>
      <c r="H110" s="6" t="s">
        <v>189</v>
      </c>
      <c r="I110" s="6" t="s">
        <v>177</v>
      </c>
      <c r="J110" s="237">
        <f t="shared" si="20"/>
        <v>108.2893</v>
      </c>
      <c r="K110" s="237">
        <f t="shared" si="21"/>
        <v>197.81445000000002</v>
      </c>
      <c r="L110" s="237">
        <f t="shared" si="14"/>
        <v>89.525150000000025</v>
      </c>
      <c r="M110" s="249">
        <f t="shared" si="15"/>
        <v>0.12870135564000001</v>
      </c>
    </row>
    <row r="111" spans="2:13" hidden="1" x14ac:dyDescent="0.25">
      <c r="B111" s="232">
        <v>42781</v>
      </c>
      <c r="C111" s="39">
        <v>24</v>
      </c>
      <c r="D111" s="6" t="s">
        <v>176</v>
      </c>
      <c r="E111" s="6" t="s">
        <v>176</v>
      </c>
      <c r="F111" s="6" t="s">
        <v>175</v>
      </c>
      <c r="G111" s="6" t="s">
        <v>176</v>
      </c>
      <c r="H111" s="6" t="s">
        <v>189</v>
      </c>
      <c r="I111" s="6" t="s">
        <v>177</v>
      </c>
      <c r="J111" s="237">
        <f t="shared" si="20"/>
        <v>108.2893</v>
      </c>
      <c r="K111" s="237">
        <f t="shared" si="21"/>
        <v>197.81445000000002</v>
      </c>
      <c r="L111" s="237">
        <f t="shared" si="14"/>
        <v>89.525150000000025</v>
      </c>
      <c r="M111" s="249">
        <f t="shared" si="15"/>
        <v>0.12870135564000001</v>
      </c>
    </row>
    <row r="112" spans="2:13" hidden="1" x14ac:dyDescent="0.25">
      <c r="B112" s="232">
        <v>42782</v>
      </c>
      <c r="C112" s="39">
        <v>24</v>
      </c>
      <c r="D112" s="6" t="s">
        <v>175</v>
      </c>
      <c r="E112" s="6" t="s">
        <v>176</v>
      </c>
      <c r="F112" s="6" t="s">
        <v>175</v>
      </c>
      <c r="G112" s="6" t="s">
        <v>176</v>
      </c>
      <c r="H112" s="6" t="s">
        <v>189</v>
      </c>
      <c r="I112" s="6" t="s">
        <v>177</v>
      </c>
      <c r="J112" s="237">
        <f t="shared" si="20"/>
        <v>108.2893</v>
      </c>
      <c r="K112" s="237">
        <f t="shared" si="21"/>
        <v>197.81445000000002</v>
      </c>
      <c r="L112" s="237">
        <f t="shared" si="14"/>
        <v>89.525150000000025</v>
      </c>
      <c r="M112" s="249">
        <f t="shared" si="15"/>
        <v>0.12870135564000001</v>
      </c>
    </row>
    <row r="113" spans="2:13" hidden="1" x14ac:dyDescent="0.25">
      <c r="B113" s="232">
        <v>42783</v>
      </c>
      <c r="C113" s="39">
        <v>24</v>
      </c>
      <c r="D113" s="6" t="s">
        <v>175</v>
      </c>
      <c r="E113" s="6" t="s">
        <v>176</v>
      </c>
      <c r="F113" s="6" t="s">
        <v>175</v>
      </c>
      <c r="G113" s="6" t="s">
        <v>176</v>
      </c>
      <c r="H113" s="6" t="s">
        <v>189</v>
      </c>
      <c r="I113" s="6" t="s">
        <v>177</v>
      </c>
      <c r="J113" s="237">
        <f t="shared" si="20"/>
        <v>108.2893</v>
      </c>
      <c r="K113" s="237">
        <f t="shared" si="21"/>
        <v>197.81445000000002</v>
      </c>
      <c r="L113" s="237">
        <f t="shared" si="14"/>
        <v>89.525150000000025</v>
      </c>
      <c r="M113" s="249">
        <f t="shared" si="15"/>
        <v>0.12870135564000001</v>
      </c>
    </row>
    <row r="114" spans="2:13" hidden="1" x14ac:dyDescent="0.25">
      <c r="B114" s="232">
        <v>42784</v>
      </c>
      <c r="C114" s="39">
        <v>24</v>
      </c>
      <c r="D114" s="6" t="s">
        <v>175</v>
      </c>
      <c r="E114" s="6" t="s">
        <v>176</v>
      </c>
      <c r="F114" s="6" t="s">
        <v>175</v>
      </c>
      <c r="G114" s="6" t="s">
        <v>176</v>
      </c>
      <c r="H114" s="6" t="s">
        <v>189</v>
      </c>
      <c r="I114" s="6" t="s">
        <v>177</v>
      </c>
      <c r="J114" s="237">
        <f t="shared" si="20"/>
        <v>108.2893</v>
      </c>
      <c r="K114" s="237">
        <f t="shared" si="21"/>
        <v>197.81445000000002</v>
      </c>
      <c r="L114" s="237">
        <f t="shared" si="14"/>
        <v>89.525150000000025</v>
      </c>
      <c r="M114" s="249">
        <f t="shared" si="15"/>
        <v>0.12870135564000001</v>
      </c>
    </row>
    <row r="115" spans="2:13" hidden="1" x14ac:dyDescent="0.25">
      <c r="B115" s="232">
        <v>42785</v>
      </c>
      <c r="C115" s="39">
        <v>24</v>
      </c>
      <c r="D115" s="6" t="s">
        <v>175</v>
      </c>
      <c r="E115" s="6" t="s">
        <v>176</v>
      </c>
      <c r="F115" s="6" t="s">
        <v>175</v>
      </c>
      <c r="G115" s="6" t="s">
        <v>176</v>
      </c>
      <c r="H115" s="6" t="s">
        <v>189</v>
      </c>
      <c r="I115" s="6" t="s">
        <v>177</v>
      </c>
      <c r="J115" s="237">
        <f t="shared" si="20"/>
        <v>108.2893</v>
      </c>
      <c r="K115" s="237">
        <f t="shared" si="21"/>
        <v>197.81445000000002</v>
      </c>
      <c r="L115" s="237">
        <f t="shared" si="14"/>
        <v>89.525150000000025</v>
      </c>
      <c r="M115" s="249">
        <f t="shared" si="15"/>
        <v>0.12870135564000001</v>
      </c>
    </row>
    <row r="116" spans="2:13" hidden="1" x14ac:dyDescent="0.25">
      <c r="B116" s="232">
        <v>42786</v>
      </c>
      <c r="C116" s="39">
        <v>24</v>
      </c>
      <c r="D116" s="6" t="s">
        <v>175</v>
      </c>
      <c r="E116" s="6" t="s">
        <v>176</v>
      </c>
      <c r="F116" s="6" t="s">
        <v>176</v>
      </c>
      <c r="G116" s="6" t="s">
        <v>176</v>
      </c>
      <c r="H116" s="6" t="s">
        <v>186</v>
      </c>
      <c r="I116" s="6" t="s">
        <v>177</v>
      </c>
      <c r="J116" s="237">
        <f t="shared" ref="J116:J124" si="22">$C$6+$D$6+$G$6</f>
        <v>243.54588999999999</v>
      </c>
      <c r="K116" s="237">
        <f t="shared" ref="K116:K124" si="23">$D$6+$E$6+$F$6+$G$6+$H$6</f>
        <v>278.10374999999999</v>
      </c>
      <c r="L116" s="237">
        <f t="shared" si="14"/>
        <v>34.557860000000005</v>
      </c>
      <c r="M116" s="249">
        <f t="shared" si="15"/>
        <v>4.9680379536000012E-2</v>
      </c>
    </row>
    <row r="117" spans="2:13" hidden="1" x14ac:dyDescent="0.25">
      <c r="B117" s="232">
        <v>42787</v>
      </c>
      <c r="C117" s="39">
        <v>24</v>
      </c>
      <c r="D117" s="6" t="s">
        <v>176</v>
      </c>
      <c r="E117" s="6" t="s">
        <v>176</v>
      </c>
      <c r="F117" s="6" t="s">
        <v>176</v>
      </c>
      <c r="G117" s="6" t="s">
        <v>176</v>
      </c>
      <c r="H117" s="6" t="s">
        <v>186</v>
      </c>
      <c r="I117" s="6" t="s">
        <v>177</v>
      </c>
      <c r="J117" s="237">
        <f t="shared" si="22"/>
        <v>243.54588999999999</v>
      </c>
      <c r="K117" s="237">
        <f t="shared" si="23"/>
        <v>278.10374999999999</v>
      </c>
      <c r="L117" s="237">
        <f t="shared" si="14"/>
        <v>34.557860000000005</v>
      </c>
      <c r="M117" s="249">
        <f t="shared" si="15"/>
        <v>4.9680379536000012E-2</v>
      </c>
    </row>
    <row r="118" spans="2:13" hidden="1" x14ac:dyDescent="0.25">
      <c r="B118" s="232">
        <v>42788</v>
      </c>
      <c r="C118" s="39">
        <v>24</v>
      </c>
      <c r="D118" s="6" t="s">
        <v>176</v>
      </c>
      <c r="E118" s="6" t="s">
        <v>176</v>
      </c>
      <c r="F118" s="6" t="s">
        <v>176</v>
      </c>
      <c r="G118" s="6" t="s">
        <v>176</v>
      </c>
      <c r="H118" s="6" t="s">
        <v>186</v>
      </c>
      <c r="I118" s="6" t="s">
        <v>177</v>
      </c>
      <c r="J118" s="237">
        <f t="shared" si="22"/>
        <v>243.54588999999999</v>
      </c>
      <c r="K118" s="237">
        <f t="shared" si="23"/>
        <v>278.10374999999999</v>
      </c>
      <c r="L118" s="237">
        <f t="shared" si="14"/>
        <v>34.557860000000005</v>
      </c>
      <c r="M118" s="249">
        <f t="shared" si="15"/>
        <v>4.9680379536000012E-2</v>
      </c>
    </row>
    <row r="119" spans="2:13" hidden="1" x14ac:dyDescent="0.25">
      <c r="B119" s="232">
        <v>42789</v>
      </c>
      <c r="C119" s="39">
        <v>24</v>
      </c>
      <c r="D119" s="6" t="s">
        <v>175</v>
      </c>
      <c r="E119" s="6" t="s">
        <v>176</v>
      </c>
      <c r="F119" s="6" t="s">
        <v>176</v>
      </c>
      <c r="G119" s="6" t="s">
        <v>176</v>
      </c>
      <c r="H119" s="6" t="s">
        <v>186</v>
      </c>
      <c r="I119" s="6" t="s">
        <v>177</v>
      </c>
      <c r="J119" s="237">
        <f t="shared" si="22"/>
        <v>243.54588999999999</v>
      </c>
      <c r="K119" s="237">
        <f t="shared" si="23"/>
        <v>278.10374999999999</v>
      </c>
      <c r="L119" s="237">
        <f t="shared" si="14"/>
        <v>34.557860000000005</v>
      </c>
      <c r="M119" s="249">
        <f t="shared" si="15"/>
        <v>4.9680379536000012E-2</v>
      </c>
    </row>
    <row r="120" spans="2:13" hidden="1" x14ac:dyDescent="0.25">
      <c r="B120" s="232">
        <v>42790</v>
      </c>
      <c r="C120" s="39">
        <v>24</v>
      </c>
      <c r="D120" s="6" t="s">
        <v>175</v>
      </c>
      <c r="E120" s="6" t="s">
        <v>176</v>
      </c>
      <c r="F120" s="6" t="s">
        <v>176</v>
      </c>
      <c r="G120" s="6" t="s">
        <v>176</v>
      </c>
      <c r="H120" s="6" t="s">
        <v>186</v>
      </c>
      <c r="I120" s="6" t="s">
        <v>177</v>
      </c>
      <c r="J120" s="237">
        <f t="shared" si="22"/>
        <v>243.54588999999999</v>
      </c>
      <c r="K120" s="237">
        <f t="shared" si="23"/>
        <v>278.10374999999999</v>
      </c>
      <c r="L120" s="237">
        <f t="shared" si="14"/>
        <v>34.557860000000005</v>
      </c>
      <c r="M120" s="249">
        <f t="shared" si="15"/>
        <v>4.9680379536000012E-2</v>
      </c>
    </row>
    <row r="121" spans="2:13" hidden="1" x14ac:dyDescent="0.25">
      <c r="B121" s="232">
        <v>42791</v>
      </c>
      <c r="C121" s="39">
        <v>24</v>
      </c>
      <c r="D121" s="6" t="s">
        <v>175</v>
      </c>
      <c r="E121" s="6" t="s">
        <v>176</v>
      </c>
      <c r="F121" s="6" t="s">
        <v>176</v>
      </c>
      <c r="G121" s="6" t="s">
        <v>176</v>
      </c>
      <c r="H121" s="6" t="s">
        <v>186</v>
      </c>
      <c r="I121" s="6" t="s">
        <v>177</v>
      </c>
      <c r="J121" s="237">
        <f t="shared" si="22"/>
        <v>243.54588999999999</v>
      </c>
      <c r="K121" s="237">
        <f t="shared" si="23"/>
        <v>278.10374999999999</v>
      </c>
      <c r="L121" s="237">
        <f t="shared" si="14"/>
        <v>34.557860000000005</v>
      </c>
      <c r="M121" s="249">
        <f t="shared" si="15"/>
        <v>4.9680379536000012E-2</v>
      </c>
    </row>
    <row r="122" spans="2:13" hidden="1" x14ac:dyDescent="0.25">
      <c r="B122" s="232">
        <v>42792</v>
      </c>
      <c r="C122" s="39">
        <v>24</v>
      </c>
      <c r="D122" s="6" t="s">
        <v>175</v>
      </c>
      <c r="E122" s="6" t="s">
        <v>176</v>
      </c>
      <c r="F122" s="6" t="s">
        <v>176</v>
      </c>
      <c r="G122" s="6" t="s">
        <v>176</v>
      </c>
      <c r="H122" s="6" t="s">
        <v>186</v>
      </c>
      <c r="I122" s="6" t="s">
        <v>177</v>
      </c>
      <c r="J122" s="237">
        <f t="shared" si="22"/>
        <v>243.54588999999999</v>
      </c>
      <c r="K122" s="237">
        <f t="shared" si="23"/>
        <v>278.10374999999999</v>
      </c>
      <c r="L122" s="237">
        <f t="shared" si="14"/>
        <v>34.557860000000005</v>
      </c>
      <c r="M122" s="249">
        <f t="shared" si="15"/>
        <v>4.9680379536000012E-2</v>
      </c>
    </row>
    <row r="123" spans="2:13" hidden="1" x14ac:dyDescent="0.25">
      <c r="B123" s="232">
        <v>42793</v>
      </c>
      <c r="C123" s="39">
        <v>24</v>
      </c>
      <c r="D123" s="6" t="s">
        <v>175</v>
      </c>
      <c r="E123" s="6" t="s">
        <v>176</v>
      </c>
      <c r="F123" s="6" t="s">
        <v>176</v>
      </c>
      <c r="G123" s="6" t="s">
        <v>175</v>
      </c>
      <c r="H123" s="6" t="s">
        <v>186</v>
      </c>
      <c r="I123" s="6" t="s">
        <v>177</v>
      </c>
      <c r="J123" s="237">
        <f t="shared" si="22"/>
        <v>243.54588999999999</v>
      </c>
      <c r="K123" s="237">
        <f t="shared" si="23"/>
        <v>278.10374999999999</v>
      </c>
      <c r="L123" s="237">
        <f t="shared" si="14"/>
        <v>34.557860000000005</v>
      </c>
      <c r="M123" s="249">
        <f t="shared" si="15"/>
        <v>4.9680379536000012E-2</v>
      </c>
    </row>
    <row r="124" spans="2:13" hidden="1" x14ac:dyDescent="0.25">
      <c r="B124" s="232">
        <v>42794</v>
      </c>
      <c r="C124" s="39">
        <v>24</v>
      </c>
      <c r="D124" s="6" t="s">
        <v>175</v>
      </c>
      <c r="E124" s="6" t="s">
        <v>176</v>
      </c>
      <c r="F124" s="6" t="s">
        <v>176</v>
      </c>
      <c r="G124" s="6" t="s">
        <v>175</v>
      </c>
      <c r="H124" s="6" t="s">
        <v>186</v>
      </c>
      <c r="I124" s="6" t="s">
        <v>177</v>
      </c>
      <c r="J124" s="237">
        <f t="shared" si="22"/>
        <v>243.54588999999999</v>
      </c>
      <c r="K124" s="237">
        <f t="shared" si="23"/>
        <v>278.10374999999999</v>
      </c>
      <c r="L124" s="237">
        <f t="shared" si="14"/>
        <v>34.557860000000005</v>
      </c>
      <c r="M124" s="249">
        <f t="shared" si="15"/>
        <v>4.9680379536000012E-2</v>
      </c>
    </row>
    <row r="125" spans="2:13" ht="19.5" hidden="1" thickBot="1" x14ac:dyDescent="0.35">
      <c r="M125" s="244">
        <f>SUM(M97:M124)</f>
        <v>2.4662686277039998</v>
      </c>
    </row>
    <row r="126" spans="2:13" ht="15.75" thickBot="1" x14ac:dyDescent="0.3"/>
    <row r="127" spans="2:13" x14ac:dyDescent="0.25">
      <c r="B127" s="223" t="s">
        <v>165</v>
      </c>
      <c r="C127" s="224" t="s">
        <v>166</v>
      </c>
      <c r="D127" s="246" t="s">
        <v>167</v>
      </c>
      <c r="E127" s="247"/>
      <c r="F127" s="247"/>
      <c r="G127" s="248"/>
      <c r="H127" s="224" t="s">
        <v>168</v>
      </c>
      <c r="I127" s="224" t="s">
        <v>169</v>
      </c>
      <c r="J127" s="225" t="s">
        <v>170</v>
      </c>
      <c r="K127" s="225" t="s">
        <v>171</v>
      </c>
      <c r="L127" s="225" t="s">
        <v>172</v>
      </c>
      <c r="M127" s="226" t="s">
        <v>173</v>
      </c>
    </row>
    <row r="128" spans="2:13" ht="15.75" thickBot="1" x14ac:dyDescent="0.3">
      <c r="B128" s="227"/>
      <c r="C128" s="228"/>
      <c r="D128" s="146" t="s">
        <v>183</v>
      </c>
      <c r="E128" s="146" t="s">
        <v>184</v>
      </c>
      <c r="F128" s="146" t="s">
        <v>4</v>
      </c>
      <c r="G128" s="146" t="s">
        <v>174</v>
      </c>
      <c r="H128" s="228"/>
      <c r="I128" s="228"/>
      <c r="J128" s="230"/>
      <c r="K128" s="230"/>
      <c r="L128" s="230"/>
      <c r="M128" s="231"/>
    </row>
    <row r="129" spans="2:13" x14ac:dyDescent="0.25">
      <c r="B129" s="232">
        <v>42795</v>
      </c>
      <c r="C129" s="233">
        <v>24</v>
      </c>
      <c r="D129" s="6" t="s">
        <v>175</v>
      </c>
      <c r="E129" s="6" t="s">
        <v>176</v>
      </c>
      <c r="F129" s="6" t="s">
        <v>176</v>
      </c>
      <c r="G129" s="6" t="s">
        <v>175</v>
      </c>
      <c r="H129" s="6" t="s">
        <v>192</v>
      </c>
      <c r="I129" s="67" t="s">
        <v>177</v>
      </c>
      <c r="J129" s="237">
        <f t="shared" ref="J129:J133" si="24">$C$6+$D$6+$G$6</f>
        <v>243.54588999999999</v>
      </c>
      <c r="K129" s="237">
        <f t="shared" ref="K129:K133" si="25">$D$6+$E$6+$F$6+$G$6+$H$6</f>
        <v>278.10374999999999</v>
      </c>
      <c r="L129" s="234">
        <f>K129-J129</f>
        <v>34.557860000000005</v>
      </c>
      <c r="M129" s="249">
        <f>(L129*C129*$G$10)/10^5</f>
        <v>4.8933929760000008E-2</v>
      </c>
    </row>
    <row r="130" spans="2:13" x14ac:dyDescent="0.25">
      <c r="B130" s="232">
        <v>42796</v>
      </c>
      <c r="C130" s="39">
        <v>24</v>
      </c>
      <c r="D130" s="6" t="s">
        <v>175</v>
      </c>
      <c r="E130" s="6" t="s">
        <v>176</v>
      </c>
      <c r="F130" s="6" t="s">
        <v>176</v>
      </c>
      <c r="G130" s="6" t="s">
        <v>176</v>
      </c>
      <c r="H130" s="6" t="s">
        <v>192</v>
      </c>
      <c r="I130" s="6" t="s">
        <v>177</v>
      </c>
      <c r="J130" s="237">
        <f t="shared" si="24"/>
        <v>243.54588999999999</v>
      </c>
      <c r="K130" s="237">
        <f t="shared" si="25"/>
        <v>278.10374999999999</v>
      </c>
      <c r="L130" s="237">
        <f t="shared" ref="L130:L159" si="26">K130-J130</f>
        <v>34.557860000000005</v>
      </c>
      <c r="M130" s="249">
        <f t="shared" ref="M130:M159" si="27">(L130*C130*$G$10)/10^5</f>
        <v>4.8933929760000008E-2</v>
      </c>
    </row>
    <row r="131" spans="2:13" x14ac:dyDescent="0.25">
      <c r="B131" s="232">
        <v>42797</v>
      </c>
      <c r="C131" s="39">
        <v>24</v>
      </c>
      <c r="D131" s="6" t="s">
        <v>175</v>
      </c>
      <c r="E131" s="6" t="s">
        <v>176</v>
      </c>
      <c r="F131" s="6" t="s">
        <v>176</v>
      </c>
      <c r="G131" s="6" t="s">
        <v>176</v>
      </c>
      <c r="H131" s="6" t="s">
        <v>192</v>
      </c>
      <c r="I131" s="6" t="s">
        <v>177</v>
      </c>
      <c r="J131" s="237">
        <f t="shared" si="24"/>
        <v>243.54588999999999</v>
      </c>
      <c r="K131" s="237">
        <f t="shared" si="25"/>
        <v>278.10374999999999</v>
      </c>
      <c r="L131" s="237">
        <f t="shared" si="26"/>
        <v>34.557860000000005</v>
      </c>
      <c r="M131" s="249">
        <f t="shared" si="27"/>
        <v>4.8933929760000008E-2</v>
      </c>
    </row>
    <row r="132" spans="2:13" x14ac:dyDescent="0.25">
      <c r="B132" s="232">
        <v>42798</v>
      </c>
      <c r="C132" s="39">
        <v>24</v>
      </c>
      <c r="D132" s="6" t="s">
        <v>175</v>
      </c>
      <c r="E132" s="6" t="s">
        <v>176</v>
      </c>
      <c r="F132" s="6" t="s">
        <v>176</v>
      </c>
      <c r="G132" s="6" t="s">
        <v>176</v>
      </c>
      <c r="H132" s="6" t="s">
        <v>192</v>
      </c>
      <c r="I132" s="6" t="s">
        <v>177</v>
      </c>
      <c r="J132" s="237">
        <f t="shared" si="24"/>
        <v>243.54588999999999</v>
      </c>
      <c r="K132" s="237">
        <f t="shared" si="25"/>
        <v>278.10374999999999</v>
      </c>
      <c r="L132" s="237">
        <f t="shared" si="26"/>
        <v>34.557860000000005</v>
      </c>
      <c r="M132" s="249">
        <f t="shared" si="27"/>
        <v>4.8933929760000008E-2</v>
      </c>
    </row>
    <row r="133" spans="2:13" x14ac:dyDescent="0.25">
      <c r="B133" s="232">
        <v>42799</v>
      </c>
      <c r="C133" s="39">
        <v>24</v>
      </c>
      <c r="D133" s="6" t="s">
        <v>175</v>
      </c>
      <c r="E133" s="6" t="s">
        <v>176</v>
      </c>
      <c r="F133" s="6" t="s">
        <v>176</v>
      </c>
      <c r="G133" s="6" t="s">
        <v>176</v>
      </c>
      <c r="H133" s="6" t="s">
        <v>192</v>
      </c>
      <c r="I133" s="6" t="s">
        <v>177</v>
      </c>
      <c r="J133" s="237">
        <f t="shared" si="24"/>
        <v>243.54588999999999</v>
      </c>
      <c r="K133" s="237">
        <f t="shared" si="25"/>
        <v>278.10374999999999</v>
      </c>
      <c r="L133" s="237">
        <f t="shared" si="26"/>
        <v>34.557860000000005</v>
      </c>
      <c r="M133" s="249">
        <f t="shared" si="27"/>
        <v>4.8933929760000008E-2</v>
      </c>
    </row>
    <row r="134" spans="2:13" x14ac:dyDescent="0.25">
      <c r="B134" s="232">
        <v>42800</v>
      </c>
      <c r="C134" s="39">
        <v>24</v>
      </c>
      <c r="D134" s="6" t="s">
        <v>175</v>
      </c>
      <c r="E134" s="6" t="s">
        <v>176</v>
      </c>
      <c r="F134" s="6" t="s">
        <v>175</v>
      </c>
      <c r="G134" s="6" t="s">
        <v>176</v>
      </c>
      <c r="H134" s="6" t="s">
        <v>157</v>
      </c>
      <c r="I134" s="6" t="s">
        <v>177</v>
      </c>
      <c r="J134" s="237">
        <f t="shared" ref="J134:J141" si="28">$D$6+$G$6</f>
        <v>107.67169</v>
      </c>
      <c r="K134" s="237">
        <f t="shared" ref="K134:K141" si="29">$G$6+$H$6+$F$6+$D$6</f>
        <v>197.81445000000002</v>
      </c>
      <c r="L134" s="237">
        <f t="shared" si="26"/>
        <v>90.142760000000024</v>
      </c>
      <c r="M134" s="249">
        <f t="shared" si="27"/>
        <v>0.12764214816000005</v>
      </c>
    </row>
    <row r="135" spans="2:13" x14ac:dyDescent="0.25">
      <c r="B135" s="232">
        <v>42801</v>
      </c>
      <c r="C135" s="39">
        <v>24</v>
      </c>
      <c r="D135" s="6" t="s">
        <v>175</v>
      </c>
      <c r="E135" s="6" t="s">
        <v>176</v>
      </c>
      <c r="F135" s="6" t="s">
        <v>175</v>
      </c>
      <c r="G135" s="6" t="s">
        <v>176</v>
      </c>
      <c r="H135" s="6" t="s">
        <v>157</v>
      </c>
      <c r="I135" s="6" t="s">
        <v>177</v>
      </c>
      <c r="J135" s="237">
        <f t="shared" si="28"/>
        <v>107.67169</v>
      </c>
      <c r="K135" s="237">
        <f t="shared" si="29"/>
        <v>197.81445000000002</v>
      </c>
      <c r="L135" s="237">
        <f t="shared" si="26"/>
        <v>90.142760000000024</v>
      </c>
      <c r="M135" s="249">
        <f t="shared" si="27"/>
        <v>0.12764214816000005</v>
      </c>
    </row>
    <row r="136" spans="2:13" x14ac:dyDescent="0.25">
      <c r="B136" s="232">
        <v>42802</v>
      </c>
      <c r="C136" s="39">
        <v>24</v>
      </c>
      <c r="D136" s="6" t="s">
        <v>175</v>
      </c>
      <c r="E136" s="6" t="s">
        <v>176</v>
      </c>
      <c r="F136" s="6" t="s">
        <v>175</v>
      </c>
      <c r="G136" s="6" t="s">
        <v>176</v>
      </c>
      <c r="H136" s="6" t="s">
        <v>157</v>
      </c>
      <c r="I136" s="6" t="s">
        <v>177</v>
      </c>
      <c r="J136" s="237">
        <f t="shared" si="28"/>
        <v>107.67169</v>
      </c>
      <c r="K136" s="237">
        <f t="shared" si="29"/>
        <v>197.81445000000002</v>
      </c>
      <c r="L136" s="237">
        <f t="shared" si="26"/>
        <v>90.142760000000024</v>
      </c>
      <c r="M136" s="249">
        <f t="shared" si="27"/>
        <v>0.12764214816000005</v>
      </c>
    </row>
    <row r="137" spans="2:13" x14ac:dyDescent="0.25">
      <c r="B137" s="232">
        <v>42803</v>
      </c>
      <c r="C137" s="39">
        <v>24</v>
      </c>
      <c r="D137" s="6" t="s">
        <v>176</v>
      </c>
      <c r="E137" s="6" t="s">
        <v>176</v>
      </c>
      <c r="F137" s="6" t="s">
        <v>175</v>
      </c>
      <c r="G137" s="6" t="s">
        <v>176</v>
      </c>
      <c r="H137" s="6" t="s">
        <v>157</v>
      </c>
      <c r="I137" s="6" t="s">
        <v>177</v>
      </c>
      <c r="J137" s="237">
        <f t="shared" si="28"/>
        <v>107.67169</v>
      </c>
      <c r="K137" s="237">
        <f t="shared" si="29"/>
        <v>197.81445000000002</v>
      </c>
      <c r="L137" s="237">
        <f t="shared" si="26"/>
        <v>90.142760000000024</v>
      </c>
      <c r="M137" s="249">
        <f t="shared" si="27"/>
        <v>0.12764214816000005</v>
      </c>
    </row>
    <row r="138" spans="2:13" x14ac:dyDescent="0.25">
      <c r="B138" s="232">
        <v>42804</v>
      </c>
      <c r="C138" s="39">
        <v>24</v>
      </c>
      <c r="D138" s="6" t="s">
        <v>176</v>
      </c>
      <c r="E138" s="6" t="s">
        <v>176</v>
      </c>
      <c r="F138" s="6" t="s">
        <v>175</v>
      </c>
      <c r="G138" s="6" t="s">
        <v>176</v>
      </c>
      <c r="H138" s="6" t="s">
        <v>157</v>
      </c>
      <c r="I138" s="6" t="s">
        <v>177</v>
      </c>
      <c r="J138" s="237">
        <f t="shared" si="28"/>
        <v>107.67169</v>
      </c>
      <c r="K138" s="237">
        <f t="shared" si="29"/>
        <v>197.81445000000002</v>
      </c>
      <c r="L138" s="237">
        <f t="shared" si="26"/>
        <v>90.142760000000024</v>
      </c>
      <c r="M138" s="249">
        <f t="shared" si="27"/>
        <v>0.12764214816000005</v>
      </c>
    </row>
    <row r="139" spans="2:13" x14ac:dyDescent="0.25">
      <c r="B139" s="232">
        <v>42805</v>
      </c>
      <c r="C139" s="39">
        <v>24</v>
      </c>
      <c r="D139" s="6" t="s">
        <v>176</v>
      </c>
      <c r="E139" s="6" t="s">
        <v>176</v>
      </c>
      <c r="F139" s="6" t="s">
        <v>175</v>
      </c>
      <c r="G139" s="6" t="s">
        <v>176</v>
      </c>
      <c r="H139" s="6" t="s">
        <v>157</v>
      </c>
      <c r="I139" s="6" t="s">
        <v>177</v>
      </c>
      <c r="J139" s="237">
        <f t="shared" si="28"/>
        <v>107.67169</v>
      </c>
      <c r="K139" s="237">
        <f t="shared" si="29"/>
        <v>197.81445000000002</v>
      </c>
      <c r="L139" s="237">
        <f t="shared" si="26"/>
        <v>90.142760000000024</v>
      </c>
      <c r="M139" s="249">
        <f t="shared" si="27"/>
        <v>0.12764214816000005</v>
      </c>
    </row>
    <row r="140" spans="2:13" x14ac:dyDescent="0.25">
      <c r="B140" s="232">
        <v>42806</v>
      </c>
      <c r="C140" s="39">
        <v>24</v>
      </c>
      <c r="D140" s="6" t="s">
        <v>176</v>
      </c>
      <c r="E140" s="6" t="s">
        <v>176</v>
      </c>
      <c r="F140" s="6" t="s">
        <v>175</v>
      </c>
      <c r="G140" s="6" t="s">
        <v>176</v>
      </c>
      <c r="H140" s="6" t="s">
        <v>157</v>
      </c>
      <c r="I140" s="6" t="s">
        <v>177</v>
      </c>
      <c r="J140" s="237">
        <f t="shared" si="28"/>
        <v>107.67169</v>
      </c>
      <c r="K140" s="237">
        <f t="shared" si="29"/>
        <v>197.81445000000002</v>
      </c>
      <c r="L140" s="237">
        <f t="shared" si="26"/>
        <v>90.142760000000024</v>
      </c>
      <c r="M140" s="249">
        <f t="shared" si="27"/>
        <v>0.12764214816000005</v>
      </c>
    </row>
    <row r="141" spans="2:13" x14ac:dyDescent="0.25">
      <c r="B141" s="232">
        <v>42807</v>
      </c>
      <c r="C141" s="39">
        <v>24</v>
      </c>
      <c r="D141" s="6" t="s">
        <v>176</v>
      </c>
      <c r="E141" s="6" t="s">
        <v>176</v>
      </c>
      <c r="F141" s="6" t="s">
        <v>175</v>
      </c>
      <c r="G141" s="6" t="s">
        <v>176</v>
      </c>
      <c r="H141" s="6" t="s">
        <v>157</v>
      </c>
      <c r="I141" s="6" t="s">
        <v>177</v>
      </c>
      <c r="J141" s="237">
        <f t="shared" si="28"/>
        <v>107.67169</v>
      </c>
      <c r="K141" s="237">
        <f t="shared" si="29"/>
        <v>197.81445000000002</v>
      </c>
      <c r="L141" s="237">
        <f t="shared" si="26"/>
        <v>90.142760000000024</v>
      </c>
      <c r="M141" s="249">
        <f t="shared" si="27"/>
        <v>0.12764214816000005</v>
      </c>
    </row>
    <row r="142" spans="2:13" x14ac:dyDescent="0.25">
      <c r="B142" s="232">
        <v>42808</v>
      </c>
      <c r="C142" s="39">
        <v>24</v>
      </c>
      <c r="D142" s="6" t="s">
        <v>176</v>
      </c>
      <c r="E142" s="6" t="s">
        <v>176</v>
      </c>
      <c r="F142" s="6" t="s">
        <v>176</v>
      </c>
      <c r="G142" s="6" t="s">
        <v>176</v>
      </c>
      <c r="H142" s="6" t="s">
        <v>192</v>
      </c>
      <c r="I142" s="6" t="s">
        <v>177</v>
      </c>
      <c r="J142" s="237">
        <f t="shared" ref="J142:J159" si="30">$C$6+$D$6+$G$6</f>
        <v>243.54588999999999</v>
      </c>
      <c r="K142" s="237">
        <f t="shared" ref="K142:K159" si="31">$D$6+$E$6+$F$6+$G$6+$H$6</f>
        <v>278.10374999999999</v>
      </c>
      <c r="L142" s="237">
        <f t="shared" si="26"/>
        <v>34.557860000000005</v>
      </c>
      <c r="M142" s="249">
        <f t="shared" si="27"/>
        <v>4.8933929760000008E-2</v>
      </c>
    </row>
    <row r="143" spans="2:13" x14ac:dyDescent="0.25">
      <c r="B143" s="232">
        <v>42809</v>
      </c>
      <c r="C143" s="39">
        <v>24</v>
      </c>
      <c r="D143" s="6" t="s">
        <v>176</v>
      </c>
      <c r="E143" s="6" t="s">
        <v>176</v>
      </c>
      <c r="F143" s="6" t="s">
        <v>176</v>
      </c>
      <c r="G143" s="6" t="s">
        <v>176</v>
      </c>
      <c r="H143" s="6" t="s">
        <v>192</v>
      </c>
      <c r="I143" s="6" t="s">
        <v>177</v>
      </c>
      <c r="J143" s="237">
        <f t="shared" si="30"/>
        <v>243.54588999999999</v>
      </c>
      <c r="K143" s="237">
        <f t="shared" si="31"/>
        <v>278.10374999999999</v>
      </c>
      <c r="L143" s="237">
        <f t="shared" si="26"/>
        <v>34.557860000000005</v>
      </c>
      <c r="M143" s="249">
        <f t="shared" si="27"/>
        <v>4.8933929760000008E-2</v>
      </c>
    </row>
    <row r="144" spans="2:13" x14ac:dyDescent="0.25">
      <c r="B144" s="232">
        <v>42810</v>
      </c>
      <c r="C144" s="39">
        <v>24</v>
      </c>
      <c r="D144" s="6" t="s">
        <v>176</v>
      </c>
      <c r="E144" s="6" t="s">
        <v>175</v>
      </c>
      <c r="F144" s="6" t="s">
        <v>176</v>
      </c>
      <c r="G144" s="6" t="s">
        <v>176</v>
      </c>
      <c r="H144" s="6" t="s">
        <v>192</v>
      </c>
      <c r="I144" s="6" t="s">
        <v>177</v>
      </c>
      <c r="J144" s="237">
        <f t="shared" si="30"/>
        <v>243.54588999999999</v>
      </c>
      <c r="K144" s="237">
        <f t="shared" si="31"/>
        <v>278.10374999999999</v>
      </c>
      <c r="L144" s="237">
        <f t="shared" si="26"/>
        <v>34.557860000000005</v>
      </c>
      <c r="M144" s="249">
        <f t="shared" si="27"/>
        <v>4.8933929760000008E-2</v>
      </c>
    </row>
    <row r="145" spans="2:13" x14ac:dyDescent="0.25">
      <c r="B145" s="232">
        <v>42811</v>
      </c>
      <c r="C145" s="39">
        <v>24</v>
      </c>
      <c r="D145" s="6" t="s">
        <v>176</v>
      </c>
      <c r="E145" s="6" t="s">
        <v>175</v>
      </c>
      <c r="F145" s="6" t="s">
        <v>176</v>
      </c>
      <c r="G145" s="6" t="s">
        <v>176</v>
      </c>
      <c r="H145" s="6" t="s">
        <v>192</v>
      </c>
      <c r="I145" s="6" t="s">
        <v>177</v>
      </c>
      <c r="J145" s="237">
        <f t="shared" si="30"/>
        <v>243.54588999999999</v>
      </c>
      <c r="K145" s="237">
        <f t="shared" si="31"/>
        <v>278.10374999999999</v>
      </c>
      <c r="L145" s="237">
        <f t="shared" si="26"/>
        <v>34.557860000000005</v>
      </c>
      <c r="M145" s="249">
        <f t="shared" si="27"/>
        <v>4.8933929760000008E-2</v>
      </c>
    </row>
    <row r="146" spans="2:13" x14ac:dyDescent="0.25">
      <c r="B146" s="232">
        <v>42812</v>
      </c>
      <c r="C146" s="39">
        <v>24</v>
      </c>
      <c r="D146" s="6" t="s">
        <v>176</v>
      </c>
      <c r="E146" s="6" t="s">
        <v>175</v>
      </c>
      <c r="F146" s="6" t="s">
        <v>176</v>
      </c>
      <c r="G146" s="6" t="s">
        <v>176</v>
      </c>
      <c r="H146" s="6" t="s">
        <v>192</v>
      </c>
      <c r="I146" s="6" t="s">
        <v>177</v>
      </c>
      <c r="J146" s="237">
        <f t="shared" si="30"/>
        <v>243.54588999999999</v>
      </c>
      <c r="K146" s="237">
        <f t="shared" si="31"/>
        <v>278.10374999999999</v>
      </c>
      <c r="L146" s="237">
        <f t="shared" si="26"/>
        <v>34.557860000000005</v>
      </c>
      <c r="M146" s="249">
        <f t="shared" si="27"/>
        <v>4.8933929760000008E-2</v>
      </c>
    </row>
    <row r="147" spans="2:13" x14ac:dyDescent="0.25">
      <c r="B147" s="232">
        <v>42813</v>
      </c>
      <c r="C147" s="39">
        <v>24</v>
      </c>
      <c r="D147" s="6" t="s">
        <v>176</v>
      </c>
      <c r="E147" s="6" t="s">
        <v>175</v>
      </c>
      <c r="F147" s="6" t="s">
        <v>176</v>
      </c>
      <c r="G147" s="6" t="s">
        <v>176</v>
      </c>
      <c r="H147" s="6" t="s">
        <v>192</v>
      </c>
      <c r="I147" s="6" t="s">
        <v>177</v>
      </c>
      <c r="J147" s="237">
        <f t="shared" si="30"/>
        <v>243.54588999999999</v>
      </c>
      <c r="K147" s="237">
        <f t="shared" si="31"/>
        <v>278.10374999999999</v>
      </c>
      <c r="L147" s="237">
        <f t="shared" si="26"/>
        <v>34.557860000000005</v>
      </c>
      <c r="M147" s="249">
        <f t="shared" si="27"/>
        <v>4.8933929760000008E-2</v>
      </c>
    </row>
    <row r="148" spans="2:13" x14ac:dyDescent="0.25">
      <c r="B148" s="232">
        <v>42814</v>
      </c>
      <c r="C148" s="39">
        <v>24</v>
      </c>
      <c r="D148" s="6" t="s">
        <v>176</v>
      </c>
      <c r="E148" s="6" t="s">
        <v>175</v>
      </c>
      <c r="F148" s="6" t="s">
        <v>176</v>
      </c>
      <c r="G148" s="6" t="s">
        <v>176</v>
      </c>
      <c r="H148" s="6" t="s">
        <v>192</v>
      </c>
      <c r="I148" s="6" t="s">
        <v>177</v>
      </c>
      <c r="J148" s="237">
        <f t="shared" si="30"/>
        <v>243.54588999999999</v>
      </c>
      <c r="K148" s="237">
        <f t="shared" si="31"/>
        <v>278.10374999999999</v>
      </c>
      <c r="L148" s="237">
        <f t="shared" si="26"/>
        <v>34.557860000000005</v>
      </c>
      <c r="M148" s="249">
        <f t="shared" si="27"/>
        <v>4.8933929760000008E-2</v>
      </c>
    </row>
    <row r="149" spans="2:13" x14ac:dyDescent="0.25">
      <c r="B149" s="232">
        <v>42815</v>
      </c>
      <c r="C149" s="39">
        <v>24</v>
      </c>
      <c r="D149" s="6" t="s">
        <v>175</v>
      </c>
      <c r="E149" s="6" t="s">
        <v>175</v>
      </c>
      <c r="F149" s="6" t="s">
        <v>176</v>
      </c>
      <c r="G149" s="6" t="s">
        <v>176</v>
      </c>
      <c r="H149" s="6" t="s">
        <v>192</v>
      </c>
      <c r="I149" s="6" t="s">
        <v>177</v>
      </c>
      <c r="J149" s="237">
        <f t="shared" si="30"/>
        <v>243.54588999999999</v>
      </c>
      <c r="K149" s="237">
        <f t="shared" si="31"/>
        <v>278.10374999999999</v>
      </c>
      <c r="L149" s="237">
        <f t="shared" si="26"/>
        <v>34.557860000000005</v>
      </c>
      <c r="M149" s="249">
        <f t="shared" si="27"/>
        <v>4.8933929760000008E-2</v>
      </c>
    </row>
    <row r="150" spans="2:13" x14ac:dyDescent="0.25">
      <c r="B150" s="232">
        <v>42816</v>
      </c>
      <c r="C150" s="39">
        <v>24</v>
      </c>
      <c r="D150" s="6" t="s">
        <v>176</v>
      </c>
      <c r="E150" s="6" t="s">
        <v>176</v>
      </c>
      <c r="F150" s="6" t="s">
        <v>176</v>
      </c>
      <c r="G150" s="6" t="s">
        <v>176</v>
      </c>
      <c r="H150" s="6" t="s">
        <v>192</v>
      </c>
      <c r="I150" s="6" t="s">
        <v>177</v>
      </c>
      <c r="J150" s="237">
        <f t="shared" si="30"/>
        <v>243.54588999999999</v>
      </c>
      <c r="K150" s="237">
        <f t="shared" si="31"/>
        <v>278.10374999999999</v>
      </c>
      <c r="L150" s="237">
        <f t="shared" si="26"/>
        <v>34.557860000000005</v>
      </c>
      <c r="M150" s="249">
        <f t="shared" si="27"/>
        <v>4.8933929760000008E-2</v>
      </c>
    </row>
    <row r="151" spans="2:13" x14ac:dyDescent="0.25">
      <c r="B151" s="232">
        <v>42817</v>
      </c>
      <c r="C151" s="39">
        <v>24</v>
      </c>
      <c r="D151" s="6" t="s">
        <v>176</v>
      </c>
      <c r="E151" s="6" t="s">
        <v>176</v>
      </c>
      <c r="F151" s="6" t="s">
        <v>176</v>
      </c>
      <c r="G151" s="6" t="s">
        <v>176</v>
      </c>
      <c r="H151" s="6" t="s">
        <v>192</v>
      </c>
      <c r="I151" s="6" t="s">
        <v>177</v>
      </c>
      <c r="J151" s="237">
        <f t="shared" si="30"/>
        <v>243.54588999999999</v>
      </c>
      <c r="K151" s="237">
        <f t="shared" si="31"/>
        <v>278.10374999999999</v>
      </c>
      <c r="L151" s="237">
        <f t="shared" si="26"/>
        <v>34.557860000000005</v>
      </c>
      <c r="M151" s="249">
        <f t="shared" si="27"/>
        <v>4.8933929760000008E-2</v>
      </c>
    </row>
    <row r="152" spans="2:13" x14ac:dyDescent="0.25">
      <c r="B152" s="232">
        <v>42818</v>
      </c>
      <c r="C152" s="39">
        <v>24</v>
      </c>
      <c r="D152" s="6" t="s">
        <v>176</v>
      </c>
      <c r="E152" s="6" t="s">
        <v>176</v>
      </c>
      <c r="F152" s="6" t="s">
        <v>176</v>
      </c>
      <c r="G152" s="6" t="s">
        <v>176</v>
      </c>
      <c r="H152" s="6" t="s">
        <v>192</v>
      </c>
      <c r="I152" s="6" t="s">
        <v>177</v>
      </c>
      <c r="J152" s="237">
        <f t="shared" si="30"/>
        <v>243.54588999999999</v>
      </c>
      <c r="K152" s="237">
        <f t="shared" si="31"/>
        <v>278.10374999999999</v>
      </c>
      <c r="L152" s="237">
        <f t="shared" si="26"/>
        <v>34.557860000000005</v>
      </c>
      <c r="M152" s="249">
        <f t="shared" si="27"/>
        <v>4.8933929760000008E-2</v>
      </c>
    </row>
    <row r="153" spans="2:13" x14ac:dyDescent="0.25">
      <c r="B153" s="232">
        <v>42819</v>
      </c>
      <c r="C153" s="39">
        <v>24</v>
      </c>
      <c r="D153" s="6" t="s">
        <v>176</v>
      </c>
      <c r="E153" s="6" t="s">
        <v>176</v>
      </c>
      <c r="F153" s="6" t="s">
        <v>176</v>
      </c>
      <c r="G153" s="6" t="s">
        <v>176</v>
      </c>
      <c r="H153" s="6" t="s">
        <v>192</v>
      </c>
      <c r="I153" s="6" t="s">
        <v>177</v>
      </c>
      <c r="J153" s="237">
        <f t="shared" si="30"/>
        <v>243.54588999999999</v>
      </c>
      <c r="K153" s="237">
        <f t="shared" si="31"/>
        <v>278.10374999999999</v>
      </c>
      <c r="L153" s="237">
        <f t="shared" si="26"/>
        <v>34.557860000000005</v>
      </c>
      <c r="M153" s="249">
        <f t="shared" si="27"/>
        <v>4.8933929760000008E-2</v>
      </c>
    </row>
    <row r="154" spans="2:13" x14ac:dyDescent="0.25">
      <c r="B154" s="232">
        <v>42820</v>
      </c>
      <c r="C154" s="39">
        <v>24</v>
      </c>
      <c r="D154" s="6" t="s">
        <v>175</v>
      </c>
      <c r="E154" s="6" t="s">
        <v>176</v>
      </c>
      <c r="F154" s="6" t="s">
        <v>176</v>
      </c>
      <c r="G154" s="6" t="s">
        <v>176</v>
      </c>
      <c r="H154" s="6" t="s">
        <v>192</v>
      </c>
      <c r="I154" s="6" t="s">
        <v>177</v>
      </c>
      <c r="J154" s="237">
        <f t="shared" si="30"/>
        <v>243.54588999999999</v>
      </c>
      <c r="K154" s="237">
        <f t="shared" si="31"/>
        <v>278.10374999999999</v>
      </c>
      <c r="L154" s="237">
        <f t="shared" si="26"/>
        <v>34.557860000000005</v>
      </c>
      <c r="M154" s="249">
        <f t="shared" si="27"/>
        <v>4.8933929760000008E-2</v>
      </c>
    </row>
    <row r="155" spans="2:13" x14ac:dyDescent="0.25">
      <c r="B155" s="232">
        <v>42821</v>
      </c>
      <c r="C155" s="39">
        <v>24</v>
      </c>
      <c r="D155" s="6" t="s">
        <v>175</v>
      </c>
      <c r="E155" s="6" t="s">
        <v>176</v>
      </c>
      <c r="F155" s="6" t="s">
        <v>176</v>
      </c>
      <c r="G155" s="6" t="s">
        <v>176</v>
      </c>
      <c r="H155" s="6" t="s">
        <v>192</v>
      </c>
      <c r="I155" s="6" t="s">
        <v>177</v>
      </c>
      <c r="J155" s="237">
        <f t="shared" si="30"/>
        <v>243.54588999999999</v>
      </c>
      <c r="K155" s="237">
        <f t="shared" si="31"/>
        <v>278.10374999999999</v>
      </c>
      <c r="L155" s="237">
        <f t="shared" si="26"/>
        <v>34.557860000000005</v>
      </c>
      <c r="M155" s="249">
        <f t="shared" si="27"/>
        <v>4.8933929760000008E-2</v>
      </c>
    </row>
    <row r="156" spans="2:13" x14ac:dyDescent="0.25">
      <c r="B156" s="232">
        <v>42822</v>
      </c>
      <c r="C156" s="39">
        <v>24</v>
      </c>
      <c r="D156" s="6" t="s">
        <v>176</v>
      </c>
      <c r="E156" s="6" t="s">
        <v>176</v>
      </c>
      <c r="F156" s="6" t="s">
        <v>175</v>
      </c>
      <c r="G156" s="6" t="s">
        <v>176</v>
      </c>
      <c r="H156" s="6" t="s">
        <v>192</v>
      </c>
      <c r="I156" s="6" t="s">
        <v>177</v>
      </c>
      <c r="J156" s="237">
        <f t="shared" si="30"/>
        <v>243.54588999999999</v>
      </c>
      <c r="K156" s="237">
        <f t="shared" si="31"/>
        <v>278.10374999999999</v>
      </c>
      <c r="L156" s="237">
        <f t="shared" si="26"/>
        <v>34.557860000000005</v>
      </c>
      <c r="M156" s="249">
        <f t="shared" si="27"/>
        <v>4.8933929760000008E-2</v>
      </c>
    </row>
    <row r="157" spans="2:13" x14ac:dyDescent="0.25">
      <c r="B157" s="232">
        <v>42823</v>
      </c>
      <c r="C157" s="39">
        <v>24</v>
      </c>
      <c r="D157" s="6" t="s">
        <v>176</v>
      </c>
      <c r="E157" s="6" t="s">
        <v>176</v>
      </c>
      <c r="F157" s="6" t="s">
        <v>175</v>
      </c>
      <c r="G157" s="6" t="s">
        <v>176</v>
      </c>
      <c r="H157" s="6" t="s">
        <v>192</v>
      </c>
      <c r="I157" s="6" t="s">
        <v>177</v>
      </c>
      <c r="J157" s="237">
        <f t="shared" si="30"/>
        <v>243.54588999999999</v>
      </c>
      <c r="K157" s="237">
        <f t="shared" si="31"/>
        <v>278.10374999999999</v>
      </c>
      <c r="L157" s="237">
        <f t="shared" si="26"/>
        <v>34.557860000000005</v>
      </c>
      <c r="M157" s="249">
        <f t="shared" si="27"/>
        <v>4.8933929760000008E-2</v>
      </c>
    </row>
    <row r="158" spans="2:13" x14ac:dyDescent="0.25">
      <c r="B158" s="232">
        <v>42824</v>
      </c>
      <c r="C158" s="39">
        <v>24</v>
      </c>
      <c r="D158" s="6" t="s">
        <v>176</v>
      </c>
      <c r="E158" s="6" t="s">
        <v>176</v>
      </c>
      <c r="F158" s="6" t="s">
        <v>175</v>
      </c>
      <c r="G158" s="6" t="s">
        <v>176</v>
      </c>
      <c r="H158" s="6" t="s">
        <v>192</v>
      </c>
      <c r="I158" s="6" t="s">
        <v>177</v>
      </c>
      <c r="J158" s="237">
        <f t="shared" si="30"/>
        <v>243.54588999999999</v>
      </c>
      <c r="K158" s="237">
        <f t="shared" si="31"/>
        <v>278.10374999999999</v>
      </c>
      <c r="L158" s="237">
        <f t="shared" si="26"/>
        <v>34.557860000000005</v>
      </c>
      <c r="M158" s="249">
        <f t="shared" si="27"/>
        <v>4.8933929760000008E-2</v>
      </c>
    </row>
    <row r="159" spans="2:13" ht="15.75" thickBot="1" x14ac:dyDescent="0.3">
      <c r="B159" s="232">
        <v>42825</v>
      </c>
      <c r="C159" s="39">
        <v>24</v>
      </c>
      <c r="D159" s="6" t="s">
        <v>176</v>
      </c>
      <c r="E159" s="6" t="s">
        <v>176</v>
      </c>
      <c r="F159" s="6" t="s">
        <v>175</v>
      </c>
      <c r="G159" s="6" t="s">
        <v>176</v>
      </c>
      <c r="H159" s="6" t="s">
        <v>192</v>
      </c>
      <c r="I159" s="6" t="s">
        <v>177</v>
      </c>
      <c r="J159" s="237">
        <f t="shared" si="30"/>
        <v>243.54588999999999</v>
      </c>
      <c r="K159" s="237">
        <f t="shared" si="31"/>
        <v>278.10374999999999</v>
      </c>
      <c r="L159" s="237">
        <f t="shared" si="26"/>
        <v>34.557860000000005</v>
      </c>
      <c r="M159" s="249">
        <f t="shared" si="27"/>
        <v>4.8933929760000008E-2</v>
      </c>
    </row>
    <row r="160" spans="2:13" ht="19.5" thickBot="1" x14ac:dyDescent="0.35">
      <c r="M160" s="244">
        <f>SUM(M129:M159)</f>
        <v>2.1466175697600005</v>
      </c>
    </row>
  </sheetData>
  <mergeCells count="45">
    <mergeCell ref="K127:K128"/>
    <mergeCell ref="L127:L128"/>
    <mergeCell ref="M127:M128"/>
    <mergeCell ref="B127:B128"/>
    <mergeCell ref="C127:C128"/>
    <mergeCell ref="D127:G127"/>
    <mergeCell ref="H127:H128"/>
    <mergeCell ref="I127:I128"/>
    <mergeCell ref="J127:J128"/>
    <mergeCell ref="M60:M61"/>
    <mergeCell ref="B95:B96"/>
    <mergeCell ref="C95:C96"/>
    <mergeCell ref="D95:G95"/>
    <mergeCell ref="H95:H96"/>
    <mergeCell ref="I95:I96"/>
    <mergeCell ref="J95:J96"/>
    <mergeCell ref="K95:K96"/>
    <mergeCell ref="L95:L96"/>
    <mergeCell ref="M95:M96"/>
    <mergeCell ref="L25:L26"/>
    <mergeCell ref="M25:M26"/>
    <mergeCell ref="B60:B61"/>
    <mergeCell ref="C60:C61"/>
    <mergeCell ref="D60:G60"/>
    <mergeCell ref="H60:H61"/>
    <mergeCell ref="I60:I61"/>
    <mergeCell ref="J60:J61"/>
    <mergeCell ref="K60:K61"/>
    <mergeCell ref="L60:L61"/>
    <mergeCell ref="K12:K13"/>
    <mergeCell ref="L12:L13"/>
    <mergeCell ref="M12:M13"/>
    <mergeCell ref="B25:B26"/>
    <mergeCell ref="C25:C26"/>
    <mergeCell ref="F25:G25"/>
    <mergeCell ref="H25:H26"/>
    <mergeCell ref="I25:I26"/>
    <mergeCell ref="J25:J26"/>
    <mergeCell ref="K25:K26"/>
    <mergeCell ref="B12:B13"/>
    <mergeCell ref="C12:C13"/>
    <mergeCell ref="F12:G12"/>
    <mergeCell ref="H12:H13"/>
    <mergeCell ref="I12:I13"/>
    <mergeCell ref="J12:J1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4"/>
  <sheetViews>
    <sheetView workbookViewId="0">
      <selection activeCell="G23" sqref="G23"/>
    </sheetView>
  </sheetViews>
  <sheetFormatPr defaultRowHeight="15" x14ac:dyDescent="0.25"/>
  <cols>
    <col min="3" max="3" width="34.5703125" bestFit="1" customWidth="1"/>
    <col min="4" max="4" width="9.5703125" bestFit="1" customWidth="1"/>
  </cols>
  <sheetData>
    <row r="3" spans="3:8" ht="15.75" thickBot="1" x14ac:dyDescent="0.3"/>
    <row r="4" spans="3:8" ht="15.75" thickBot="1" x14ac:dyDescent="0.3">
      <c r="C4" s="195" t="s">
        <v>85</v>
      </c>
      <c r="D4" s="196"/>
      <c r="E4" s="197"/>
    </row>
    <row r="5" spans="3:8" x14ac:dyDescent="0.25">
      <c r="C5" s="62" t="s">
        <v>80</v>
      </c>
      <c r="D5" s="63">
        <v>18.5</v>
      </c>
      <c r="E5" s="69" t="s">
        <v>81</v>
      </c>
    </row>
    <row r="6" spans="3:8" x14ac:dyDescent="0.25">
      <c r="C6" s="34" t="s">
        <v>84</v>
      </c>
      <c r="D6" s="6">
        <f>D5*0.9</f>
        <v>16.650000000000002</v>
      </c>
      <c r="E6" s="65" t="s">
        <v>81</v>
      </c>
    </row>
    <row r="7" spans="3:8" x14ac:dyDescent="0.25">
      <c r="C7" s="34" t="s">
        <v>82</v>
      </c>
      <c r="D7" s="6">
        <v>75</v>
      </c>
      <c r="E7" s="65" t="s">
        <v>81</v>
      </c>
    </row>
    <row r="8" spans="3:8" x14ac:dyDescent="0.25">
      <c r="C8" s="34" t="s">
        <v>83</v>
      </c>
      <c r="D8" s="6">
        <f>D7*0.7</f>
        <v>52.5</v>
      </c>
      <c r="E8" s="65" t="s">
        <v>81</v>
      </c>
      <c r="G8" s="61"/>
      <c r="H8" s="61"/>
    </row>
    <row r="9" spans="3:8" x14ac:dyDescent="0.25">
      <c r="C9" s="34" t="s">
        <v>86</v>
      </c>
      <c r="D9" s="6">
        <f>D6+D8</f>
        <v>69.150000000000006</v>
      </c>
      <c r="E9" s="65" t="s">
        <v>87</v>
      </c>
    </row>
    <row r="10" spans="3:8" x14ac:dyDescent="0.25">
      <c r="C10" s="34" t="s">
        <v>88</v>
      </c>
      <c r="D10" s="37">
        <v>80</v>
      </c>
      <c r="E10" s="65" t="s">
        <v>89</v>
      </c>
    </row>
    <row r="11" spans="3:8" x14ac:dyDescent="0.25">
      <c r="C11" s="34" t="s">
        <v>90</v>
      </c>
      <c r="D11" s="6">
        <v>5</v>
      </c>
      <c r="E11" s="65" t="s">
        <v>91</v>
      </c>
    </row>
    <row r="12" spans="3:8" x14ac:dyDescent="0.25">
      <c r="C12" s="34" t="s">
        <v>93</v>
      </c>
      <c r="D12" s="6">
        <f>D9*24*D10*D11</f>
        <v>663840</v>
      </c>
      <c r="E12" s="65" t="s">
        <v>92</v>
      </c>
    </row>
    <row r="13" spans="3:8" ht="15.75" thickBot="1" x14ac:dyDescent="0.3">
      <c r="C13" s="64"/>
      <c r="D13" s="77">
        <f>D12/10^5</f>
        <v>6.6383999999999999</v>
      </c>
      <c r="E13" s="78" t="s">
        <v>94</v>
      </c>
    </row>
    <row r="14" spans="3:8" ht="15.75" thickBot="1" x14ac:dyDescent="0.3"/>
    <row r="15" spans="3:8" ht="15.75" thickBot="1" x14ac:dyDescent="0.3">
      <c r="C15" s="195" t="s">
        <v>137</v>
      </c>
      <c r="D15" s="196"/>
      <c r="E15" s="197"/>
    </row>
    <row r="16" spans="3:8" x14ac:dyDescent="0.25">
      <c r="C16" s="66" t="s">
        <v>95</v>
      </c>
      <c r="D16" s="67">
        <f>0.8*300</f>
        <v>240</v>
      </c>
      <c r="E16" s="68" t="s">
        <v>44</v>
      </c>
    </row>
    <row r="17" spans="3:5" x14ac:dyDescent="0.25">
      <c r="C17" s="34" t="s">
        <v>98</v>
      </c>
      <c r="D17" s="6">
        <f>0.02*D16/100</f>
        <v>4.8000000000000001E-2</v>
      </c>
      <c r="E17" s="65" t="s">
        <v>44</v>
      </c>
    </row>
    <row r="18" spans="3:5" x14ac:dyDescent="0.25">
      <c r="C18" s="34" t="s">
        <v>99</v>
      </c>
      <c r="D18" s="6">
        <f>D17*24*D10</f>
        <v>92.160000000000011</v>
      </c>
      <c r="E18" s="65" t="s">
        <v>97</v>
      </c>
    </row>
    <row r="19" spans="3:5" x14ac:dyDescent="0.25">
      <c r="C19" s="34" t="s">
        <v>93</v>
      </c>
      <c r="D19" s="6">
        <f>D18*36</f>
        <v>3317.76</v>
      </c>
      <c r="E19" s="65" t="s">
        <v>92</v>
      </c>
    </row>
    <row r="20" spans="3:5" ht="15.75" thickBot="1" x14ac:dyDescent="0.3">
      <c r="C20" s="64"/>
      <c r="D20" s="77">
        <f>D19/10^5</f>
        <v>3.3177600000000002E-2</v>
      </c>
      <c r="E20" s="78" t="s">
        <v>94</v>
      </c>
    </row>
    <row r="21" spans="3:5" ht="15.75" thickBot="1" x14ac:dyDescent="0.3">
      <c r="C21" s="11"/>
      <c r="D21" s="11"/>
      <c r="E21" s="11"/>
    </row>
    <row r="22" spans="3:5" x14ac:dyDescent="0.25">
      <c r="C22" s="73" t="s">
        <v>138</v>
      </c>
      <c r="D22" s="74" t="s">
        <v>94</v>
      </c>
      <c r="E22" s="70">
        <f>D13+D20</f>
        <v>6.6715776</v>
      </c>
    </row>
    <row r="23" spans="3:5" x14ac:dyDescent="0.25">
      <c r="C23" s="75" t="s">
        <v>139</v>
      </c>
      <c r="D23" s="7" t="s">
        <v>94</v>
      </c>
      <c r="E23" s="71">
        <f>Costing!G31/100000</f>
        <v>1.1821425000000001</v>
      </c>
    </row>
    <row r="24" spans="3:5" ht="15.75" thickBot="1" x14ac:dyDescent="0.3">
      <c r="C24" s="35" t="s">
        <v>140</v>
      </c>
      <c r="D24" s="76" t="s">
        <v>150</v>
      </c>
      <c r="E24" s="72">
        <f>E23*12/E22</f>
        <v>2.1262901895947368</v>
      </c>
    </row>
  </sheetData>
  <mergeCells count="2">
    <mergeCell ref="C4:E4"/>
    <mergeCell ref="C15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31"/>
  <sheetViews>
    <sheetView workbookViewId="0">
      <selection activeCell="J22" sqref="J22"/>
    </sheetView>
  </sheetViews>
  <sheetFormatPr defaultRowHeight="15" x14ac:dyDescent="0.25"/>
  <cols>
    <col min="2" max="2" width="6.140625" bestFit="1" customWidth="1"/>
    <col min="3" max="3" width="35" bestFit="1" customWidth="1"/>
    <col min="4" max="4" width="10.7109375" customWidth="1"/>
    <col min="6" max="6" width="9.85546875" customWidth="1"/>
    <col min="7" max="7" width="12.85546875" customWidth="1"/>
    <col min="8" max="8" width="11.140625" customWidth="1"/>
    <col min="9" max="9" width="12.85546875" customWidth="1"/>
    <col min="10" max="10" width="14.5703125" customWidth="1"/>
  </cols>
  <sheetData>
    <row r="3" spans="2:10" ht="15.75" thickBot="1" x14ac:dyDescent="0.3"/>
    <row r="4" spans="2:10" ht="15.75" thickBot="1" x14ac:dyDescent="0.3">
      <c r="B4" s="198" t="s">
        <v>101</v>
      </c>
      <c r="C4" s="199"/>
      <c r="D4" s="199"/>
      <c r="E4" s="199"/>
      <c r="F4" s="199"/>
      <c r="G4" s="199"/>
      <c r="H4" s="199"/>
      <c r="I4" s="199"/>
      <c r="J4" s="200"/>
    </row>
    <row r="5" spans="2:10" ht="64.5" customHeight="1" x14ac:dyDescent="0.25">
      <c r="B5" s="49" t="s">
        <v>102</v>
      </c>
      <c r="C5" s="49" t="s">
        <v>116</v>
      </c>
      <c r="D5" s="49" t="s">
        <v>103</v>
      </c>
      <c r="E5" s="49" t="s">
        <v>104</v>
      </c>
      <c r="F5" s="49" t="s">
        <v>105</v>
      </c>
      <c r="G5" s="50" t="s">
        <v>132</v>
      </c>
      <c r="H5" s="50" t="s">
        <v>118</v>
      </c>
      <c r="I5" s="49" t="s">
        <v>104</v>
      </c>
      <c r="J5" s="51" t="s">
        <v>133</v>
      </c>
    </row>
    <row r="6" spans="2:10" x14ac:dyDescent="0.25">
      <c r="B6" s="6">
        <v>1</v>
      </c>
      <c r="C6" s="6" t="s">
        <v>152</v>
      </c>
      <c r="D6" s="53">
        <v>18</v>
      </c>
      <c r="E6" s="39" t="s">
        <v>115</v>
      </c>
      <c r="F6" s="54">
        <v>2600</v>
      </c>
      <c r="G6" s="55">
        <f t="shared" ref="G6:G12" si="0">D6*F6</f>
        <v>46800</v>
      </c>
      <c r="H6" s="55">
        <v>18</v>
      </c>
      <c r="I6" s="55" t="s">
        <v>115</v>
      </c>
      <c r="J6" s="56">
        <f t="shared" ref="J6:J12" si="1">(D6-H6)*F6</f>
        <v>0</v>
      </c>
    </row>
    <row r="7" spans="2:10" x14ac:dyDescent="0.25">
      <c r="B7" s="6">
        <v>2</v>
      </c>
      <c r="C7" s="6" t="s">
        <v>117</v>
      </c>
      <c r="D7" s="53">
        <v>2</v>
      </c>
      <c r="E7" s="39" t="s">
        <v>106</v>
      </c>
      <c r="F7" s="54">
        <v>2250</v>
      </c>
      <c r="G7" s="55">
        <f t="shared" si="0"/>
        <v>4500</v>
      </c>
      <c r="H7" s="55">
        <v>2</v>
      </c>
      <c r="I7" s="54" t="s">
        <v>106</v>
      </c>
      <c r="J7" s="56">
        <f t="shared" si="1"/>
        <v>0</v>
      </c>
    </row>
    <row r="8" spans="2:10" x14ac:dyDescent="0.25">
      <c r="B8" s="6">
        <v>3</v>
      </c>
      <c r="C8" s="6" t="s">
        <v>121</v>
      </c>
      <c r="D8" s="53">
        <v>6</v>
      </c>
      <c r="E8" s="39" t="s">
        <v>106</v>
      </c>
      <c r="F8" s="54">
        <v>1300</v>
      </c>
      <c r="G8" s="55">
        <f t="shared" si="0"/>
        <v>7800</v>
      </c>
      <c r="H8" s="55">
        <v>6</v>
      </c>
      <c r="I8" s="54" t="s">
        <v>106</v>
      </c>
      <c r="J8" s="56">
        <f t="shared" si="1"/>
        <v>0</v>
      </c>
    </row>
    <row r="9" spans="2:10" x14ac:dyDescent="0.25">
      <c r="B9" s="6">
        <v>4</v>
      </c>
      <c r="C9" s="40" t="s">
        <v>119</v>
      </c>
      <c r="D9" s="53">
        <v>2</v>
      </c>
      <c r="E9" s="39" t="s">
        <v>106</v>
      </c>
      <c r="F9" s="54">
        <v>2200</v>
      </c>
      <c r="G9" s="55">
        <f t="shared" si="0"/>
        <v>4400</v>
      </c>
      <c r="H9" s="55">
        <v>0</v>
      </c>
      <c r="I9" s="54" t="s">
        <v>106</v>
      </c>
      <c r="J9" s="56">
        <f t="shared" si="1"/>
        <v>4400</v>
      </c>
    </row>
    <row r="10" spans="2:10" x14ac:dyDescent="0.25">
      <c r="B10" s="6">
        <v>5</v>
      </c>
      <c r="C10" s="40" t="s">
        <v>151</v>
      </c>
      <c r="D10" s="53">
        <v>1</v>
      </c>
      <c r="E10" s="39" t="s">
        <v>106</v>
      </c>
      <c r="F10" s="54">
        <v>16000</v>
      </c>
      <c r="G10" s="55">
        <f t="shared" si="0"/>
        <v>16000</v>
      </c>
      <c r="H10" s="55">
        <v>0</v>
      </c>
      <c r="I10" s="54" t="s">
        <v>106</v>
      </c>
      <c r="J10" s="57">
        <f t="shared" si="1"/>
        <v>16000</v>
      </c>
    </row>
    <row r="11" spans="2:10" x14ac:dyDescent="0.25">
      <c r="B11" s="6">
        <v>7</v>
      </c>
      <c r="C11" s="40" t="s">
        <v>120</v>
      </c>
      <c r="D11" s="53">
        <v>2</v>
      </c>
      <c r="E11" s="39" t="s">
        <v>106</v>
      </c>
      <c r="F11" s="54">
        <v>42</v>
      </c>
      <c r="G11" s="55">
        <f t="shared" si="0"/>
        <v>84</v>
      </c>
      <c r="H11" s="55">
        <v>2</v>
      </c>
      <c r="I11" s="54" t="s">
        <v>106</v>
      </c>
      <c r="J11" s="57">
        <f t="shared" si="1"/>
        <v>0</v>
      </c>
    </row>
    <row r="12" spans="2:10" x14ac:dyDescent="0.25">
      <c r="B12" s="6">
        <v>8</v>
      </c>
      <c r="C12" s="40" t="s">
        <v>123</v>
      </c>
      <c r="D12" s="53">
        <v>1</v>
      </c>
      <c r="E12" s="39" t="s">
        <v>107</v>
      </c>
      <c r="F12" s="54">
        <v>5000</v>
      </c>
      <c r="G12" s="55">
        <f t="shared" si="0"/>
        <v>5000</v>
      </c>
      <c r="H12" s="55">
        <v>0</v>
      </c>
      <c r="I12" s="54" t="s">
        <v>107</v>
      </c>
      <c r="J12" s="57">
        <f t="shared" si="1"/>
        <v>5000</v>
      </c>
    </row>
    <row r="13" spans="2:10" x14ac:dyDescent="0.25">
      <c r="B13" s="6"/>
      <c r="C13" s="80" t="s">
        <v>74</v>
      </c>
      <c r="D13" s="205"/>
      <c r="E13" s="206"/>
      <c r="F13" s="206"/>
      <c r="G13" s="206"/>
      <c r="H13" s="206"/>
      <c r="I13" s="207"/>
      <c r="J13" s="56">
        <f>SUM(J6:J12)</f>
        <v>25400</v>
      </c>
    </row>
    <row r="14" spans="2:10" x14ac:dyDescent="0.25">
      <c r="B14" s="6"/>
      <c r="C14" s="43" t="s">
        <v>108</v>
      </c>
      <c r="D14" s="205"/>
      <c r="E14" s="206"/>
      <c r="F14" s="206"/>
      <c r="G14" s="206"/>
      <c r="H14" s="206"/>
      <c r="I14" s="207"/>
      <c r="J14" s="54">
        <f>J13*0.145</f>
        <v>3682.9999999999995</v>
      </c>
    </row>
    <row r="15" spans="2:10" x14ac:dyDescent="0.25">
      <c r="B15" s="6"/>
      <c r="C15" s="43" t="s">
        <v>109</v>
      </c>
      <c r="D15" s="208"/>
      <c r="E15" s="209"/>
      <c r="F15" s="209"/>
      <c r="G15" s="209"/>
      <c r="H15" s="209"/>
      <c r="I15" s="210"/>
      <c r="J15" s="58">
        <f>SUM(J13:J14)</f>
        <v>29083</v>
      </c>
    </row>
    <row r="16" spans="2:10" x14ac:dyDescent="0.25">
      <c r="B16" s="11"/>
      <c r="C16" s="81"/>
      <c r="D16" s="82"/>
      <c r="E16" s="82"/>
      <c r="F16" s="82"/>
      <c r="G16" s="82"/>
      <c r="H16" s="82"/>
      <c r="I16" s="82"/>
      <c r="J16" s="83"/>
    </row>
    <row r="18" spans="2:9" x14ac:dyDescent="0.25">
      <c r="B18" s="201" t="s">
        <v>110</v>
      </c>
      <c r="C18" s="202"/>
      <c r="D18" s="202"/>
      <c r="E18" s="202"/>
      <c r="F18" s="202"/>
      <c r="G18" s="203"/>
      <c r="H18" s="46"/>
      <c r="I18" s="46"/>
    </row>
    <row r="19" spans="2:9" x14ac:dyDescent="0.25">
      <c r="B19" s="38" t="s">
        <v>102</v>
      </c>
      <c r="C19" s="38" t="s">
        <v>116</v>
      </c>
      <c r="D19" s="38" t="s">
        <v>103</v>
      </c>
      <c r="E19" s="38" t="s">
        <v>104</v>
      </c>
      <c r="F19" s="38" t="s">
        <v>105</v>
      </c>
      <c r="G19" s="38" t="s">
        <v>131</v>
      </c>
      <c r="H19" s="46"/>
      <c r="I19" s="46"/>
    </row>
    <row r="20" spans="2:9" x14ac:dyDescent="0.25">
      <c r="B20" s="6"/>
      <c r="C20" s="6"/>
      <c r="D20" s="6"/>
      <c r="E20" s="6"/>
      <c r="F20" s="6"/>
      <c r="G20" s="6"/>
      <c r="H20" s="11"/>
      <c r="I20" s="11"/>
    </row>
    <row r="21" spans="2:9" x14ac:dyDescent="0.25">
      <c r="B21" s="6">
        <v>1</v>
      </c>
      <c r="C21" s="6" t="s">
        <v>122</v>
      </c>
      <c r="D21" s="53">
        <v>60</v>
      </c>
      <c r="E21" s="39" t="s">
        <v>111</v>
      </c>
      <c r="F21" s="54">
        <v>126</v>
      </c>
      <c r="G21" s="55">
        <f t="shared" ref="G21:G26" si="2">D21*F21</f>
        <v>7560</v>
      </c>
      <c r="H21" s="47"/>
      <c r="I21" s="47"/>
    </row>
    <row r="22" spans="2:9" x14ac:dyDescent="0.25">
      <c r="B22" s="6">
        <v>2</v>
      </c>
      <c r="C22" s="6" t="s">
        <v>124</v>
      </c>
      <c r="D22" s="53">
        <v>180</v>
      </c>
      <c r="E22" s="39" t="s">
        <v>125</v>
      </c>
      <c r="F22" s="54">
        <v>210</v>
      </c>
      <c r="G22" s="55">
        <f t="shared" si="2"/>
        <v>37800</v>
      </c>
      <c r="H22" s="47"/>
      <c r="I22" s="47"/>
    </row>
    <row r="23" spans="2:9" x14ac:dyDescent="0.25">
      <c r="B23" s="6">
        <v>3</v>
      </c>
      <c r="C23" s="6" t="s">
        <v>126</v>
      </c>
      <c r="D23" s="53">
        <v>1</v>
      </c>
      <c r="E23" s="39" t="s">
        <v>127</v>
      </c>
      <c r="F23" s="54">
        <v>8925</v>
      </c>
      <c r="G23" s="54">
        <f t="shared" si="2"/>
        <v>8925</v>
      </c>
      <c r="H23" s="11"/>
      <c r="I23" s="11"/>
    </row>
    <row r="24" spans="2:9" x14ac:dyDescent="0.25">
      <c r="B24" s="6">
        <v>4</v>
      </c>
      <c r="C24" s="40" t="s">
        <v>128</v>
      </c>
      <c r="D24" s="53">
        <v>10</v>
      </c>
      <c r="E24" s="41" t="s">
        <v>111</v>
      </c>
      <c r="F24" s="54">
        <v>126</v>
      </c>
      <c r="G24" s="54">
        <f t="shared" si="2"/>
        <v>1260</v>
      </c>
      <c r="H24" s="11"/>
      <c r="I24" s="11"/>
    </row>
    <row r="25" spans="2:9" x14ac:dyDescent="0.25">
      <c r="B25" s="6">
        <v>5</v>
      </c>
      <c r="C25" s="40" t="s">
        <v>112</v>
      </c>
      <c r="D25" s="53">
        <f>D22</f>
        <v>180</v>
      </c>
      <c r="E25" s="41" t="s">
        <v>111</v>
      </c>
      <c r="F25" s="54">
        <v>32</v>
      </c>
      <c r="G25" s="54">
        <f t="shared" si="2"/>
        <v>5760</v>
      </c>
      <c r="H25" s="11"/>
      <c r="I25" s="11"/>
    </row>
    <row r="26" spans="2:9" x14ac:dyDescent="0.25">
      <c r="B26" s="42">
        <v>6</v>
      </c>
      <c r="C26" s="42" t="s">
        <v>129</v>
      </c>
      <c r="D26" s="53">
        <v>1</v>
      </c>
      <c r="E26" s="44" t="s">
        <v>130</v>
      </c>
      <c r="F26" s="59">
        <v>10000</v>
      </c>
      <c r="G26" s="59">
        <f t="shared" si="2"/>
        <v>10000</v>
      </c>
      <c r="H26" s="11"/>
      <c r="I26" s="11"/>
    </row>
    <row r="27" spans="2:9" x14ac:dyDescent="0.25">
      <c r="B27" s="6"/>
      <c r="C27" s="40" t="s">
        <v>74</v>
      </c>
      <c r="D27" s="54"/>
      <c r="E27" s="54"/>
      <c r="F27" s="54"/>
      <c r="G27" s="55">
        <f>SUM(G21:G26)</f>
        <v>71305</v>
      </c>
      <c r="H27" s="47"/>
      <c r="I27" s="47"/>
    </row>
    <row r="28" spans="2:9" x14ac:dyDescent="0.25">
      <c r="B28" s="6"/>
      <c r="C28" s="43" t="s">
        <v>113</v>
      </c>
      <c r="D28" s="54"/>
      <c r="E28" s="54"/>
      <c r="F28" s="54"/>
      <c r="G28" s="55">
        <f>G27*0.25</f>
        <v>17826.25</v>
      </c>
      <c r="H28" s="47"/>
      <c r="I28" s="47"/>
    </row>
    <row r="29" spans="2:9" x14ac:dyDescent="0.25">
      <c r="B29" s="6"/>
      <c r="C29" s="43" t="s">
        <v>109</v>
      </c>
      <c r="D29" s="54"/>
      <c r="E29" s="54"/>
      <c r="F29" s="54"/>
      <c r="G29" s="60">
        <f>SUM(G27:G28)</f>
        <v>89131.25</v>
      </c>
      <c r="H29" s="48"/>
      <c r="I29" s="48"/>
    </row>
    <row r="31" spans="2:9" x14ac:dyDescent="0.25">
      <c r="B31" s="204" t="s">
        <v>114</v>
      </c>
      <c r="C31" s="204"/>
      <c r="D31" s="204"/>
      <c r="E31" s="204"/>
      <c r="F31" s="204"/>
      <c r="G31" s="45">
        <f>G29+J15</f>
        <v>118214.25</v>
      </c>
      <c r="H31" s="52"/>
      <c r="I31" s="52"/>
    </row>
  </sheetData>
  <mergeCells count="6">
    <mergeCell ref="B4:J4"/>
    <mergeCell ref="B18:G18"/>
    <mergeCell ref="B31:F31"/>
    <mergeCell ref="D13:I13"/>
    <mergeCell ref="D14:I14"/>
    <mergeCell ref="D15:I15"/>
  </mergeCells>
  <pageMargins left="0.7" right="0.7" top="0.75" bottom="0.75" header="0.3" footer="0.3"/>
  <pageSetup scale="9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Paharpur CT</vt:lpstr>
      <vt:lpstr>Alpha Laval CT</vt:lpstr>
      <vt:lpstr>Heat Load of Paharpur (PFAD)</vt:lpstr>
      <vt:lpstr>Heat Load of Paharpur (CNO RMO)</vt:lpstr>
      <vt:lpstr>Heat Load of Alphalaval</vt:lpstr>
      <vt:lpstr>Summary</vt:lpstr>
      <vt:lpstr>Actual saving</vt:lpstr>
      <vt:lpstr>Estimated Saving</vt:lpstr>
      <vt:lpstr>Costing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2017-04-11T06:11:22Z</dcterms:modified>
</cp:coreProperties>
</file>