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firstSheet="1" activeTab="2"/>
  </bookViews>
  <sheets>
    <sheet name="20P03 pump" sheetId="1" r:id="rId1"/>
    <sheet name="Heat exchangers analysis" sheetId="5" r:id="rId2"/>
    <sheet name="VAM chilled water to GDP" sheetId="2" r:id="rId3"/>
    <sheet name="VAM water to flaker" sheetId="3" r:id="rId4"/>
    <sheet name="New TF condensate recovery" sheetId="4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T30" i="5" l="1"/>
  <c r="P27" i="5"/>
  <c r="O27" i="5"/>
  <c r="T26" i="5"/>
  <c r="S26" i="5"/>
  <c r="T22" i="5"/>
  <c r="S22" i="5"/>
  <c r="T21" i="5"/>
  <c r="S21" i="5"/>
  <c r="T16" i="5"/>
  <c r="P13" i="5"/>
  <c r="O13" i="5" s="1"/>
  <c r="T12" i="5"/>
  <c r="S12" i="5"/>
  <c r="O10" i="5"/>
  <c r="S11" i="5" s="1"/>
  <c r="T8" i="5"/>
  <c r="S8" i="5"/>
  <c r="T7" i="5"/>
  <c r="S7" i="5"/>
  <c r="O11" i="5" l="1"/>
  <c r="R14" i="5" l="1"/>
  <c r="R15" i="5" s="1"/>
  <c r="R16" i="5" s="1"/>
  <c r="O14" i="5"/>
  <c r="O16" i="5" s="1"/>
  <c r="O17" i="5" s="1"/>
  <c r="O24" i="5"/>
  <c r="T11" i="5"/>
  <c r="O25" i="5" l="1"/>
  <c r="S25" i="5"/>
  <c r="O34" i="5" l="1"/>
  <c r="O35" i="5" s="1"/>
  <c r="O36" i="5" s="1"/>
  <c r="O28" i="5"/>
  <c r="O30" i="5" s="1"/>
  <c r="O31" i="5" s="1"/>
  <c r="R28" i="5"/>
  <c r="R29" i="5" s="1"/>
  <c r="R30" i="5" s="1"/>
  <c r="R31" i="5" s="1"/>
  <c r="T25" i="5"/>
  <c r="O16" i="4" l="1"/>
  <c r="N16" i="4"/>
  <c r="I16" i="4"/>
  <c r="F10" i="4"/>
  <c r="F9" i="4"/>
  <c r="F12" i="4" s="1"/>
  <c r="F13" i="4" s="1"/>
  <c r="C5" i="4" s="1"/>
  <c r="G5" i="4" s="1"/>
  <c r="O33" i="3"/>
  <c r="F17" i="3"/>
  <c r="F18" i="3" s="1"/>
  <c r="G13" i="3"/>
  <c r="D13" i="3"/>
  <c r="G12" i="3"/>
  <c r="E12" i="3"/>
  <c r="F12" i="3" s="1"/>
  <c r="G11" i="3"/>
  <c r="F11" i="3"/>
  <c r="E11" i="3"/>
  <c r="G10" i="3"/>
  <c r="E10" i="3"/>
  <c r="F10" i="3" s="1"/>
  <c r="G9" i="3"/>
  <c r="F9" i="3"/>
  <c r="E9" i="3"/>
  <c r="E13" i="3" s="1"/>
  <c r="M27" i="2"/>
  <c r="M31" i="2" s="1"/>
  <c r="L27" i="2"/>
  <c r="L31" i="2" s="1"/>
  <c r="L20" i="2"/>
  <c r="L19" i="2"/>
  <c r="L21" i="2" s="1"/>
  <c r="L24" i="2" s="1"/>
  <c r="F13" i="3" l="1"/>
  <c r="F14" i="3" s="1"/>
  <c r="F25" i="3" l="1"/>
  <c r="F29" i="3" s="1"/>
  <c r="C5" i="3" s="1"/>
  <c r="G5" i="3" s="1"/>
  <c r="E27" i="3"/>
  <c r="F20" i="3"/>
  <c r="F22" i="3" s="1"/>
  <c r="F23" i="3" s="1"/>
  <c r="F14" i="2"/>
  <c r="F19" i="2" s="1"/>
  <c r="F22" i="2" s="1"/>
  <c r="F24" i="2" s="1"/>
  <c r="C5" i="2" s="1"/>
  <c r="G5" i="2" s="1"/>
  <c r="G20" i="1" l="1"/>
  <c r="G19" i="1"/>
  <c r="G17" i="1"/>
  <c r="G16" i="1"/>
  <c r="G9" i="1"/>
</calcChain>
</file>

<file path=xl/sharedStrings.xml><?xml version="1.0" encoding="utf-8"?>
<sst xmlns="http://schemas.openxmlformats.org/spreadsheetml/2006/main" count="352" uniqueCount="170">
  <si>
    <t>20P03 B</t>
  </si>
  <si>
    <t>P-9002 A</t>
  </si>
  <si>
    <t>Power saving</t>
  </si>
  <si>
    <t>Power consumption</t>
  </si>
  <si>
    <t>KW</t>
  </si>
  <si>
    <t>Current</t>
  </si>
  <si>
    <t>Amp</t>
  </si>
  <si>
    <t>Power factor</t>
  </si>
  <si>
    <t>Voltage</t>
  </si>
  <si>
    <t>V</t>
  </si>
  <si>
    <t>Frequency</t>
  </si>
  <si>
    <t>Hz</t>
  </si>
  <si>
    <t>Rs/hr</t>
  </si>
  <si>
    <t>Rs/day</t>
  </si>
  <si>
    <t>Rs/month</t>
  </si>
  <si>
    <t xml:space="preserve">On 14-Jun-2016, identified that 20P03B pump was very unefficent pump. </t>
  </si>
  <si>
    <t>Instead of running 20P03B, if we run P9002A/B we can saving hug power</t>
  </si>
  <si>
    <t>Power consumption data was collected based on which 75 KW power saving was achieved.</t>
  </si>
  <si>
    <t>Power cost for calculation</t>
  </si>
  <si>
    <t>Hourly saving</t>
  </si>
  <si>
    <t>Daily saving</t>
  </si>
  <si>
    <t>Since 15 days per month, situation arise when we can save this much power</t>
  </si>
  <si>
    <t>hence monthly saving</t>
  </si>
  <si>
    <t>Annual saving</t>
  </si>
  <si>
    <t>Rs/year</t>
  </si>
  <si>
    <t>Sr. No.</t>
  </si>
  <si>
    <t>SH1</t>
  </si>
  <si>
    <t>Project:</t>
  </si>
  <si>
    <t>VAM chilled water to GDP</t>
  </si>
  <si>
    <t>Project Owner:</t>
  </si>
  <si>
    <t xml:space="preserve">Shrish </t>
  </si>
  <si>
    <t>Potential Saving in Rs Lac:</t>
  </si>
  <si>
    <r>
      <rPr>
        <b/>
        <sz val="11"/>
        <color theme="1"/>
        <rFont val="Calibri"/>
        <family val="2"/>
        <scheme val="minor"/>
      </rPr>
      <t>Estimated Expense in Rs Lac:</t>
    </r>
    <r>
      <rPr>
        <sz val="11"/>
        <color theme="1"/>
        <rFont val="Calibri"/>
        <family val="2"/>
        <scheme val="minor"/>
      </rPr>
      <t xml:space="preserve"> </t>
    </r>
  </si>
  <si>
    <t>Net Saving in FY16-17 in Rs Lac :</t>
  </si>
  <si>
    <t xml:space="preserve">Base Data: </t>
  </si>
  <si>
    <t>Power consumption before modification</t>
  </si>
  <si>
    <t>Chiller A Power consumption</t>
  </si>
  <si>
    <t>Measured</t>
  </si>
  <si>
    <t>Chiller B Power consumption</t>
  </si>
  <si>
    <t>Chiller Pump- P-7126A Power consumption</t>
  </si>
  <si>
    <t>Chiller Pump- P-7126B Power consumption</t>
  </si>
  <si>
    <t>Chiller Pump- P-7126D Power consumption</t>
  </si>
  <si>
    <t>Total present power consumption</t>
  </si>
  <si>
    <t>Calculated</t>
  </si>
  <si>
    <t>Power consumption after modification</t>
  </si>
  <si>
    <t>Power consumption by booster pump</t>
  </si>
  <si>
    <t>Estimated</t>
  </si>
  <si>
    <t>Net Power saving</t>
  </si>
  <si>
    <t>Power Cost</t>
  </si>
  <si>
    <t>Rs/KW</t>
  </si>
  <si>
    <t>Total Running days per year</t>
  </si>
  <si>
    <t>Days</t>
  </si>
  <si>
    <t>Net Saving</t>
  </si>
  <si>
    <t>Rs/annum</t>
  </si>
  <si>
    <t>Total saving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</si>
  <si>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</si>
  <si>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</si>
  <si>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</si>
  <si>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</si>
  <si>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</si>
  <si>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</si>
  <si>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</si>
  <si>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</si>
  <si>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</si>
  <si>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</si>
  <si>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</si>
  <si>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</si>
  <si>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Saving achieved in Lac</t>
  </si>
  <si>
    <t>Certified by process owner</t>
  </si>
  <si>
    <t>Verified by Anirudh Bansod</t>
  </si>
  <si>
    <t>Verified by Dinesh Danav</t>
  </si>
  <si>
    <t>Verified by Prabhat Das</t>
  </si>
  <si>
    <t>Running KW</t>
  </si>
  <si>
    <t>Tag No.</t>
  </si>
  <si>
    <t>Description</t>
  </si>
  <si>
    <t>P-7126A</t>
  </si>
  <si>
    <t>SCRUBBER CIRCULATION PUMP</t>
  </si>
  <si>
    <t>P-7126B</t>
  </si>
  <si>
    <t>P-7126C</t>
  </si>
  <si>
    <t>OFF</t>
  </si>
  <si>
    <t>P-7126D</t>
  </si>
  <si>
    <t>P-1013A</t>
  </si>
  <si>
    <t>CHILLED WATER PUMP-A</t>
  </si>
  <si>
    <t>P-1013B</t>
  </si>
  <si>
    <t>CHILLED WATER PUMP-B</t>
  </si>
  <si>
    <t>P-1013C</t>
  </si>
  <si>
    <t>CHILLED WATER PUMP-C</t>
  </si>
  <si>
    <t>CH-7000A</t>
  </si>
  <si>
    <t>CHILLER-1</t>
  </si>
  <si>
    <t>CH-7000B</t>
  </si>
  <si>
    <t>CHILLER-2</t>
  </si>
  <si>
    <t>BOOSTER PUMP (B/W FLAKER AND CHP)</t>
  </si>
  <si>
    <t>Power cost</t>
  </si>
  <si>
    <t>Daily saving (Rs)</t>
  </si>
  <si>
    <t>Actual data</t>
  </si>
  <si>
    <t>Run hr</t>
  </si>
  <si>
    <t>Saving per hr (base on actual KW data )</t>
  </si>
  <si>
    <t>DD1</t>
  </si>
  <si>
    <t>FLAKER 24% increase production/day over present</t>
  </si>
  <si>
    <t>Dinesh Danav</t>
  </si>
  <si>
    <t>Base Data</t>
  </si>
  <si>
    <t>Input Mat</t>
  </si>
  <si>
    <t>Input Qty</t>
  </si>
  <si>
    <t>Prod Days</t>
  </si>
  <si>
    <t>Prodtn after increase 24%</t>
  </si>
  <si>
    <t>50 MT/day</t>
  </si>
  <si>
    <t>Behenic Acid (Bulk)</t>
  </si>
  <si>
    <t>Hyd LGMFA</t>
  </si>
  <si>
    <t>Primestric - 12 Bulk</t>
  </si>
  <si>
    <t>Stearic 90 Bulk</t>
  </si>
  <si>
    <t>Days decreased</t>
  </si>
  <si>
    <t>Power per MT</t>
  </si>
  <si>
    <t>KWH</t>
  </si>
  <si>
    <t>TOTAL power</t>
  </si>
  <si>
    <t>Power per day</t>
  </si>
  <si>
    <t>RS.</t>
  </si>
  <si>
    <t>OR</t>
  </si>
  <si>
    <t>Production reduced after 24% increas</t>
  </si>
  <si>
    <t>Power reduced</t>
  </si>
  <si>
    <t>Total cost</t>
  </si>
  <si>
    <t>Manpower reduction</t>
  </si>
  <si>
    <t>Rs</t>
  </si>
  <si>
    <t xml:space="preserve">No of Man </t>
  </si>
  <si>
    <t>No of Days</t>
  </si>
  <si>
    <t>TOTAL SAVINGS</t>
  </si>
  <si>
    <t>RS</t>
  </si>
  <si>
    <t>FLAKER (Manpower &amp;Power)</t>
  </si>
  <si>
    <t>Total</t>
  </si>
  <si>
    <t>PKD4</t>
  </si>
  <si>
    <t>Condensate recovery in Tankfarm</t>
  </si>
  <si>
    <t>Prabhat Das</t>
  </si>
  <si>
    <t>Improvement in condensate recovery after modification</t>
  </si>
  <si>
    <t>m3/day</t>
  </si>
  <si>
    <t>DM water cost saving</t>
  </si>
  <si>
    <t>INR/day</t>
  </si>
  <si>
    <t>ETP cost reduction</t>
  </si>
  <si>
    <t>Total saving per day</t>
  </si>
  <si>
    <t>Annual saving (@330 days per year)</t>
  </si>
  <si>
    <t>INR/Year</t>
  </si>
  <si>
    <t>Design data</t>
  </si>
  <si>
    <t>After cleaning</t>
  </si>
  <si>
    <t>Before cleaning</t>
  </si>
  <si>
    <t>E-357</t>
  </si>
  <si>
    <t>Spiral</t>
  </si>
  <si>
    <t>Cold Side</t>
  </si>
  <si>
    <t>Hot Side</t>
  </si>
  <si>
    <t>Fluid</t>
  </si>
  <si>
    <t>FA</t>
  </si>
  <si>
    <t>Flow</t>
  </si>
  <si>
    <t>Kg/hr</t>
  </si>
  <si>
    <t>Temp (in)</t>
  </si>
  <si>
    <t>°C</t>
  </si>
  <si>
    <t>Temp (out)</t>
  </si>
  <si>
    <t>Cp</t>
  </si>
  <si>
    <t>Kcal/Kg°C</t>
  </si>
  <si>
    <t>Heat Load</t>
  </si>
  <si>
    <t>Kcal/hr</t>
  </si>
  <si>
    <t>LMTD</t>
  </si>
  <si>
    <t>Area</t>
  </si>
  <si>
    <t>m2</t>
  </si>
  <si>
    <t>HTC</t>
  </si>
  <si>
    <t>Kcal/hrm2°C</t>
  </si>
  <si>
    <t>W/m2K</t>
  </si>
  <si>
    <t>E-358</t>
  </si>
  <si>
    <t>rise in feed temp</t>
  </si>
  <si>
    <t>Energy saving</t>
  </si>
  <si>
    <t xml:space="preserve">Cost saving </t>
  </si>
  <si>
    <t>Lacs Rs/year</t>
  </si>
  <si>
    <t>Section 3 heat exchangers analysis</t>
  </si>
  <si>
    <t>*Recovery started from 1 Oct-2016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</si>
</sst>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04">
    <xf numFmtId="0" fontId="0" fillId="0" borderId="0" xfId="0"/>
    <xf numFmtId="15" fontId="0" fillId="0" borderId="0" xfId="0" applyNumberFormat="1"/>
    <xf numFmtId="0" fontId="1" fillId="0" borderId="1" xfId="0" applyFont="1" applyBorder="1"/>
    <xf numFmtId="0" fontId="0" fillId="0" borderId="0" xfId="0" applyAlignment="1"/>
    <xf numFmtId="0" fontId="0" fillId="0" borderId="0" xfId="0" applyAlignment="1">
      <alignment horizontal="right"/>
    </xf>
    <xf numFmtId="0" fontId="1" fillId="0" borderId="1" xfId="0" applyFont="1" applyBorder="1" applyAlignment="1">
      <alignment vertical="center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2" fontId="1" fillId="0" borderId="1" xfId="0" applyNumberFormat="1" applyFont="1" applyBorder="1" applyAlignment="1">
      <alignment vertical="center" wrapText="1"/>
    </xf>
    <xf numFmtId="2" fontId="0" fillId="0" borderId="1" xfId="0" applyNumberFormat="1" applyFont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" fontId="0" fillId="0" borderId="1" xfId="0" applyNumberFormat="1" applyBorder="1"/>
    <xf numFmtId="0" fontId="0" fillId="0" borderId="0" xfId="0" applyAlignment="1">
      <alignment horizontal="center"/>
    </xf>
    <xf numFmtId="0" fontId="0" fillId="0" borderId="5" xfId="0" applyBorder="1"/>
    <xf numFmtId="0" fontId="6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5" fontId="1" fillId="0" borderId="9" xfId="0" applyNumberFormat="1" applyFont="1" applyBorder="1"/>
    <xf numFmtId="0" fontId="4" fillId="3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5" fillId="0" borderId="13" xfId="0" applyFont="1" applyFill="1" applyBorder="1" applyAlignment="1">
      <alignment vertical="center"/>
    </xf>
    <xf numFmtId="1" fontId="0" fillId="0" borderId="14" xfId="0" applyNumberFormat="1" applyBorder="1"/>
    <xf numFmtId="0" fontId="7" fillId="4" borderId="1" xfId="0" applyFont="1" applyFill="1" applyBorder="1"/>
    <xf numFmtId="0" fontId="7" fillId="4" borderId="1" xfId="0" applyFont="1" applyFill="1" applyBorder="1" applyAlignment="1"/>
    <xf numFmtId="0" fontId="7" fillId="4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left"/>
    </xf>
    <xf numFmtId="2" fontId="8" fillId="0" borderId="1" xfId="0" applyNumberFormat="1" applyFont="1" applyBorder="1"/>
    <xf numFmtId="0" fontId="8" fillId="0" borderId="1" xfId="0" applyFont="1" applyBorder="1" applyAlignment="1"/>
    <xf numFmtId="1" fontId="8" fillId="0" borderId="1" xfId="0" applyNumberFormat="1" applyFont="1" applyBorder="1" applyAlignment="1">
      <alignment horizontal="right"/>
    </xf>
    <xf numFmtId="0" fontId="8" fillId="0" borderId="1" xfId="0" applyFont="1" applyBorder="1"/>
    <xf numFmtId="0" fontId="0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/>
    <xf numFmtId="1" fontId="0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1" xfId="0" applyFont="1" applyFill="1" applyBorder="1" applyAlignment="1"/>
    <xf numFmtId="164" fontId="8" fillId="0" borderId="1" xfId="0" applyNumberFormat="1" applyFont="1" applyBorder="1"/>
    <xf numFmtId="2" fontId="8" fillId="0" borderId="1" xfId="0" applyNumberFormat="1" applyFont="1" applyBorder="1" applyAlignment="1">
      <alignment horizontal="right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/>
    <xf numFmtId="2" fontId="1" fillId="0" borderId="0" xfId="0" applyNumberFormat="1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1" applyFont="1" applyBorder="1" applyAlignment="1">
      <alignment horizontal="left"/>
    </xf>
    <xf numFmtId="0" fontId="2" fillId="0" borderId="1" xfId="1" applyFont="1" applyBorder="1" applyAlignment="1">
      <alignment horizontal="left"/>
    </xf>
    <xf numFmtId="0" fontId="2" fillId="0" borderId="2" xfId="1" applyFont="1" applyBorder="1" applyAlignment="1">
      <alignment horizontal="left"/>
    </xf>
    <xf numFmtId="0" fontId="2" fillId="0" borderId="3" xfId="1" applyFont="1" applyBorder="1" applyAlignment="1">
      <alignment horizontal="left"/>
    </xf>
    <xf numFmtId="0" fontId="2" fillId="0" borderId="4" xfId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5" fontId="0" fillId="5" borderId="2" xfId="0" applyNumberFormat="1" applyFill="1" applyBorder="1" applyAlignment="1">
      <alignment horizontal="center"/>
    </xf>
    <xf numFmtId="15" fontId="0" fillId="5" borderId="4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0" borderId="2" xfId="0" applyBorder="1"/>
    <xf numFmtId="0" fontId="0" fillId="0" borderId="4" xfId="0" applyBorder="1"/>
    <xf numFmtId="164" fontId="0" fillId="0" borderId="1" xfId="0" applyNumberFormat="1" applyBorder="1"/>
    <xf numFmtId="0" fontId="0" fillId="0" borderId="15" xfId="0" applyBorder="1"/>
    <xf numFmtId="0" fontId="0" fillId="0" borderId="16" xfId="0" applyBorder="1"/>
    <xf numFmtId="0" fontId="8" fillId="0" borderId="15" xfId="0" applyFont="1" applyFill="1" applyBorder="1"/>
    <xf numFmtId="0" fontId="8" fillId="0" borderId="16" xfId="0" applyFont="1" applyFill="1" applyBorder="1"/>
    <xf numFmtId="164" fontId="8" fillId="0" borderId="15" xfId="0" applyNumberFormat="1" applyFont="1" applyFill="1" applyBorder="1"/>
    <xf numFmtId="0" fontId="0" fillId="0" borderId="17" xfId="0" applyBorder="1"/>
    <xf numFmtId="0" fontId="0" fillId="0" borderId="18" xfId="0" applyBorder="1"/>
    <xf numFmtId="1" fontId="0" fillId="0" borderId="17" xfId="0" applyNumberFormat="1" applyBorder="1"/>
    <xf numFmtId="1" fontId="0" fillId="0" borderId="19" xfId="0" applyNumberFormat="1" applyBorder="1"/>
    <xf numFmtId="0" fontId="0" fillId="0" borderId="20" xfId="0" applyFill="1" applyBorder="1" applyAlignment="1">
      <alignment horizontal="center"/>
    </xf>
    <xf numFmtId="0" fontId="0" fillId="0" borderId="21" xfId="0" applyBorder="1"/>
    <xf numFmtId="1" fontId="0" fillId="0" borderId="20" xfId="0" applyNumberFormat="1" applyBorder="1"/>
    <xf numFmtId="1" fontId="0" fillId="0" borderId="22" xfId="0" applyNumberFormat="1" applyBorder="1"/>
    <xf numFmtId="164" fontId="0" fillId="0" borderId="0" xfId="0" applyNumberFormat="1"/>
    <xf numFmtId="0" fontId="0" fillId="0" borderId="15" xfId="0" applyFill="1" applyBorder="1" applyAlignment="1">
      <alignment horizontal="center"/>
    </xf>
    <xf numFmtId="0" fontId="0" fillId="0" borderId="0" xfId="0" applyFill="1" applyBorder="1"/>
    <xf numFmtId="2" fontId="0" fillId="0" borderId="15" xfId="0" applyNumberFormat="1" applyBorder="1"/>
    <xf numFmtId="1" fontId="0" fillId="0" borderId="16" xfId="0" applyNumberFormat="1" applyBorder="1"/>
    <xf numFmtId="0" fontId="0" fillId="0" borderId="15" xfId="0" applyFill="1" applyBorder="1" applyAlignment="1">
      <alignment horizontal="center" vertical="center"/>
    </xf>
    <xf numFmtId="1" fontId="0" fillId="0" borderId="15" xfId="0" applyNumberFormat="1" applyBorder="1"/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  <xf numFmtId="2" fontId="1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[1]analysis!$R$7</c:f>
              <c:strCache>
                <c:ptCount val="1"/>
                <c:pt idx="0">
                  <c:v>Cold Side</c:v>
                </c:pt>
              </c:strCache>
            </c:strRef>
          </c:tx>
          <c:marker>
            <c:symbol val="none"/>
          </c:marker>
          <c:val>
            <c:numRef>
              <c:f>[1]analysis!$S$7:$T$7</c:f>
              <c:numCache>
                <c:formatCode>General</c:formatCode>
                <c:ptCount val="2"/>
                <c:pt idx="0">
                  <c:v>102.46339694397282</c:v>
                </c:pt>
                <c:pt idx="1">
                  <c:v>130.90283288867329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[1]analysis!$R$8</c:f>
              <c:strCache>
                <c:ptCount val="1"/>
                <c:pt idx="0">
                  <c:v>Hot Side</c:v>
                </c:pt>
              </c:strCache>
            </c:strRef>
          </c:tx>
          <c:marker>
            <c:symbol val="none"/>
          </c:marker>
          <c:val>
            <c:numRef>
              <c:f>[1]analysis!$S$8:$T$8</c:f>
              <c:numCache>
                <c:formatCode>General</c:formatCode>
                <c:ptCount val="2"/>
                <c:pt idx="0">
                  <c:v>116</c:v>
                </c:pt>
                <c:pt idx="1">
                  <c:v>168.4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53472"/>
        <c:axId val="82559360"/>
      </c:lineChart>
      <c:catAx>
        <c:axId val="8255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82559360"/>
        <c:crosses val="autoZero"/>
        <c:auto val="1"/>
        <c:lblAlgn val="ctr"/>
        <c:lblOffset val="100"/>
        <c:noMultiLvlLbl val="0"/>
      </c:catAx>
      <c:valAx>
        <c:axId val="8255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5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[1]analysis!$R$11</c:f>
              <c:strCache>
                <c:ptCount val="1"/>
                <c:pt idx="0">
                  <c:v>Cold Side</c:v>
                </c:pt>
              </c:strCache>
            </c:strRef>
          </c:tx>
          <c:marker>
            <c:symbol val="none"/>
          </c:marker>
          <c:val>
            <c:numRef>
              <c:f>[1]analysis!$S$11:$T$11</c:f>
              <c:numCache>
                <c:formatCode>General</c:formatCode>
                <c:ptCount val="2"/>
                <c:pt idx="0">
                  <c:v>97.369836113527583</c:v>
                </c:pt>
                <c:pt idx="1">
                  <c:v>132.73574520443668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[1]analysis!$R$12</c:f>
              <c:strCache>
                <c:ptCount val="1"/>
                <c:pt idx="0">
                  <c:v>Hot Side</c:v>
                </c:pt>
              </c:strCache>
            </c:strRef>
          </c:tx>
          <c:marker>
            <c:symbol val="none"/>
          </c:marker>
          <c:val>
            <c:numRef>
              <c:f>[1]analysis!$S$12:$T$12</c:f>
              <c:numCache>
                <c:formatCode>General</c:formatCode>
                <c:ptCount val="2"/>
                <c:pt idx="0">
                  <c:v>104.5</c:v>
                </c:pt>
                <c:pt idx="1">
                  <c:v>164.5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72416"/>
        <c:axId val="82573952"/>
      </c:lineChart>
      <c:catAx>
        <c:axId val="8257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82573952"/>
        <c:crosses val="autoZero"/>
        <c:auto val="1"/>
        <c:lblAlgn val="ctr"/>
        <c:lblOffset val="100"/>
        <c:noMultiLvlLbl val="0"/>
      </c:catAx>
      <c:valAx>
        <c:axId val="8257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7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[1]analysis!$R$21</c:f>
              <c:strCache>
                <c:ptCount val="1"/>
                <c:pt idx="0">
                  <c:v>Cold Side</c:v>
                </c:pt>
              </c:strCache>
            </c:strRef>
          </c:tx>
          <c:marker>
            <c:symbol val="none"/>
          </c:marker>
          <c:val>
            <c:numRef>
              <c:f>[1]analysis!$S$21:$T$21</c:f>
              <c:numCache>
                <c:formatCode>General</c:formatCode>
                <c:ptCount val="2"/>
                <c:pt idx="0">
                  <c:v>130.90283288867329</c:v>
                </c:pt>
                <c:pt idx="1">
                  <c:v>142.10130063060876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[1]analysis!$R$22</c:f>
              <c:strCache>
                <c:ptCount val="1"/>
                <c:pt idx="0">
                  <c:v>Hot Side</c:v>
                </c:pt>
              </c:strCache>
            </c:strRef>
          </c:tx>
          <c:marker>
            <c:symbol val="none"/>
          </c:marker>
          <c:val>
            <c:numRef>
              <c:f>[1]analysis!$S$22:$T$22</c:f>
              <c:numCache>
                <c:formatCode>General</c:formatCode>
                <c:ptCount val="2"/>
                <c:pt idx="0">
                  <c:v>165.1</c:v>
                </c:pt>
                <c:pt idx="1">
                  <c:v>220.6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30368"/>
        <c:axId val="82732160"/>
      </c:lineChart>
      <c:catAx>
        <c:axId val="8273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82732160"/>
        <c:crosses val="autoZero"/>
        <c:auto val="1"/>
        <c:lblAlgn val="ctr"/>
        <c:lblOffset val="100"/>
        <c:noMultiLvlLbl val="0"/>
      </c:catAx>
      <c:valAx>
        <c:axId val="8273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3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[1]analysis!$R$25</c:f>
              <c:strCache>
                <c:ptCount val="1"/>
                <c:pt idx="0">
                  <c:v>Cold Side</c:v>
                </c:pt>
              </c:strCache>
            </c:strRef>
          </c:tx>
          <c:marker>
            <c:symbol val="none"/>
          </c:marker>
          <c:val>
            <c:numRef>
              <c:f>[1]analysis!$S$25:$T$25</c:f>
              <c:numCache>
                <c:formatCode>General</c:formatCode>
                <c:ptCount val="2"/>
                <c:pt idx="0">
                  <c:v>132.73574520443668</c:v>
                </c:pt>
                <c:pt idx="1">
                  <c:v>154.71615429534577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[1]analysis!$R$26</c:f>
              <c:strCache>
                <c:ptCount val="1"/>
                <c:pt idx="0">
                  <c:v>Hot Side</c:v>
                </c:pt>
              </c:strCache>
            </c:strRef>
          </c:tx>
          <c:marker>
            <c:symbol val="none"/>
          </c:marker>
          <c:val>
            <c:numRef>
              <c:f>[1]analysis!$S$26:$T$26</c:f>
              <c:numCache>
                <c:formatCode>General</c:formatCode>
                <c:ptCount val="2"/>
                <c:pt idx="0">
                  <c:v>143</c:v>
                </c:pt>
                <c:pt idx="1">
                  <c:v>225.1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44224"/>
        <c:axId val="83045760"/>
      </c:lineChart>
      <c:catAx>
        <c:axId val="8304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045760"/>
        <c:crosses val="autoZero"/>
        <c:auto val="1"/>
        <c:lblAlgn val="ctr"/>
        <c:lblOffset val="100"/>
        <c:noMultiLvlLbl val="0"/>
      </c:catAx>
      <c:valAx>
        <c:axId val="830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04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229722</xdr:colOff>
      <xdr:row>1</xdr:row>
      <xdr:rowOff>69196</xdr:rowOff>
    </xdr:from>
    <xdr:to>
      <xdr:col>25</xdr:col>
      <xdr:colOff>89647</xdr:colOff>
      <xdr:row>9</xdr:row>
      <xdr:rowOff>123265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212912</xdr:colOff>
      <xdr:row>10</xdr:row>
      <xdr:rowOff>12325</xdr:rowOff>
    </xdr:from>
    <xdr:to>
      <xdr:col>25</xdr:col>
      <xdr:colOff>78440</xdr:colOff>
      <xdr:row>18</xdr:row>
      <xdr:rowOff>78441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212912</xdr:colOff>
      <xdr:row>18</xdr:row>
      <xdr:rowOff>135590</xdr:rowOff>
    </xdr:from>
    <xdr:to>
      <xdr:col>25</xdr:col>
      <xdr:colOff>190500</xdr:colOff>
      <xdr:row>27</xdr:row>
      <xdr:rowOff>44824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235324</xdr:colOff>
      <xdr:row>28</xdr:row>
      <xdr:rowOff>12326</xdr:rowOff>
    </xdr:from>
    <xdr:to>
      <xdr:col>25</xdr:col>
      <xdr:colOff>190500</xdr:colOff>
      <xdr:row>37</xdr:row>
      <xdr:rowOff>145676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khansingh.meena\Desktop\Heat%20exchangers%20performance%20analysis\(Jun-16)%20Sec-3%20Heat%20exchangers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Flow diagram"/>
      <sheetName val="analysis"/>
    </sheetNames>
    <sheetDataSet>
      <sheetData sheetId="0" refreshError="1"/>
      <sheetData sheetId="1" refreshError="1"/>
      <sheetData sheetId="2">
        <row r="7">
          <cell r="R7" t="str">
            <v>Cold Side</v>
          </cell>
          <cell r="S7">
            <v>102.46339694397282</v>
          </cell>
          <cell r="T7">
            <v>130.90283288867329</v>
          </cell>
        </row>
        <row r="8">
          <cell r="R8" t="str">
            <v>Hot Side</v>
          </cell>
          <cell r="S8">
            <v>116</v>
          </cell>
          <cell r="T8">
            <v>168.4</v>
          </cell>
        </row>
        <row r="11">
          <cell r="R11" t="str">
            <v>Cold Side</v>
          </cell>
          <cell r="S11">
            <v>97.369836113527583</v>
          </cell>
          <cell r="T11">
            <v>132.73574520443668</v>
          </cell>
        </row>
        <row r="12">
          <cell r="R12" t="str">
            <v>Hot Side</v>
          </cell>
          <cell r="S12">
            <v>104.5</v>
          </cell>
          <cell r="T12">
            <v>164.5</v>
          </cell>
        </row>
        <row r="21">
          <cell r="R21" t="str">
            <v>Cold Side</v>
          </cell>
          <cell r="S21">
            <v>130.90283288867329</v>
          </cell>
          <cell r="T21">
            <v>142.10130063060876</v>
          </cell>
        </row>
        <row r="22">
          <cell r="R22" t="str">
            <v>Hot Side</v>
          </cell>
          <cell r="S22">
            <v>165.1</v>
          </cell>
          <cell r="T22">
            <v>220.6</v>
          </cell>
        </row>
        <row r="25">
          <cell r="R25" t="str">
            <v>Cold Side</v>
          </cell>
          <cell r="S25">
            <v>132.73574520443668</v>
          </cell>
          <cell r="T25">
            <v>154.71615429534577</v>
          </cell>
        </row>
        <row r="26">
          <cell r="R26" t="str">
            <v>Hot Side</v>
          </cell>
          <cell r="S26">
            <v>143</v>
          </cell>
          <cell r="T26">
            <v>225.1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"/>
  <sheetViews>
    <sheetView topLeftCell="A10" workbookViewId="0">
      <selection activeCell="G20" sqref="G20"/>
    </sheetView>
  </sheetViews>
  <sheetFormatPr defaultRowHeight="15" x14ac:dyDescent="0.25"/>
  <cols>
    <col min="5" max="5" width="12.28515625" customWidth="1"/>
  </cols>
  <sheetData>
    <row r="3" spans="2:7" x14ac:dyDescent="0.25">
      <c r="B3" t="s">
        <v>15</v>
      </c>
    </row>
    <row r="4" spans="2:7" x14ac:dyDescent="0.25">
      <c r="B4" t="s">
        <v>16</v>
      </c>
    </row>
    <row r="6" spans="2:7" x14ac:dyDescent="0.25">
      <c r="B6" t="s">
        <v>17</v>
      </c>
      <c r="D6" s="1"/>
    </row>
    <row r="8" spans="2:7" x14ac:dyDescent="0.25">
      <c r="D8" t="s">
        <v>0</v>
      </c>
      <c r="E8" t="s">
        <v>1</v>
      </c>
      <c r="G8" t="s">
        <v>2</v>
      </c>
    </row>
    <row r="9" spans="2:7" x14ac:dyDescent="0.25">
      <c r="B9" t="s">
        <v>3</v>
      </c>
      <c r="C9" t="s">
        <v>4</v>
      </c>
      <c r="D9">
        <v>142</v>
      </c>
      <c r="E9">
        <v>67</v>
      </c>
      <c r="G9">
        <f>D9-E9</f>
        <v>75</v>
      </c>
    </row>
    <row r="10" spans="2:7" x14ac:dyDescent="0.25">
      <c r="B10" t="s">
        <v>5</v>
      </c>
      <c r="C10" t="s">
        <v>6</v>
      </c>
      <c r="D10">
        <v>221</v>
      </c>
      <c r="E10">
        <v>126</v>
      </c>
    </row>
    <row r="11" spans="2:7" x14ac:dyDescent="0.25">
      <c r="B11" t="s">
        <v>7</v>
      </c>
      <c r="D11">
        <v>0.87</v>
      </c>
    </row>
    <row r="12" spans="2:7" x14ac:dyDescent="0.25">
      <c r="B12" t="s">
        <v>8</v>
      </c>
      <c r="C12" t="s">
        <v>9</v>
      </c>
      <c r="D12">
        <v>425</v>
      </c>
      <c r="E12">
        <v>365</v>
      </c>
    </row>
    <row r="13" spans="2:7" x14ac:dyDescent="0.25">
      <c r="B13" t="s">
        <v>10</v>
      </c>
      <c r="C13" t="s">
        <v>11</v>
      </c>
      <c r="E13">
        <v>44</v>
      </c>
    </row>
    <row r="15" spans="2:7" x14ac:dyDescent="0.25">
      <c r="D15" t="s">
        <v>18</v>
      </c>
      <c r="G15">
        <v>5</v>
      </c>
    </row>
    <row r="16" spans="2:7" x14ac:dyDescent="0.25">
      <c r="D16" t="s">
        <v>19</v>
      </c>
      <c r="F16" t="s">
        <v>12</v>
      </c>
      <c r="G16">
        <f>G9*G15</f>
        <v>375</v>
      </c>
    </row>
    <row r="17" spans="4:7" x14ac:dyDescent="0.25">
      <c r="D17" t="s">
        <v>20</v>
      </c>
      <c r="F17" t="s">
        <v>13</v>
      </c>
      <c r="G17">
        <f>G16*24</f>
        <v>9000</v>
      </c>
    </row>
    <row r="18" spans="4:7" x14ac:dyDescent="0.25">
      <c r="D18" t="s">
        <v>21</v>
      </c>
    </row>
    <row r="19" spans="4:7" x14ac:dyDescent="0.25">
      <c r="D19" t="s">
        <v>22</v>
      </c>
      <c r="F19" t="s">
        <v>14</v>
      </c>
      <c r="G19">
        <f>G17*15</f>
        <v>135000</v>
      </c>
    </row>
    <row r="20" spans="4:7" x14ac:dyDescent="0.25">
      <c r="D20" t="s">
        <v>23</v>
      </c>
      <c r="F20" t="s">
        <v>24</v>
      </c>
      <c r="G20">
        <f>G19*12</f>
        <v>1620000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topLeftCell="A25" workbookViewId="0">
      <selection activeCell="O36" sqref="O36"/>
    </sheetView>
  </sheetViews>
  <sheetFormatPr defaultRowHeight="15" x14ac:dyDescent="0.25"/>
  <cols>
    <col min="1" max="1" width="4.140625" customWidth="1"/>
    <col min="6" max="6" width="3.42578125" customWidth="1"/>
    <col min="9" max="9" width="3.5703125" customWidth="1"/>
    <col min="12" max="12" width="4.7109375" customWidth="1"/>
  </cols>
  <sheetData>
    <row r="2" spans="2:20" x14ac:dyDescent="0.25">
      <c r="C2" s="100" t="s">
        <v>168</v>
      </c>
      <c r="D2" s="100"/>
      <c r="E2" s="100"/>
      <c r="F2" s="100"/>
      <c r="G2" s="100"/>
      <c r="H2" s="100"/>
      <c r="I2" s="100"/>
      <c r="J2" s="100"/>
      <c r="K2" s="100"/>
    </row>
    <row r="3" spans="2:20" x14ac:dyDescent="0.25">
      <c r="C3" s="100"/>
      <c r="D3" s="100"/>
      <c r="E3" s="100"/>
      <c r="F3" s="100"/>
      <c r="G3" s="100"/>
      <c r="H3" s="100"/>
      <c r="I3" s="100"/>
      <c r="J3" s="100"/>
      <c r="K3" s="100"/>
    </row>
    <row r="4" spans="2:20" x14ac:dyDescent="0.25">
      <c r="C4" s="100"/>
      <c r="D4" s="100"/>
      <c r="E4" s="100"/>
      <c r="F4" s="100"/>
      <c r="G4" s="100"/>
      <c r="H4" s="100"/>
      <c r="I4" s="100"/>
      <c r="J4" s="100"/>
      <c r="K4" s="100"/>
    </row>
    <row r="6" spans="2:20" x14ac:dyDescent="0.25">
      <c r="D6" s="68" t="s">
        <v>139</v>
      </c>
      <c r="E6" s="69"/>
      <c r="G6" s="68">
        <v>42529</v>
      </c>
      <c r="H6" s="69"/>
      <c r="J6" s="68">
        <v>42531</v>
      </c>
      <c r="K6" s="69"/>
      <c r="O6" s="68" t="s">
        <v>140</v>
      </c>
      <c r="P6" s="69"/>
      <c r="R6" s="70" t="s">
        <v>141</v>
      </c>
      <c r="S6" s="71"/>
      <c r="T6" s="72"/>
    </row>
    <row r="7" spans="2:20" x14ac:dyDescent="0.25">
      <c r="B7" s="73" t="s">
        <v>142</v>
      </c>
      <c r="C7" s="74" t="s">
        <v>143</v>
      </c>
      <c r="D7" s="75" t="s">
        <v>144</v>
      </c>
      <c r="E7" s="76" t="s">
        <v>145</v>
      </c>
      <c r="G7" s="75" t="s">
        <v>144</v>
      </c>
      <c r="H7" s="76" t="s">
        <v>145</v>
      </c>
      <c r="J7" s="75" t="s">
        <v>144</v>
      </c>
      <c r="K7" s="76" t="s">
        <v>145</v>
      </c>
      <c r="M7" s="73" t="s">
        <v>142</v>
      </c>
      <c r="N7" s="74" t="s">
        <v>143</v>
      </c>
      <c r="O7" s="75" t="s">
        <v>144</v>
      </c>
      <c r="P7" s="76" t="s">
        <v>145</v>
      </c>
      <c r="R7" s="11" t="s">
        <v>144</v>
      </c>
      <c r="S7" s="77">
        <f>J10</f>
        <v>102.46339694397282</v>
      </c>
      <c r="T7" s="77">
        <f>J11</f>
        <v>130.90283288867329</v>
      </c>
    </row>
    <row r="8" spans="2:20" x14ac:dyDescent="0.25">
      <c r="B8" s="78" t="s">
        <v>146</v>
      </c>
      <c r="C8" s="33"/>
      <c r="D8" s="78" t="s">
        <v>147</v>
      </c>
      <c r="E8" s="79" t="s">
        <v>147</v>
      </c>
      <c r="G8" s="78" t="s">
        <v>147</v>
      </c>
      <c r="H8" s="79" t="s">
        <v>147</v>
      </c>
      <c r="J8" s="78" t="s">
        <v>147</v>
      </c>
      <c r="K8" s="79" t="s">
        <v>147</v>
      </c>
      <c r="M8" s="78" t="s">
        <v>146</v>
      </c>
      <c r="N8" s="33"/>
      <c r="O8" s="78" t="s">
        <v>147</v>
      </c>
      <c r="P8" s="79" t="s">
        <v>147</v>
      </c>
      <c r="R8" s="11" t="s">
        <v>145</v>
      </c>
      <c r="S8" s="11">
        <f>K11</f>
        <v>116</v>
      </c>
      <c r="T8" s="11">
        <f>K10</f>
        <v>168.4</v>
      </c>
    </row>
    <row r="9" spans="2:20" x14ac:dyDescent="0.25">
      <c r="B9" s="78" t="s">
        <v>148</v>
      </c>
      <c r="C9" s="33" t="s">
        <v>149</v>
      </c>
      <c r="D9" s="80">
        <v>30000</v>
      </c>
      <c r="E9" s="81">
        <v>18200</v>
      </c>
      <c r="G9" s="80">
        <v>22000</v>
      </c>
      <c r="H9" s="81">
        <v>13650</v>
      </c>
      <c r="J9" s="80">
        <v>21700</v>
      </c>
      <c r="K9" s="81">
        <v>13086</v>
      </c>
      <c r="M9" s="78" t="s">
        <v>148</v>
      </c>
      <c r="N9" s="33" t="s">
        <v>149</v>
      </c>
      <c r="O9" s="80">
        <v>22000</v>
      </c>
      <c r="P9" s="81">
        <v>13650</v>
      </c>
    </row>
    <row r="10" spans="2:20" x14ac:dyDescent="0.25">
      <c r="B10" s="78" t="s">
        <v>150</v>
      </c>
      <c r="C10" s="33" t="s">
        <v>151</v>
      </c>
      <c r="D10" s="82">
        <v>123.3</v>
      </c>
      <c r="E10" s="81">
        <v>176</v>
      </c>
      <c r="G10" s="82">
        <v>97.369836113527583</v>
      </c>
      <c r="H10" s="81">
        <v>164.5</v>
      </c>
      <c r="J10" s="82">
        <v>102.46339694397282</v>
      </c>
      <c r="K10" s="81">
        <v>168.4</v>
      </c>
      <c r="M10" s="78" t="s">
        <v>150</v>
      </c>
      <c r="N10" s="33" t="s">
        <v>151</v>
      </c>
      <c r="O10" s="82">
        <f>G10</f>
        <v>97.369836113527583</v>
      </c>
      <c r="P10" s="81">
        <v>164.5</v>
      </c>
      <c r="R10" s="70" t="s">
        <v>140</v>
      </c>
      <c r="S10" s="71"/>
      <c r="T10" s="72"/>
    </row>
    <row r="11" spans="2:20" x14ac:dyDescent="0.25">
      <c r="B11" s="78" t="s">
        <v>152</v>
      </c>
      <c r="C11" s="33" t="s">
        <v>151</v>
      </c>
      <c r="D11" s="82">
        <v>153.4</v>
      </c>
      <c r="E11" s="81">
        <v>128.6</v>
      </c>
      <c r="G11" s="82">
        <v>125.1227679317094</v>
      </c>
      <c r="H11" s="81">
        <v>114.8</v>
      </c>
      <c r="J11" s="82">
        <v>130.90283288867329</v>
      </c>
      <c r="K11" s="81">
        <v>116</v>
      </c>
      <c r="M11" s="78" t="s">
        <v>152</v>
      </c>
      <c r="N11" s="33" t="s">
        <v>151</v>
      </c>
      <c r="O11" s="82">
        <f>O10+(O13/O12/O9)</f>
        <v>132.73574520443668</v>
      </c>
      <c r="P11" s="81">
        <v>104.5</v>
      </c>
      <c r="R11" s="11" t="s">
        <v>144</v>
      </c>
      <c r="S11" s="77">
        <f>O10</f>
        <v>97.369836113527583</v>
      </c>
      <c r="T11" s="77">
        <f>O11</f>
        <v>132.73574520443668</v>
      </c>
    </row>
    <row r="12" spans="2:20" x14ac:dyDescent="0.25">
      <c r="B12" s="78" t="s">
        <v>153</v>
      </c>
      <c r="C12" s="33" t="s">
        <v>154</v>
      </c>
      <c r="D12" s="78">
        <v>0.6</v>
      </c>
      <c r="E12" s="79">
        <v>0.6</v>
      </c>
      <c r="G12" s="78">
        <v>0.6</v>
      </c>
      <c r="H12" s="79">
        <v>0.6</v>
      </c>
      <c r="J12" s="78">
        <v>0.6</v>
      </c>
      <c r="K12" s="79">
        <v>0.6</v>
      </c>
      <c r="M12" s="78" t="s">
        <v>153</v>
      </c>
      <c r="N12" s="33" t="s">
        <v>154</v>
      </c>
      <c r="O12" s="78">
        <v>0.6</v>
      </c>
      <c r="P12" s="79">
        <v>0.6</v>
      </c>
      <c r="R12" s="11" t="s">
        <v>145</v>
      </c>
      <c r="S12" s="11">
        <f>P11</f>
        <v>104.5</v>
      </c>
      <c r="T12" s="11">
        <f>P10</f>
        <v>164.5</v>
      </c>
    </row>
    <row r="13" spans="2:20" x14ac:dyDescent="0.25">
      <c r="B13" s="83" t="s">
        <v>155</v>
      </c>
      <c r="C13" s="84" t="s">
        <v>156</v>
      </c>
      <c r="D13" s="85">
        <v>491727.60000000003</v>
      </c>
      <c r="E13" s="86">
        <v>517608.00000000006</v>
      </c>
      <c r="G13" s="85">
        <v>366338.7</v>
      </c>
      <c r="H13" s="86">
        <v>407043</v>
      </c>
      <c r="J13" s="85">
        <v>370281.45600000001</v>
      </c>
      <c r="K13" s="86">
        <v>411423.84</v>
      </c>
      <c r="M13" s="83" t="s">
        <v>155</v>
      </c>
      <c r="N13" s="84" t="s">
        <v>156</v>
      </c>
      <c r="O13" s="85">
        <f>P13*0.95</f>
        <v>466830</v>
      </c>
      <c r="P13" s="86">
        <f>P9*P12*(P10-P11)</f>
        <v>491400</v>
      </c>
    </row>
    <row r="14" spans="2:20" x14ac:dyDescent="0.25">
      <c r="B14" s="87" t="s">
        <v>157</v>
      </c>
      <c r="C14" s="88" t="s">
        <v>151</v>
      </c>
      <c r="D14" s="89">
        <v>11.929034635879082</v>
      </c>
      <c r="E14" s="90"/>
      <c r="G14" s="89">
        <v>26.929396434275276</v>
      </c>
      <c r="H14" s="90"/>
      <c r="J14" s="89">
        <v>23.516847413027129</v>
      </c>
      <c r="K14" s="90"/>
      <c r="M14" s="87" t="s">
        <v>157</v>
      </c>
      <c r="N14" s="88" t="s">
        <v>151</v>
      </c>
      <c r="O14" s="89">
        <f>((P10-O11)-(P11-O10))/LN((P10-O11)/(P11-O10))</f>
        <v>16.488600607536579</v>
      </c>
      <c r="P14" s="90"/>
      <c r="R14" s="91">
        <f>O11-G11</f>
        <v>7.612977272727278</v>
      </c>
    </row>
    <row r="15" spans="2:20" x14ac:dyDescent="0.25">
      <c r="B15" s="92" t="s">
        <v>158</v>
      </c>
      <c r="C15" s="93" t="s">
        <v>159</v>
      </c>
      <c r="D15" s="94">
        <v>174</v>
      </c>
      <c r="E15" s="95"/>
      <c r="G15" s="94">
        <v>174</v>
      </c>
      <c r="H15" s="95"/>
      <c r="J15" s="94">
        <v>174</v>
      </c>
      <c r="K15" s="95"/>
      <c r="M15" s="92" t="s">
        <v>158</v>
      </c>
      <c r="N15" s="93" t="s">
        <v>159</v>
      </c>
      <c r="O15" s="94">
        <v>174</v>
      </c>
      <c r="P15" s="95"/>
      <c r="R15">
        <f>O9*0.6*R14/0.85</f>
        <v>118225.0588235295</v>
      </c>
    </row>
    <row r="16" spans="2:20" x14ac:dyDescent="0.25">
      <c r="B16" s="96" t="s">
        <v>160</v>
      </c>
      <c r="C16" s="33" t="s">
        <v>161</v>
      </c>
      <c r="D16" s="97">
        <v>236.90271475575406</v>
      </c>
      <c r="E16" s="95"/>
      <c r="G16" s="97">
        <v>78.182028057134488</v>
      </c>
      <c r="H16" s="95"/>
      <c r="J16" s="97">
        <v>90.490630289532476</v>
      </c>
      <c r="K16" s="95"/>
      <c r="M16" s="96" t="s">
        <v>160</v>
      </c>
      <c r="N16" s="33" t="s">
        <v>161</v>
      </c>
      <c r="O16" s="97">
        <f>O13/O14/O15</f>
        <v>162.7142956726388</v>
      </c>
      <c r="P16" s="95"/>
      <c r="R16">
        <f>R15/4800/0.73*5*24*300</f>
        <v>1214641.0153102349</v>
      </c>
      <c r="T16">
        <f>D16*0.7</f>
        <v>165.83190032902783</v>
      </c>
    </row>
    <row r="17" spans="2:20" x14ac:dyDescent="0.25">
      <c r="B17" s="98"/>
      <c r="C17" s="99" t="s">
        <v>162</v>
      </c>
      <c r="D17" s="85">
        <v>275.07037435529219</v>
      </c>
      <c r="E17" s="86"/>
      <c r="G17" s="85">
        <v>90.778021466339496</v>
      </c>
      <c r="H17" s="86"/>
      <c r="J17" s="85">
        <v>105.06967628062381</v>
      </c>
      <c r="K17" s="86"/>
      <c r="M17" s="98"/>
      <c r="N17" s="99" t="s">
        <v>162</v>
      </c>
      <c r="O17" s="85">
        <f>O16*4.18*1000/3600</f>
        <v>188.92937664211948</v>
      </c>
      <c r="P17" s="86"/>
    </row>
    <row r="20" spans="2:20" x14ac:dyDescent="0.25">
      <c r="D20" s="68" t="s">
        <v>139</v>
      </c>
      <c r="E20" s="69"/>
      <c r="G20" s="68">
        <v>42529</v>
      </c>
      <c r="H20" s="69"/>
      <c r="J20" s="68">
        <v>42531</v>
      </c>
      <c r="K20" s="69"/>
      <c r="O20" s="68" t="s">
        <v>140</v>
      </c>
      <c r="P20" s="69"/>
      <c r="R20" s="70" t="s">
        <v>141</v>
      </c>
      <c r="S20" s="71"/>
      <c r="T20" s="72"/>
    </row>
    <row r="21" spans="2:20" x14ac:dyDescent="0.25">
      <c r="B21" s="73" t="s">
        <v>163</v>
      </c>
      <c r="C21" s="74" t="s">
        <v>143</v>
      </c>
      <c r="D21" s="75" t="s">
        <v>144</v>
      </c>
      <c r="E21" s="76" t="s">
        <v>145</v>
      </c>
      <c r="G21" s="75" t="s">
        <v>144</v>
      </c>
      <c r="H21" s="76" t="s">
        <v>145</v>
      </c>
      <c r="J21" s="75" t="s">
        <v>144</v>
      </c>
      <c r="K21" s="76" t="s">
        <v>145</v>
      </c>
      <c r="M21" s="73" t="s">
        <v>163</v>
      </c>
      <c r="N21" s="74" t="s">
        <v>143</v>
      </c>
      <c r="O21" s="75" t="s">
        <v>144</v>
      </c>
      <c r="P21" s="76" t="s">
        <v>145</v>
      </c>
      <c r="R21" s="11" t="s">
        <v>144</v>
      </c>
      <c r="S21" s="77">
        <f>J24</f>
        <v>130.90283288867329</v>
      </c>
      <c r="T21" s="77">
        <f>J25</f>
        <v>142.10130063060876</v>
      </c>
    </row>
    <row r="22" spans="2:20" x14ac:dyDescent="0.25">
      <c r="B22" s="78" t="s">
        <v>146</v>
      </c>
      <c r="C22" s="33"/>
      <c r="D22" s="78" t="s">
        <v>147</v>
      </c>
      <c r="E22" s="79" t="s">
        <v>147</v>
      </c>
      <c r="G22" s="78" t="s">
        <v>147</v>
      </c>
      <c r="H22" s="79" t="s">
        <v>147</v>
      </c>
      <c r="J22" s="78" t="s">
        <v>147</v>
      </c>
      <c r="K22" s="79" t="s">
        <v>147</v>
      </c>
      <c r="M22" s="78" t="s">
        <v>146</v>
      </c>
      <c r="N22" s="33"/>
      <c r="O22" s="78" t="s">
        <v>147</v>
      </c>
      <c r="P22" s="79" t="s">
        <v>147</v>
      </c>
      <c r="R22" s="11" t="s">
        <v>145</v>
      </c>
      <c r="S22" s="11">
        <f>K25</f>
        <v>165.1</v>
      </c>
      <c r="T22" s="11">
        <f>K24</f>
        <v>220.6</v>
      </c>
    </row>
    <row r="23" spans="2:20" x14ac:dyDescent="0.25">
      <c r="B23" s="78" t="s">
        <v>148</v>
      </c>
      <c r="C23" s="33" t="s">
        <v>149</v>
      </c>
      <c r="D23" s="80">
        <v>30000</v>
      </c>
      <c r="E23" s="81">
        <v>9800</v>
      </c>
      <c r="G23" s="80">
        <v>22000</v>
      </c>
      <c r="H23" s="81">
        <v>6200</v>
      </c>
      <c r="J23" s="80">
        <v>21700</v>
      </c>
      <c r="K23" s="81">
        <v>4865</v>
      </c>
      <c r="M23" s="78" t="s">
        <v>148</v>
      </c>
      <c r="N23" s="33" t="s">
        <v>149</v>
      </c>
      <c r="O23" s="80">
        <v>22000</v>
      </c>
      <c r="P23" s="81">
        <v>6200</v>
      </c>
    </row>
    <row r="24" spans="2:20" x14ac:dyDescent="0.25">
      <c r="B24" s="78" t="s">
        <v>150</v>
      </c>
      <c r="C24" s="33" t="s">
        <v>151</v>
      </c>
      <c r="D24" s="82">
        <v>149.19999999999999</v>
      </c>
      <c r="E24" s="81">
        <v>257</v>
      </c>
      <c r="G24" s="82">
        <v>125.1227679317094</v>
      </c>
      <c r="H24" s="81">
        <v>225.1</v>
      </c>
      <c r="J24" s="82">
        <v>130.90283288867329</v>
      </c>
      <c r="K24" s="81">
        <v>220.6</v>
      </c>
      <c r="M24" s="78" t="s">
        <v>150</v>
      </c>
      <c r="N24" s="33" t="s">
        <v>151</v>
      </c>
      <c r="O24" s="82">
        <f>O11</f>
        <v>132.73574520443668</v>
      </c>
      <c r="P24" s="81">
        <v>225.1</v>
      </c>
      <c r="R24" s="70" t="s">
        <v>140</v>
      </c>
      <c r="S24" s="71"/>
      <c r="T24" s="72"/>
    </row>
    <row r="25" spans="2:20" x14ac:dyDescent="0.25">
      <c r="B25" s="78" t="s">
        <v>152</v>
      </c>
      <c r="C25" s="33" t="s">
        <v>151</v>
      </c>
      <c r="D25" s="82">
        <v>179.9</v>
      </c>
      <c r="E25" s="81">
        <v>165</v>
      </c>
      <c r="G25" s="82">
        <v>139.42785884080033</v>
      </c>
      <c r="H25" s="81">
        <v>168.7</v>
      </c>
      <c r="J25" s="82">
        <v>142.10130063060876</v>
      </c>
      <c r="K25" s="81">
        <v>165.1</v>
      </c>
      <c r="M25" s="78" t="s">
        <v>152</v>
      </c>
      <c r="N25" s="33" t="s">
        <v>151</v>
      </c>
      <c r="O25" s="82">
        <f>O24+(O27/O26/O23)</f>
        <v>154.71615429534577</v>
      </c>
      <c r="P25" s="81">
        <v>143</v>
      </c>
      <c r="R25" s="11" t="s">
        <v>144</v>
      </c>
      <c r="S25" s="77">
        <f>O24</f>
        <v>132.73574520443668</v>
      </c>
      <c r="T25" s="77">
        <f>O25</f>
        <v>154.71615429534577</v>
      </c>
    </row>
    <row r="26" spans="2:20" x14ac:dyDescent="0.25">
      <c r="B26" s="78" t="s">
        <v>153</v>
      </c>
      <c r="C26" s="33" t="s">
        <v>154</v>
      </c>
      <c r="D26" s="78">
        <v>0.6</v>
      </c>
      <c r="E26" s="79">
        <v>0.6</v>
      </c>
      <c r="G26" s="78">
        <v>0.6</v>
      </c>
      <c r="H26" s="79">
        <v>0.6</v>
      </c>
      <c r="J26" s="78">
        <v>0.6</v>
      </c>
      <c r="K26" s="79">
        <v>0.6</v>
      </c>
      <c r="M26" s="78" t="s">
        <v>153</v>
      </c>
      <c r="N26" s="33" t="s">
        <v>154</v>
      </c>
      <c r="O26" s="78">
        <v>0.6</v>
      </c>
      <c r="P26" s="79">
        <v>0.6</v>
      </c>
      <c r="R26" s="11" t="s">
        <v>145</v>
      </c>
      <c r="S26" s="11">
        <f>P25</f>
        <v>143</v>
      </c>
      <c r="T26" s="11">
        <f>P24</f>
        <v>225.1</v>
      </c>
    </row>
    <row r="27" spans="2:20" x14ac:dyDescent="0.25">
      <c r="B27" s="83" t="s">
        <v>155</v>
      </c>
      <c r="C27" s="84" t="s">
        <v>156</v>
      </c>
      <c r="D27" s="85">
        <v>513912</v>
      </c>
      <c r="E27" s="86">
        <v>540960</v>
      </c>
      <c r="G27" s="85">
        <v>188827.20000000004</v>
      </c>
      <c r="H27" s="86">
        <v>209808.00000000003</v>
      </c>
      <c r="J27" s="85">
        <v>145804.05000000002</v>
      </c>
      <c r="K27" s="86">
        <v>162004.5</v>
      </c>
      <c r="M27" s="83" t="s">
        <v>155</v>
      </c>
      <c r="N27" s="84" t="s">
        <v>156</v>
      </c>
      <c r="O27" s="85">
        <f>P27*0.95</f>
        <v>290141.39999999997</v>
      </c>
      <c r="P27" s="86">
        <f>P23*P26*(P24-P25)</f>
        <v>305412</v>
      </c>
    </row>
    <row r="28" spans="2:20" x14ac:dyDescent="0.25">
      <c r="B28" s="87" t="s">
        <v>157</v>
      </c>
      <c r="C28" s="88" t="s">
        <v>151</v>
      </c>
      <c r="D28" s="89">
        <v>38.672801425850018</v>
      </c>
      <c r="E28" s="90"/>
      <c r="G28" s="89">
        <v>62.271230985275253</v>
      </c>
      <c r="H28" s="90"/>
      <c r="J28" s="89">
        <v>53.315007492413294</v>
      </c>
      <c r="K28" s="90"/>
      <c r="M28" s="87" t="s">
        <v>157</v>
      </c>
      <c r="N28" s="88" t="s">
        <v>151</v>
      </c>
      <c r="O28" s="89">
        <f>((P24-O25)-(P25-O24))/LN((P24-O25)/(P25-O24))</f>
        <v>31.226149578563401</v>
      </c>
      <c r="P28" s="90"/>
      <c r="R28" s="91">
        <f>O25-G25</f>
        <v>15.288295454545448</v>
      </c>
    </row>
    <row r="29" spans="2:20" x14ac:dyDescent="0.25">
      <c r="B29" s="92" t="s">
        <v>158</v>
      </c>
      <c r="C29" s="93" t="s">
        <v>159</v>
      </c>
      <c r="D29" s="94">
        <v>45.3</v>
      </c>
      <c r="E29" s="95"/>
      <c r="G29" s="94">
        <v>45.3</v>
      </c>
      <c r="H29" s="95"/>
      <c r="J29" s="94">
        <v>45.3</v>
      </c>
      <c r="K29" s="95"/>
      <c r="M29" s="92" t="s">
        <v>158</v>
      </c>
      <c r="N29" s="93" t="s">
        <v>159</v>
      </c>
      <c r="O29" s="94">
        <v>45.3</v>
      </c>
      <c r="P29" s="95"/>
      <c r="R29" s="91">
        <f>R28-7.9</f>
        <v>7.3882954545454478</v>
      </c>
    </row>
    <row r="30" spans="2:20" x14ac:dyDescent="0.25">
      <c r="B30" s="96" t="s">
        <v>160</v>
      </c>
      <c r="C30" s="33" t="s">
        <v>161</v>
      </c>
      <c r="D30" s="97">
        <v>293.34921038345885</v>
      </c>
      <c r="E30" s="95"/>
      <c r="G30" s="97">
        <v>66.938950699606579</v>
      </c>
      <c r="H30" s="95"/>
      <c r="J30" s="97">
        <v>60.370102185376915</v>
      </c>
      <c r="K30" s="95"/>
      <c r="M30" s="96" t="s">
        <v>160</v>
      </c>
      <c r="N30" s="33" t="s">
        <v>161</v>
      </c>
      <c r="O30" s="97">
        <f>O27/O28/O29</f>
        <v>205.11294231471518</v>
      </c>
      <c r="P30" s="95"/>
      <c r="R30">
        <f>O23*0.6*R29/0.85</f>
        <v>114735.88235294107</v>
      </c>
      <c r="T30">
        <f>D30*0.7</f>
        <v>205.34444726842119</v>
      </c>
    </row>
    <row r="31" spans="2:20" x14ac:dyDescent="0.25">
      <c r="B31" s="98"/>
      <c r="C31" s="99" t="s">
        <v>162</v>
      </c>
      <c r="D31" s="85">
        <v>340.611027611905</v>
      </c>
      <c r="E31" s="86"/>
      <c r="G31" s="85">
        <v>77.723559423432079</v>
      </c>
      <c r="H31" s="86"/>
      <c r="J31" s="85">
        <v>70.096396426354303</v>
      </c>
      <c r="K31" s="86"/>
      <c r="M31" s="98"/>
      <c r="N31" s="99" t="s">
        <v>162</v>
      </c>
      <c r="O31" s="85">
        <f>O30*4.18*1000/3600</f>
        <v>238.15891635430819</v>
      </c>
      <c r="P31" s="86"/>
      <c r="R31">
        <f>R30/4800/0.73*5*24*300</f>
        <v>1178793.3118452851</v>
      </c>
    </row>
    <row r="34" spans="13:16" x14ac:dyDescent="0.25">
      <c r="M34" t="s">
        <v>164</v>
      </c>
      <c r="O34" s="91">
        <f>O25-G25</f>
        <v>15.288295454545448</v>
      </c>
      <c r="P34" t="s">
        <v>151</v>
      </c>
    </row>
    <row r="35" spans="13:16" x14ac:dyDescent="0.25">
      <c r="M35" t="s">
        <v>165</v>
      </c>
      <c r="O35">
        <f>O23*0.6*O34/0.85</f>
        <v>237418.23529411756</v>
      </c>
      <c r="P35" t="s">
        <v>156</v>
      </c>
    </row>
    <row r="36" spans="13:16" x14ac:dyDescent="0.25">
      <c r="M36" s="101" t="s">
        <v>166</v>
      </c>
      <c r="N36" s="101"/>
      <c r="O36" s="102">
        <f>O35/4800/0.73*5*24*300</f>
        <v>2439228.4448025781</v>
      </c>
      <c r="P36" s="101" t="s">
        <v>167</v>
      </c>
    </row>
  </sheetData>
  <mergeCells count="17">
    <mergeCell ref="R20:T20"/>
    <mergeCell ref="R24:T24"/>
    <mergeCell ref="B30:B31"/>
    <mergeCell ref="M30:M31"/>
    <mergeCell ref="C2:K4"/>
    <mergeCell ref="B16:B17"/>
    <mergeCell ref="M16:M17"/>
    <mergeCell ref="D20:E20"/>
    <mergeCell ref="G20:H20"/>
    <mergeCell ref="J20:K20"/>
    <mergeCell ref="O20:P20"/>
    <mergeCell ref="D6:E6"/>
    <mergeCell ref="G6:H6"/>
    <mergeCell ref="J6:K6"/>
    <mergeCell ref="O6:P6"/>
    <mergeCell ref="R6:T6"/>
    <mergeCell ref="R10:T10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tabSelected="1" topLeftCell="B19" zoomScaleNormal="100" workbookViewId="0">
      <selection activeCell="G37" sqref="G37"/>
    </sheetView>
  </sheetViews>
  <sheetFormatPr defaultRowHeight="15" x14ac:dyDescent="0.25"/>
  <cols>
    <col min="2" max="2" width="24" bestFit="1" customWidth="1"/>
    <col min="3" max="3" width="10" bestFit="1" customWidth="1"/>
    <col min="4" max="4" width="13.140625" bestFit="1" customWidth="1"/>
    <col min="5" max="5" width="10.28515625" bestFit="1" customWidth="1"/>
    <col min="6" max="6" width="12.5703125" bestFit="1" customWidth="1"/>
    <col min="7" max="7" width="10.28515625" bestFit="1" customWidth="1"/>
    <col min="8" max="8" width="10.85546875" bestFit="1" customWidth="1"/>
    <col min="10" max="10" width="10.42578125" bestFit="1" customWidth="1"/>
    <col min="11" max="11" width="39.140625" bestFit="1" customWidth="1"/>
    <col min="12" max="12" width="11.7109375" bestFit="1" customWidth="1"/>
  </cols>
  <sheetData>
    <row r="2" spans="2:12" x14ac:dyDescent="0.25">
      <c r="B2" s="2" t="s">
        <v>25</v>
      </c>
      <c r="C2" s="62" t="s">
        <v>26</v>
      </c>
      <c r="D2" s="63"/>
      <c r="E2" s="63"/>
      <c r="F2" s="63"/>
      <c r="G2" s="63"/>
      <c r="H2" s="3"/>
      <c r="I2" s="4"/>
    </row>
    <row r="3" spans="2:12" x14ac:dyDescent="0.25">
      <c r="B3" s="2" t="s">
        <v>27</v>
      </c>
      <c r="C3" s="64" t="s">
        <v>28</v>
      </c>
      <c r="D3" s="65"/>
      <c r="E3" s="65"/>
      <c r="F3" s="65"/>
      <c r="G3" s="66"/>
    </row>
    <row r="4" spans="2:12" ht="15.75" thickBot="1" x14ac:dyDescent="0.3">
      <c r="B4" s="2" t="s">
        <v>29</v>
      </c>
      <c r="C4" s="64" t="s">
        <v>30</v>
      </c>
      <c r="D4" s="65"/>
      <c r="E4" s="65"/>
      <c r="F4" s="65"/>
      <c r="G4" s="66"/>
    </row>
    <row r="5" spans="2:12" ht="45" x14ac:dyDescent="0.35">
      <c r="B5" s="5" t="s">
        <v>31</v>
      </c>
      <c r="C5" s="6">
        <f>F24</f>
        <v>23.698799999999999</v>
      </c>
      <c r="D5" s="7" t="s">
        <v>32</v>
      </c>
      <c r="E5" s="8">
        <v>6</v>
      </c>
      <c r="F5" s="9" t="s">
        <v>33</v>
      </c>
      <c r="G5" s="10">
        <f>(C5-E5)*9/12</f>
        <v>13.274099999999999</v>
      </c>
      <c r="J5" s="25"/>
      <c r="K5" s="26" t="s">
        <v>94</v>
      </c>
      <c r="L5" s="27" t="s">
        <v>72</v>
      </c>
    </row>
    <row r="6" spans="2:12" x14ac:dyDescent="0.25">
      <c r="J6" s="28" t="s">
        <v>73</v>
      </c>
      <c r="K6" s="21" t="s">
        <v>74</v>
      </c>
      <c r="L6" s="29">
        <v>42730</v>
      </c>
    </row>
    <row r="7" spans="2:12" x14ac:dyDescent="0.25">
      <c r="B7" s="67" t="s">
        <v>34</v>
      </c>
      <c r="C7" s="67"/>
      <c r="D7" s="67"/>
      <c r="E7" s="67"/>
      <c r="F7" s="67"/>
      <c r="G7" s="67"/>
      <c r="J7" s="30" t="s">
        <v>75</v>
      </c>
      <c r="K7" s="14" t="s">
        <v>76</v>
      </c>
      <c r="L7" s="31">
        <v>2.5099999999999998</v>
      </c>
    </row>
    <row r="8" spans="2:12" x14ac:dyDescent="0.25">
      <c r="B8" s="61" t="s">
        <v>35</v>
      </c>
      <c r="C8" s="61"/>
      <c r="D8" s="61"/>
      <c r="E8" s="11"/>
      <c r="F8" s="11"/>
      <c r="G8" s="11"/>
      <c r="J8" s="30" t="s">
        <v>77</v>
      </c>
      <c r="K8" s="14" t="s">
        <v>76</v>
      </c>
      <c r="L8" s="31">
        <v>8.94</v>
      </c>
    </row>
    <row r="9" spans="2:12" x14ac:dyDescent="0.25">
      <c r="B9" s="60" t="s">
        <v>36</v>
      </c>
      <c r="C9" s="60"/>
      <c r="D9" s="60"/>
      <c r="E9" s="12" t="s">
        <v>4</v>
      </c>
      <c r="F9" s="12">
        <v>44</v>
      </c>
      <c r="G9" s="12" t="s">
        <v>37</v>
      </c>
      <c r="J9" s="30" t="s">
        <v>78</v>
      </c>
      <c r="K9" s="14" t="s">
        <v>76</v>
      </c>
      <c r="L9" s="31" t="s">
        <v>79</v>
      </c>
    </row>
    <row r="10" spans="2:12" x14ac:dyDescent="0.25">
      <c r="B10" s="60" t="s">
        <v>38</v>
      </c>
      <c r="C10" s="60"/>
      <c r="D10" s="60"/>
      <c r="E10" s="12" t="s">
        <v>4</v>
      </c>
      <c r="F10" s="12">
        <v>44</v>
      </c>
      <c r="G10" s="12" t="s">
        <v>37</v>
      </c>
      <c r="J10" s="30" t="s">
        <v>80</v>
      </c>
      <c r="K10" s="14" t="s">
        <v>76</v>
      </c>
      <c r="L10" s="31">
        <v>12.15</v>
      </c>
    </row>
    <row r="11" spans="2:12" x14ac:dyDescent="0.25">
      <c r="B11" s="60" t="s">
        <v>39</v>
      </c>
      <c r="C11" s="60"/>
      <c r="D11" s="60"/>
      <c r="E11" s="12" t="s">
        <v>4</v>
      </c>
      <c r="F11" s="12">
        <v>8</v>
      </c>
      <c r="G11" s="12" t="s">
        <v>37</v>
      </c>
      <c r="J11" s="30" t="s">
        <v>81</v>
      </c>
      <c r="K11" s="14" t="s">
        <v>82</v>
      </c>
      <c r="L11" s="31">
        <v>27.12</v>
      </c>
    </row>
    <row r="12" spans="2:12" x14ac:dyDescent="0.25">
      <c r="B12" s="60" t="s">
        <v>40</v>
      </c>
      <c r="C12" s="60"/>
      <c r="D12" s="60"/>
      <c r="E12" s="12" t="s">
        <v>4</v>
      </c>
      <c r="F12" s="12">
        <v>2</v>
      </c>
      <c r="G12" s="12" t="s">
        <v>37</v>
      </c>
      <c r="J12" s="30" t="s">
        <v>83</v>
      </c>
      <c r="K12" s="14" t="s">
        <v>84</v>
      </c>
      <c r="L12" s="31" t="s">
        <v>79</v>
      </c>
    </row>
    <row r="13" spans="2:12" x14ac:dyDescent="0.25">
      <c r="B13" s="60" t="s">
        <v>41</v>
      </c>
      <c r="C13" s="60"/>
      <c r="D13" s="60"/>
      <c r="E13" s="12" t="s">
        <v>4</v>
      </c>
      <c r="F13" s="12">
        <v>9</v>
      </c>
      <c r="G13" s="12" t="s">
        <v>37</v>
      </c>
      <c r="J13" s="30" t="s">
        <v>85</v>
      </c>
      <c r="K13" s="14" t="s">
        <v>86</v>
      </c>
      <c r="L13" s="31">
        <v>27.12</v>
      </c>
    </row>
    <row r="14" spans="2:12" x14ac:dyDescent="0.25">
      <c r="B14" s="60" t="s">
        <v>42</v>
      </c>
      <c r="C14" s="60"/>
      <c r="D14" s="60"/>
      <c r="E14" s="12" t="s">
        <v>4</v>
      </c>
      <c r="F14" s="13">
        <f>SUM(F9:F13)</f>
        <v>107</v>
      </c>
      <c r="G14" s="12" t="s">
        <v>43</v>
      </c>
      <c r="J14" s="30" t="s">
        <v>87</v>
      </c>
      <c r="K14" s="14" t="s">
        <v>88</v>
      </c>
      <c r="L14" s="31">
        <v>40.49</v>
      </c>
    </row>
    <row r="15" spans="2:12" x14ac:dyDescent="0.25">
      <c r="B15" s="60"/>
      <c r="C15" s="60"/>
      <c r="D15" s="60"/>
      <c r="E15" s="12"/>
      <c r="F15" s="11"/>
      <c r="G15" s="11"/>
      <c r="J15" s="30" t="s">
        <v>89</v>
      </c>
      <c r="K15" s="14" t="s">
        <v>90</v>
      </c>
      <c r="L15" s="31">
        <v>32.409999999999997</v>
      </c>
    </row>
    <row r="16" spans="2:12" x14ac:dyDescent="0.25">
      <c r="B16" s="61" t="s">
        <v>44</v>
      </c>
      <c r="C16" s="61"/>
      <c r="D16" s="61"/>
      <c r="E16" s="12"/>
      <c r="F16" s="11"/>
      <c r="G16" s="11"/>
      <c r="J16" s="28"/>
      <c r="K16" s="14" t="s">
        <v>91</v>
      </c>
      <c r="L16" s="31">
        <v>19.84</v>
      </c>
    </row>
    <row r="17" spans="2:14" x14ac:dyDescent="0.25">
      <c r="B17" s="60" t="s">
        <v>45</v>
      </c>
      <c r="C17" s="60"/>
      <c r="D17" s="60"/>
      <c r="E17" s="12" t="s">
        <v>4</v>
      </c>
      <c r="F17" s="13">
        <v>20</v>
      </c>
      <c r="G17" s="12" t="s">
        <v>46</v>
      </c>
      <c r="J17" s="32"/>
      <c r="K17" s="33"/>
      <c r="L17" s="34"/>
    </row>
    <row r="18" spans="2:14" x14ac:dyDescent="0.25">
      <c r="B18" s="60"/>
      <c r="C18" s="60"/>
      <c r="D18" s="60"/>
      <c r="E18" s="11"/>
      <c r="F18" s="11"/>
      <c r="G18" s="11"/>
      <c r="J18" s="32"/>
      <c r="K18" s="33"/>
      <c r="L18" s="34"/>
    </row>
    <row r="19" spans="2:14" x14ac:dyDescent="0.25">
      <c r="B19" s="61" t="s">
        <v>47</v>
      </c>
      <c r="C19" s="61"/>
      <c r="D19" s="61"/>
      <c r="E19" s="12" t="s">
        <v>4</v>
      </c>
      <c r="F19" s="13">
        <f>F14-F17</f>
        <v>87</v>
      </c>
      <c r="G19" s="12" t="s">
        <v>43</v>
      </c>
      <c r="J19" s="32"/>
      <c r="K19" s="22" t="s">
        <v>35</v>
      </c>
      <c r="L19" s="35">
        <f>SUM(L7:L10,L14:L15)</f>
        <v>96.5</v>
      </c>
    </row>
    <row r="20" spans="2:14" x14ac:dyDescent="0.25">
      <c r="B20" s="60" t="s">
        <v>48</v>
      </c>
      <c r="C20" s="60"/>
      <c r="D20" s="60"/>
      <c r="E20" s="12" t="s">
        <v>49</v>
      </c>
      <c r="F20" s="13">
        <v>5</v>
      </c>
      <c r="G20" s="12"/>
      <c r="J20" s="32"/>
      <c r="K20" s="22" t="s">
        <v>44</v>
      </c>
      <c r="L20" s="35">
        <f>L16</f>
        <v>19.84</v>
      </c>
    </row>
    <row r="21" spans="2:14" x14ac:dyDescent="0.25">
      <c r="B21" s="60" t="s">
        <v>50</v>
      </c>
      <c r="C21" s="60"/>
      <c r="D21" s="60"/>
      <c r="E21" s="12" t="s">
        <v>51</v>
      </c>
      <c r="F21" s="13">
        <v>227</v>
      </c>
      <c r="G21" s="12" t="s">
        <v>46</v>
      </c>
      <c r="J21" s="32"/>
      <c r="K21" s="22" t="s">
        <v>2</v>
      </c>
      <c r="L21" s="35">
        <f>L19-L20</f>
        <v>76.66</v>
      </c>
    </row>
    <row r="22" spans="2:14" x14ac:dyDescent="0.25">
      <c r="B22" s="60" t="s">
        <v>52</v>
      </c>
      <c r="C22" s="60"/>
      <c r="D22" s="60"/>
      <c r="E22" s="12" t="s">
        <v>53</v>
      </c>
      <c r="F22" s="13">
        <f>F19*F20*24*F21</f>
        <v>2369880</v>
      </c>
      <c r="G22" s="12" t="s">
        <v>43</v>
      </c>
      <c r="J22" s="32"/>
      <c r="K22" s="33"/>
      <c r="L22" s="34"/>
    </row>
    <row r="23" spans="2:14" x14ac:dyDescent="0.25">
      <c r="B23" s="60"/>
      <c r="C23" s="60"/>
      <c r="D23" s="60"/>
      <c r="E23" s="14"/>
      <c r="F23" s="15"/>
      <c r="G23" s="11"/>
      <c r="J23" s="32"/>
      <c r="K23" s="22" t="s">
        <v>92</v>
      </c>
      <c r="L23" s="35">
        <v>5.8</v>
      </c>
    </row>
    <row r="24" spans="2:14" ht="15.75" thickBot="1" x14ac:dyDescent="0.3">
      <c r="B24" s="61" t="s">
        <v>54</v>
      </c>
      <c r="C24" s="61"/>
      <c r="D24" s="61"/>
      <c r="E24" s="16" t="s">
        <v>53</v>
      </c>
      <c r="F24" s="17">
        <f>(F22)/100000</f>
        <v>23.698799999999999</v>
      </c>
      <c r="G24" s="16" t="s">
        <v>43</v>
      </c>
      <c r="J24" s="36"/>
      <c r="K24" s="37" t="s">
        <v>93</v>
      </c>
      <c r="L24" s="38">
        <f>L21*24*L23</f>
        <v>10671.071999999998</v>
      </c>
    </row>
    <row r="27" spans="2:14" x14ac:dyDescent="0.25">
      <c r="B27" t="s">
        <v>95</v>
      </c>
      <c r="L27" s="24">
        <f>4*24-19.45</f>
        <v>76.55</v>
      </c>
      <c r="M27" s="24">
        <f>18*24</f>
        <v>432</v>
      </c>
    </row>
    <row r="28" spans="2:14" x14ac:dyDescent="0.25">
      <c r="B28" t="s">
        <v>92</v>
      </c>
      <c r="L28" s="24">
        <v>6.06</v>
      </c>
      <c r="M28" s="24">
        <v>5.99</v>
      </c>
    </row>
    <row r="29" spans="2:14" x14ac:dyDescent="0.25">
      <c r="B29" t="s">
        <v>96</v>
      </c>
      <c r="L29" s="24">
        <v>76.66</v>
      </c>
      <c r="M29" s="24">
        <v>76.66</v>
      </c>
    </row>
    <row r="30" spans="2:14" x14ac:dyDescent="0.25">
      <c r="B30" s="18"/>
      <c r="C30" s="18" t="s">
        <v>55</v>
      </c>
      <c r="D30" s="18" t="s">
        <v>56</v>
      </c>
      <c r="E30" s="18" t="s">
        <v>57</v>
      </c>
      <c r="F30" s="18" t="s">
        <v>58</v>
      </c>
      <c r="G30" s="18" t="s">
        <v>59</v>
      </c>
      <c r="H30" s="18" t="s">
        <v>60</v>
      </c>
      <c r="I30" s="18" t="s">
        <v>61</v>
      </c>
      <c r="J30" s="18" t="s">
        <v>62</v>
      </c>
      <c r="K30" s="18" t="s">
        <v>63</v>
      </c>
      <c r="L30" s="18" t="s">
        <v>64</v>
      </c>
      <c r="M30" s="18" t="s">
        <v>65</v>
      </c>
      <c r="N30" s="18" t="s">
        <v>66</v>
      </c>
    </row>
    <row r="31" spans="2:14" x14ac:dyDescent="0.25">
      <c r="B31" s="19" t="s">
        <v>67</v>
      </c>
      <c r="C31" s="20"/>
      <c r="D31" s="20"/>
      <c r="E31" s="20"/>
      <c r="F31" s="20"/>
      <c r="G31" s="20"/>
      <c r="H31" s="20"/>
      <c r="I31" s="20"/>
      <c r="J31" s="20"/>
      <c r="K31" s="20"/>
      <c r="L31" s="20">
        <f>L29*L28*L27/100000</f>
        <v>0.35562037379999994</v>
      </c>
      <c r="M31" s="20">
        <f>M29*M28*M27/100000</f>
        <v>1.9837154879999999</v>
      </c>
      <c r="N31" s="20"/>
    </row>
    <row r="32" spans="2:14" ht="30" x14ac:dyDescent="0.25">
      <c r="B32" s="19" t="s">
        <v>68</v>
      </c>
      <c r="C32" s="18"/>
      <c r="D32" s="18"/>
      <c r="E32" s="18"/>
      <c r="F32" s="18"/>
      <c r="G32" s="18"/>
      <c r="H32" s="18"/>
      <c r="I32" s="11"/>
      <c r="J32" s="11"/>
      <c r="K32" s="11"/>
      <c r="L32" s="11"/>
      <c r="M32" s="11"/>
      <c r="N32" s="11"/>
    </row>
    <row r="33" spans="2:14" ht="30" x14ac:dyDescent="0.25">
      <c r="B33" s="19" t="s">
        <v>69</v>
      </c>
      <c r="C33" s="18"/>
      <c r="D33" s="18"/>
      <c r="E33" s="18"/>
      <c r="F33" s="18"/>
      <c r="G33" s="18"/>
      <c r="H33" s="18"/>
      <c r="I33" s="11"/>
      <c r="J33" s="11"/>
      <c r="K33" s="11"/>
      <c r="L33" s="11"/>
      <c r="M33" s="11"/>
      <c r="N33" s="11"/>
    </row>
    <row r="34" spans="2:14" x14ac:dyDescent="0.25">
      <c r="B34" s="19" t="s">
        <v>70</v>
      </c>
      <c r="C34" s="18"/>
      <c r="D34" s="18"/>
      <c r="E34" s="18"/>
      <c r="F34" s="18"/>
      <c r="G34" s="18"/>
      <c r="H34" s="18"/>
      <c r="I34" s="11"/>
      <c r="J34" s="11"/>
      <c r="K34" s="11"/>
      <c r="L34" s="11"/>
      <c r="M34" s="11"/>
      <c r="N34" s="11"/>
    </row>
    <row r="35" spans="2:14" x14ac:dyDescent="0.25">
      <c r="B35" s="19" t="s">
        <v>71</v>
      </c>
      <c r="C35" s="18"/>
      <c r="D35" s="18"/>
      <c r="E35" s="18"/>
      <c r="F35" s="18"/>
      <c r="G35" s="18"/>
      <c r="H35" s="18"/>
      <c r="I35" s="11"/>
      <c r="J35" s="11"/>
      <c r="K35" s="11"/>
      <c r="L35" s="11"/>
      <c r="M35" s="11"/>
      <c r="N35" s="11"/>
    </row>
  </sheetData>
  <mergeCells count="21">
    <mergeCell ref="B15:D15"/>
    <mergeCell ref="C2:G2"/>
    <mergeCell ref="C3:G3"/>
    <mergeCell ref="C4:G4"/>
    <mergeCell ref="B7:G7"/>
    <mergeCell ref="B8:D8"/>
    <mergeCell ref="B9:D9"/>
    <mergeCell ref="B10:D10"/>
    <mergeCell ref="B11:D11"/>
    <mergeCell ref="B12:D12"/>
    <mergeCell ref="B13:D13"/>
    <mergeCell ref="B14:D14"/>
    <mergeCell ref="B22:D22"/>
    <mergeCell ref="B23:D23"/>
    <mergeCell ref="B24:D24"/>
    <mergeCell ref="B16:D16"/>
    <mergeCell ref="B17:D17"/>
    <mergeCell ref="B18:D18"/>
    <mergeCell ref="B19:D19"/>
    <mergeCell ref="B20:D20"/>
    <mergeCell ref="B21:D2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7"/>
  <sheetViews>
    <sheetView topLeftCell="A10" zoomScale="85" zoomScaleNormal="85" workbookViewId="0">
      <selection activeCell="N33" sqref="N33"/>
    </sheetView>
  </sheetViews>
  <sheetFormatPr defaultRowHeight="15" x14ac:dyDescent="0.25"/>
  <cols>
    <col min="2" max="2" width="24.85546875" bestFit="1" customWidth="1"/>
    <col min="3" max="3" width="18.7109375" customWidth="1"/>
    <col min="4" max="4" width="17.28515625" customWidth="1"/>
    <col min="5" max="5" width="11.42578125" bestFit="1" customWidth="1"/>
    <col min="6" max="6" width="16" customWidth="1"/>
    <col min="7" max="7" width="12.28515625" bestFit="1" customWidth="1"/>
    <col min="8" max="8" width="19.5703125" style="3" customWidth="1"/>
    <col min="9" max="9" width="8.140625" style="4" bestFit="1" customWidth="1"/>
    <col min="10" max="10" width="10.42578125" bestFit="1" customWidth="1"/>
    <col min="11" max="11" width="10.140625" bestFit="1" customWidth="1"/>
    <col min="12" max="12" width="7.7109375" bestFit="1" customWidth="1"/>
    <col min="13" max="13" width="8.85546875" bestFit="1" customWidth="1"/>
    <col min="14" max="14" width="6.42578125" bestFit="1" customWidth="1"/>
  </cols>
  <sheetData>
    <row r="2" spans="2:7" customFormat="1" x14ac:dyDescent="0.25">
      <c r="B2" s="2" t="s">
        <v>25</v>
      </c>
      <c r="C2" s="62" t="s">
        <v>97</v>
      </c>
      <c r="D2" s="63"/>
      <c r="E2" s="63"/>
      <c r="F2" s="63"/>
      <c r="G2" s="63"/>
    </row>
    <row r="3" spans="2:7" customFormat="1" x14ac:dyDescent="0.25">
      <c r="B3" s="2" t="s">
        <v>27</v>
      </c>
      <c r="C3" s="62" t="s">
        <v>98</v>
      </c>
      <c r="D3" s="63"/>
      <c r="E3" s="63"/>
      <c r="F3" s="63"/>
      <c r="G3" s="63"/>
    </row>
    <row r="4" spans="2:7" customFormat="1" x14ac:dyDescent="0.25">
      <c r="B4" s="2" t="s">
        <v>29</v>
      </c>
      <c r="C4" s="62" t="s">
        <v>99</v>
      </c>
      <c r="D4" s="63"/>
      <c r="E4" s="63"/>
      <c r="F4" s="63"/>
      <c r="G4" s="63"/>
    </row>
    <row r="5" spans="2:7" customFormat="1" ht="30" x14ac:dyDescent="0.25">
      <c r="B5" s="5" t="s">
        <v>31</v>
      </c>
      <c r="C5" s="6">
        <f>F29/100000</f>
        <v>10.64080213644549</v>
      </c>
      <c r="D5" s="7" t="s">
        <v>32</v>
      </c>
      <c r="E5" s="8">
        <v>5</v>
      </c>
      <c r="F5" s="9" t="s">
        <v>33</v>
      </c>
      <c r="G5" s="10">
        <f>(C5-E5)*9/12</f>
        <v>4.2306016023341178</v>
      </c>
    </row>
    <row r="7" spans="2:7" customFormat="1" x14ac:dyDescent="0.25">
      <c r="B7" s="67" t="s">
        <v>100</v>
      </c>
      <c r="C7" s="67"/>
      <c r="D7" s="67"/>
      <c r="E7" s="67"/>
      <c r="F7" s="67"/>
      <c r="G7" s="67"/>
    </row>
    <row r="8" spans="2:7" customFormat="1" x14ac:dyDescent="0.25">
      <c r="B8" s="39" t="s">
        <v>101</v>
      </c>
      <c r="C8" s="39" t="s">
        <v>102</v>
      </c>
      <c r="D8" s="40"/>
      <c r="E8" s="41" t="s">
        <v>103</v>
      </c>
      <c r="F8" s="39" t="s">
        <v>104</v>
      </c>
      <c r="G8" s="39" t="s">
        <v>105</v>
      </c>
    </row>
    <row r="9" spans="2:7" customFormat="1" x14ac:dyDescent="0.25">
      <c r="B9" s="42" t="s">
        <v>106</v>
      </c>
      <c r="C9" s="43">
        <v>504</v>
      </c>
      <c r="D9" s="44"/>
      <c r="E9" s="45">
        <f>C9/38</f>
        <v>13.263157894736842</v>
      </c>
      <c r="F9" s="43">
        <f>E9*0.76</f>
        <v>10.08</v>
      </c>
      <c r="G9" s="46">
        <f>C9/50</f>
        <v>10.08</v>
      </c>
    </row>
    <row r="10" spans="2:7" customFormat="1" x14ac:dyDescent="0.25">
      <c r="B10" s="42" t="s">
        <v>107</v>
      </c>
      <c r="C10" s="43">
        <v>8151.2693656653055</v>
      </c>
      <c r="D10" s="44"/>
      <c r="E10" s="45">
        <f>C10/38</f>
        <v>214.50708857013962</v>
      </c>
      <c r="F10" s="43">
        <f t="shared" ref="F10:F13" si="0">E10*0.76</f>
        <v>163.02538731330611</v>
      </c>
      <c r="G10" s="43">
        <f t="shared" ref="G10:G13" si="1">C10/50</f>
        <v>163.02538731330611</v>
      </c>
    </row>
    <row r="11" spans="2:7" customFormat="1" x14ac:dyDescent="0.25">
      <c r="B11" s="42" t="s">
        <v>108</v>
      </c>
      <c r="C11" s="43">
        <v>1160</v>
      </c>
      <c r="D11" s="44"/>
      <c r="E11" s="45">
        <f>C11/38</f>
        <v>30.526315789473685</v>
      </c>
      <c r="F11" s="43">
        <f t="shared" si="0"/>
        <v>23.2</v>
      </c>
      <c r="G11" s="46">
        <f t="shared" si="1"/>
        <v>23.2</v>
      </c>
    </row>
    <row r="12" spans="2:7" customFormat="1" x14ac:dyDescent="0.25">
      <c r="B12" s="42" t="s">
        <v>109</v>
      </c>
      <c r="C12" s="43">
        <v>2460</v>
      </c>
      <c r="D12" s="44"/>
      <c r="E12" s="45">
        <f>C12/38</f>
        <v>64.736842105263165</v>
      </c>
      <c r="F12" s="43">
        <f t="shared" si="0"/>
        <v>49.2</v>
      </c>
      <c r="G12" s="46">
        <f t="shared" si="1"/>
        <v>49.2</v>
      </c>
    </row>
    <row r="13" spans="2:7" customFormat="1" x14ac:dyDescent="0.25">
      <c r="B13" s="47"/>
      <c r="C13" s="48">
        <v>12275.269365665306</v>
      </c>
      <c r="D13" s="49">
        <f>SUM(D9:D12)</f>
        <v>0</v>
      </c>
      <c r="E13" s="50">
        <f>SUM(E9:E12)</f>
        <v>323.03340435961331</v>
      </c>
      <c r="F13" s="43">
        <f t="shared" si="0"/>
        <v>245.50538731330613</v>
      </c>
      <c r="G13" s="43">
        <f t="shared" si="1"/>
        <v>245.50538731330613</v>
      </c>
    </row>
    <row r="14" spans="2:7" customFormat="1" x14ac:dyDescent="0.25">
      <c r="B14" s="46"/>
      <c r="C14" s="46"/>
      <c r="D14" s="44" t="s">
        <v>110</v>
      </c>
      <c r="E14" s="51"/>
      <c r="F14" s="43">
        <f>E13-F13</f>
        <v>77.528017046307184</v>
      </c>
      <c r="G14" s="46"/>
    </row>
    <row r="15" spans="2:7" customFormat="1" x14ac:dyDescent="0.25">
      <c r="B15" s="46"/>
      <c r="C15" s="46"/>
      <c r="D15" s="44" t="s">
        <v>111</v>
      </c>
      <c r="E15" s="51">
        <v>30</v>
      </c>
      <c r="F15" s="46"/>
      <c r="G15" s="46" t="s">
        <v>112</v>
      </c>
    </row>
    <row r="16" spans="2:7" customFormat="1" x14ac:dyDescent="0.25">
      <c r="B16" s="46"/>
      <c r="C16" s="46"/>
      <c r="D16" s="44" t="s">
        <v>113</v>
      </c>
      <c r="E16" s="51"/>
      <c r="F16" s="46"/>
      <c r="G16" s="46"/>
    </row>
    <row r="17" spans="2:15" x14ac:dyDescent="0.25">
      <c r="B17" s="46"/>
      <c r="C17" s="46"/>
      <c r="D17" s="52" t="s">
        <v>114</v>
      </c>
      <c r="E17" s="51">
        <v>750</v>
      </c>
      <c r="F17" s="46">
        <f>E17*77.53</f>
        <v>58147.5</v>
      </c>
      <c r="G17" s="46"/>
    </row>
    <row r="18" spans="2:15" x14ac:dyDescent="0.25">
      <c r="B18" s="46"/>
      <c r="C18" s="46"/>
      <c r="D18" s="44"/>
      <c r="E18" s="51"/>
      <c r="F18" s="46">
        <f>F17*5.5</f>
        <v>319811.25</v>
      </c>
      <c r="G18" s="46" t="s">
        <v>115</v>
      </c>
    </row>
    <row r="19" spans="2:15" x14ac:dyDescent="0.25">
      <c r="B19" s="46"/>
      <c r="C19" s="46"/>
      <c r="D19" s="52" t="s">
        <v>116</v>
      </c>
      <c r="E19" s="51"/>
      <c r="F19" s="46"/>
      <c r="G19" s="46"/>
    </row>
    <row r="20" spans="2:15" x14ac:dyDescent="0.25">
      <c r="B20" s="46"/>
      <c r="C20" s="46"/>
      <c r="D20" s="52" t="s">
        <v>117</v>
      </c>
      <c r="E20" s="51"/>
      <c r="F20" s="46">
        <f>F14*38</f>
        <v>2946.0646477596729</v>
      </c>
      <c r="G20" s="46"/>
    </row>
    <row r="21" spans="2:15" x14ac:dyDescent="0.25">
      <c r="B21" s="46"/>
      <c r="C21" s="46"/>
      <c r="D21" s="44" t="s">
        <v>111</v>
      </c>
      <c r="E21" s="51"/>
      <c r="F21" s="46">
        <v>30</v>
      </c>
      <c r="G21" s="46"/>
    </row>
    <row r="22" spans="2:15" x14ac:dyDescent="0.25">
      <c r="B22" s="46"/>
      <c r="C22" s="46"/>
      <c r="D22" s="52" t="s">
        <v>118</v>
      </c>
      <c r="E22" s="51"/>
      <c r="F22" s="46">
        <f>F20*F21</f>
        <v>88381.939432790183</v>
      </c>
      <c r="G22" s="46"/>
    </row>
    <row r="23" spans="2:15" x14ac:dyDescent="0.25">
      <c r="B23" s="46"/>
      <c r="C23" s="46"/>
      <c r="D23" s="44" t="s">
        <v>119</v>
      </c>
      <c r="E23" s="51"/>
      <c r="F23" s="53">
        <f>F22*5.5</f>
        <v>486100.66688034602</v>
      </c>
      <c r="G23" s="46" t="s">
        <v>115</v>
      </c>
    </row>
    <row r="24" spans="2:15" x14ac:dyDescent="0.25">
      <c r="B24" s="46"/>
      <c r="C24" s="46"/>
      <c r="D24" s="44"/>
      <c r="E24" s="51"/>
      <c r="F24" s="46"/>
      <c r="G24" s="46"/>
    </row>
    <row r="25" spans="2:15" x14ac:dyDescent="0.25">
      <c r="B25" s="46"/>
      <c r="C25" s="46"/>
      <c r="D25" s="52" t="s">
        <v>120</v>
      </c>
      <c r="E25" s="51">
        <v>400</v>
      </c>
      <c r="F25" s="46">
        <f>E25*E26*F14</f>
        <v>744268.96364454902</v>
      </c>
      <c r="G25" s="46" t="s">
        <v>121</v>
      </c>
    </row>
    <row r="26" spans="2:15" x14ac:dyDescent="0.25">
      <c r="B26" s="46"/>
      <c r="C26" s="46"/>
      <c r="D26" s="44" t="s">
        <v>122</v>
      </c>
      <c r="E26" s="51">
        <v>24</v>
      </c>
      <c r="F26" s="46"/>
      <c r="G26" s="46"/>
    </row>
    <row r="27" spans="2:15" x14ac:dyDescent="0.25">
      <c r="B27" s="46"/>
      <c r="C27" s="46"/>
      <c r="D27" s="52" t="s">
        <v>123</v>
      </c>
      <c r="E27" s="54">
        <f>F14</f>
        <v>77.528017046307184</v>
      </c>
      <c r="F27" s="46"/>
      <c r="G27" s="46"/>
    </row>
    <row r="28" spans="2:15" x14ac:dyDescent="0.25">
      <c r="B28" s="46"/>
      <c r="C28" s="46"/>
      <c r="D28" s="44"/>
      <c r="E28" s="51"/>
      <c r="F28" s="46"/>
      <c r="G28" s="46"/>
    </row>
    <row r="29" spans="2:15" x14ac:dyDescent="0.25">
      <c r="B29" s="46"/>
      <c r="C29" s="46"/>
      <c r="D29" s="52" t="s">
        <v>124</v>
      </c>
      <c r="E29" s="51"/>
      <c r="F29" s="43">
        <f>F18+F25</f>
        <v>1064080.213644549</v>
      </c>
      <c r="G29" s="46" t="s">
        <v>125</v>
      </c>
    </row>
    <row r="30" spans="2:15" x14ac:dyDescent="0.25">
      <c r="B30" s="46"/>
      <c r="C30" s="46"/>
      <c r="D30" s="52" t="s">
        <v>126</v>
      </c>
      <c r="E30" s="51"/>
      <c r="F30" s="46"/>
      <c r="G30" s="46"/>
    </row>
    <row r="32" spans="2:15" x14ac:dyDescent="0.25">
      <c r="B32" s="18"/>
      <c r="C32" s="18" t="s">
        <v>55</v>
      </c>
      <c r="D32" s="18" t="s">
        <v>56</v>
      </c>
      <c r="E32" s="18" t="s">
        <v>57</v>
      </c>
      <c r="F32" s="18" t="s">
        <v>58</v>
      </c>
      <c r="G32" s="18" t="s">
        <v>59</v>
      </c>
      <c r="H32" s="18" t="s">
        <v>60</v>
      </c>
      <c r="I32" s="18" t="s">
        <v>61</v>
      </c>
      <c r="J32" s="18" t="s">
        <v>62</v>
      </c>
      <c r="K32" s="18" t="s">
        <v>63</v>
      </c>
      <c r="L32" s="18" t="s">
        <v>64</v>
      </c>
      <c r="M32" s="18" t="s">
        <v>65</v>
      </c>
      <c r="N32" s="18" t="s">
        <v>66</v>
      </c>
      <c r="O32" s="57" t="s">
        <v>127</v>
      </c>
    </row>
    <row r="33" spans="2:15" x14ac:dyDescent="0.25">
      <c r="B33" s="19" t="s">
        <v>67</v>
      </c>
      <c r="C33" s="20"/>
      <c r="D33" s="20"/>
      <c r="E33" s="20"/>
      <c r="F33" s="20"/>
      <c r="G33" s="20"/>
      <c r="H33" s="20"/>
      <c r="I33" s="20"/>
      <c r="J33" s="55">
        <v>0.53200000000000003</v>
      </c>
      <c r="K33" s="55">
        <v>0.63600000000000001</v>
      </c>
      <c r="L33" s="56">
        <v>0.94</v>
      </c>
      <c r="M33" s="56">
        <v>0.26</v>
      </c>
      <c r="N33" s="20"/>
      <c r="O33" s="58">
        <f>SUM(C33:N33)</f>
        <v>2.3680000000000003</v>
      </c>
    </row>
    <row r="34" spans="2:15" ht="30" x14ac:dyDescent="0.25">
      <c r="B34" s="19" t="s">
        <v>68</v>
      </c>
      <c r="C34" s="18"/>
      <c r="D34" s="18"/>
      <c r="E34" s="18"/>
      <c r="F34" s="18"/>
      <c r="G34" s="18"/>
      <c r="H34" s="18"/>
      <c r="I34" s="11"/>
      <c r="J34" s="11"/>
      <c r="K34" s="11"/>
      <c r="L34" s="11"/>
      <c r="M34" s="11"/>
      <c r="N34" s="11"/>
    </row>
    <row r="35" spans="2:15" ht="30" x14ac:dyDescent="0.25">
      <c r="B35" s="19" t="s">
        <v>69</v>
      </c>
      <c r="C35" s="18"/>
      <c r="D35" s="18"/>
      <c r="E35" s="18"/>
      <c r="F35" s="18"/>
      <c r="G35" s="18"/>
      <c r="H35" s="18"/>
      <c r="I35" s="11"/>
      <c r="J35" s="11"/>
      <c r="K35" s="11"/>
      <c r="L35" s="11"/>
      <c r="M35" s="11"/>
      <c r="N35" s="11"/>
    </row>
    <row r="36" spans="2:15" ht="26.25" customHeight="1" x14ac:dyDescent="0.25">
      <c r="B36" s="19" t="s">
        <v>70</v>
      </c>
      <c r="C36" s="18"/>
      <c r="D36" s="18"/>
      <c r="E36" s="18"/>
      <c r="F36" s="18"/>
      <c r="G36" s="18"/>
      <c r="H36" s="18"/>
      <c r="I36" s="11"/>
      <c r="J36" s="11"/>
      <c r="K36" s="11"/>
      <c r="L36" s="11"/>
      <c r="M36" s="11"/>
      <c r="N36" s="11"/>
    </row>
    <row r="37" spans="2:15" ht="27" customHeight="1" x14ac:dyDescent="0.25">
      <c r="B37" s="19" t="s">
        <v>71</v>
      </c>
      <c r="C37" s="18"/>
      <c r="D37" s="18"/>
      <c r="E37" s="18"/>
      <c r="F37" s="18"/>
      <c r="G37" s="18"/>
      <c r="H37" s="18"/>
      <c r="I37" s="11"/>
      <c r="J37" s="11"/>
      <c r="K37" s="11"/>
      <c r="L37" s="11"/>
      <c r="M37" s="11"/>
      <c r="N37" s="11"/>
    </row>
  </sheetData>
  <mergeCells count="4">
    <mergeCell ref="C2:G2"/>
    <mergeCell ref="C3:G3"/>
    <mergeCell ref="C4:G4"/>
    <mergeCell ref="B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"/>
  <sheetViews>
    <sheetView topLeftCell="A7" workbookViewId="0">
      <selection activeCell="G25" sqref="G25"/>
    </sheetView>
  </sheetViews>
  <sheetFormatPr defaultRowHeight="15" x14ac:dyDescent="0.25"/>
  <cols>
    <col min="2" max="2" width="19.5703125" customWidth="1"/>
    <col min="4" max="4" width="13.140625" customWidth="1"/>
    <col min="6" max="6" width="13.28515625" customWidth="1"/>
    <col min="8" max="8" width="10.85546875" bestFit="1" customWidth="1"/>
    <col min="10" max="10" width="10.42578125" bestFit="1" customWidth="1"/>
    <col min="11" max="11" width="10.140625" bestFit="1" customWidth="1"/>
  </cols>
  <sheetData>
    <row r="2" spans="2:15" x14ac:dyDescent="0.25">
      <c r="B2" s="2" t="s">
        <v>25</v>
      </c>
      <c r="C2" s="62" t="s">
        <v>128</v>
      </c>
      <c r="D2" s="63"/>
      <c r="E2" s="63"/>
      <c r="F2" s="63"/>
      <c r="G2" s="63"/>
      <c r="H2" s="3"/>
      <c r="I2" s="4"/>
    </row>
    <row r="3" spans="2:15" x14ac:dyDescent="0.25">
      <c r="B3" s="2" t="s">
        <v>27</v>
      </c>
      <c r="C3" s="64" t="s">
        <v>129</v>
      </c>
      <c r="D3" s="65"/>
      <c r="E3" s="65"/>
      <c r="F3" s="65"/>
      <c r="G3" s="66"/>
    </row>
    <row r="4" spans="2:15" x14ac:dyDescent="0.25">
      <c r="B4" s="2" t="s">
        <v>29</v>
      </c>
      <c r="C4" s="64" t="s">
        <v>130</v>
      </c>
      <c r="D4" s="65"/>
      <c r="E4" s="65"/>
      <c r="F4" s="65"/>
      <c r="G4" s="66"/>
    </row>
    <row r="5" spans="2:15" ht="45" x14ac:dyDescent="0.25">
      <c r="B5" s="5" t="s">
        <v>31</v>
      </c>
      <c r="C5" s="6">
        <f>F13/100000</f>
        <v>5.016</v>
      </c>
      <c r="D5" s="7" t="s">
        <v>32</v>
      </c>
      <c r="E5" s="8">
        <v>1.5</v>
      </c>
      <c r="F5" s="9" t="s">
        <v>33</v>
      </c>
      <c r="G5" s="10">
        <f>(C5-E5)*8/12</f>
        <v>2.3439999999999999</v>
      </c>
    </row>
    <row r="6" spans="2:15" x14ac:dyDescent="0.25">
      <c r="I6" t="s">
        <v>169</v>
      </c>
    </row>
    <row r="7" spans="2:15" x14ac:dyDescent="0.25">
      <c r="B7" s="67" t="s">
        <v>34</v>
      </c>
      <c r="C7" s="67"/>
      <c r="D7" s="67"/>
      <c r="E7" s="67"/>
      <c r="F7" s="67"/>
      <c r="G7" s="67"/>
    </row>
    <row r="8" spans="2:15" x14ac:dyDescent="0.25">
      <c r="B8" s="60" t="s">
        <v>131</v>
      </c>
      <c r="C8" s="60"/>
      <c r="D8" s="60"/>
      <c r="E8" s="60"/>
      <c r="F8" s="11">
        <v>20</v>
      </c>
      <c r="G8" s="11" t="s">
        <v>132</v>
      </c>
    </row>
    <row r="9" spans="2:15" x14ac:dyDescent="0.25">
      <c r="B9" s="60" t="s">
        <v>133</v>
      </c>
      <c r="C9" s="60"/>
      <c r="D9" s="60"/>
      <c r="E9" s="60"/>
      <c r="F9" s="11">
        <f>F8*43</f>
        <v>860</v>
      </c>
      <c r="G9" s="11" t="s">
        <v>134</v>
      </c>
    </row>
    <row r="10" spans="2:15" x14ac:dyDescent="0.25">
      <c r="B10" s="60" t="s">
        <v>135</v>
      </c>
      <c r="C10" s="60"/>
      <c r="D10" s="60"/>
      <c r="E10" s="60"/>
      <c r="F10" s="11">
        <f>F8*33</f>
        <v>660</v>
      </c>
      <c r="G10" s="11" t="s">
        <v>134</v>
      </c>
    </row>
    <row r="11" spans="2:15" x14ac:dyDescent="0.25">
      <c r="B11" s="60"/>
      <c r="C11" s="60"/>
      <c r="D11" s="60"/>
      <c r="E11" s="60"/>
      <c r="F11" s="11"/>
      <c r="G11" s="11"/>
    </row>
    <row r="12" spans="2:15" x14ac:dyDescent="0.25">
      <c r="B12" s="60" t="s">
        <v>136</v>
      </c>
      <c r="C12" s="60"/>
      <c r="D12" s="60"/>
      <c r="E12" s="60"/>
      <c r="F12" s="23">
        <f>SUM(F9:F10)</f>
        <v>1520</v>
      </c>
      <c r="G12" s="11" t="s">
        <v>134</v>
      </c>
    </row>
    <row r="13" spans="2:15" x14ac:dyDescent="0.25">
      <c r="B13" s="60" t="s">
        <v>137</v>
      </c>
      <c r="C13" s="60"/>
      <c r="D13" s="60"/>
      <c r="E13" s="60"/>
      <c r="F13" s="23">
        <f>F12*330</f>
        <v>501600</v>
      </c>
      <c r="G13" s="11" t="s">
        <v>138</v>
      </c>
    </row>
    <row r="15" spans="2:15" x14ac:dyDescent="0.25">
      <c r="B15" s="18"/>
      <c r="C15" s="18" t="s">
        <v>55</v>
      </c>
      <c r="D15" s="18" t="s">
        <v>56</v>
      </c>
      <c r="E15" s="18" t="s">
        <v>57</v>
      </c>
      <c r="F15" s="18" t="s">
        <v>58</v>
      </c>
      <c r="G15" s="18" t="s">
        <v>59</v>
      </c>
      <c r="H15" s="18" t="s">
        <v>60</v>
      </c>
      <c r="I15" s="18" t="s">
        <v>61</v>
      </c>
      <c r="J15" s="18" t="s">
        <v>62</v>
      </c>
      <c r="K15" s="18" t="s">
        <v>63</v>
      </c>
      <c r="L15" s="18" t="s">
        <v>64</v>
      </c>
      <c r="M15" s="18" t="s">
        <v>65</v>
      </c>
      <c r="N15" s="18" t="s">
        <v>66</v>
      </c>
      <c r="O15" s="57" t="s">
        <v>127</v>
      </c>
    </row>
    <row r="16" spans="2:15" ht="30" x14ac:dyDescent="0.25">
      <c r="B16" s="19" t="s">
        <v>67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f>18*31*(43+33)/100000</f>
        <v>0.42408000000000001</v>
      </c>
      <c r="J16" s="56">
        <v>0.42</v>
      </c>
      <c r="K16" s="56">
        <v>0.42</v>
      </c>
      <c r="L16" s="59">
        <v>0.21</v>
      </c>
      <c r="M16" s="56">
        <v>0</v>
      </c>
      <c r="N16" s="55">
        <f>0.42*3/4</f>
        <v>0.315</v>
      </c>
      <c r="O16" s="103">
        <f>SUM(C16:N16)</f>
        <v>1.7890799999999998</v>
      </c>
    </row>
    <row r="17" spans="2:14" ht="30" x14ac:dyDescent="0.25">
      <c r="B17" s="19" t="s">
        <v>68</v>
      </c>
      <c r="C17" s="18"/>
      <c r="D17" s="18"/>
      <c r="E17" s="18"/>
      <c r="F17" s="18"/>
      <c r="G17" s="18"/>
      <c r="H17" s="18"/>
      <c r="I17" s="11"/>
      <c r="J17" s="11"/>
      <c r="K17" s="11"/>
      <c r="L17" s="11"/>
      <c r="M17" s="11"/>
      <c r="N17" s="11"/>
    </row>
    <row r="18" spans="2:14" ht="30" x14ac:dyDescent="0.25">
      <c r="B18" s="19" t="s">
        <v>69</v>
      </c>
      <c r="C18" s="18"/>
      <c r="D18" s="18"/>
      <c r="E18" s="18"/>
      <c r="F18" s="18"/>
      <c r="G18" s="18"/>
      <c r="H18" s="18"/>
      <c r="I18" s="11"/>
      <c r="J18" s="11"/>
      <c r="K18" s="11"/>
      <c r="L18" s="11"/>
      <c r="M18" s="11"/>
      <c r="N18" s="11"/>
    </row>
    <row r="19" spans="2:14" ht="30" x14ac:dyDescent="0.25">
      <c r="B19" s="19" t="s">
        <v>70</v>
      </c>
      <c r="C19" s="18"/>
      <c r="D19" s="18"/>
      <c r="E19" s="18"/>
      <c r="F19" s="18"/>
      <c r="G19" s="18"/>
      <c r="H19" s="18"/>
      <c r="I19" s="11"/>
      <c r="J19" s="11"/>
      <c r="K19" s="11"/>
      <c r="L19" s="11"/>
      <c r="M19" s="11"/>
      <c r="N19" s="11"/>
    </row>
    <row r="20" spans="2:14" ht="30" x14ac:dyDescent="0.25">
      <c r="B20" s="19" t="s">
        <v>71</v>
      </c>
      <c r="C20" s="18"/>
      <c r="D20" s="18"/>
      <c r="E20" s="18"/>
      <c r="F20" s="18"/>
      <c r="G20" s="18"/>
      <c r="H20" s="18"/>
      <c r="I20" s="11"/>
      <c r="J20" s="11"/>
      <c r="K20" s="11"/>
      <c r="L20" s="11"/>
      <c r="M20" s="11"/>
      <c r="N20" s="11"/>
    </row>
  </sheetData>
  <mergeCells count="10">
    <mergeCell ref="B10:E10"/>
    <mergeCell ref="B11:E11"/>
    <mergeCell ref="B12:E12"/>
    <mergeCell ref="B13:E13"/>
    <mergeCell ref="C2:G2"/>
    <mergeCell ref="C3:G3"/>
    <mergeCell ref="C4:G4"/>
    <mergeCell ref="B7:G7"/>
    <mergeCell ref="B8:E8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20P03 pump</vt:lpstr>
      <vt:lpstr>Heat exchangers analysis</vt:lpstr>
      <vt:lpstr>VAM chilled water to GDP</vt:lpstr>
      <vt:lpstr>VAM water to flaker</vt:lpstr>
      <vt:lpstr>New TF condensate recovery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2017-04-12T09:25:13Z</dcterms:modified>
</cp:coreProperties>
</file>