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35" windowWidth="14970" windowHeight="6840"/>
  </bookViews>
  <sheets>
    <sheet name="Income Statement Info" sheetId="1" r:id="rId1"/>
    <sheet name="Balance Sheet Info" sheetId="2" r:id="rId2"/>
    <sheet name="Cash Flow Info" sheetId="3" r:id="rId3"/>
  </sheets>
  <definedNames>
    <definedName name="_xlnm.Print_Area" localSheetId="0">'Income Statement Info'!$D$1:$DS$74</definedName>
    <definedName name="_xlnm.Print_Titles" localSheetId="1">'Balance Sheet Info'!$A:$C</definedName>
    <definedName name="_xlnm.Print_Titles" localSheetId="2">'Cash Flow Info'!$A:$D</definedName>
    <definedName name="_xlnm.Print_Titles" localSheetId="0">'Income Statement Info'!$A:$C</definedName>
  </definedNames>
  <calcPr calcId="145621"/>
</workbook>
</file>

<file path=xl/calcChain.xml><?xml version="1.0" encoding="utf-8"?>
<calcChain xmlns="http://schemas.openxmlformats.org/spreadsheetml/2006/main">
  <c r="AN57" i="3" l="1"/>
  <c r="AM57" i="3"/>
  <c r="AL57" i="3"/>
  <c r="AK57" i="3"/>
  <c r="AI57" i="3"/>
  <c r="AH57" i="3"/>
  <c r="AG57" i="3"/>
  <c r="AF57" i="3"/>
  <c r="AD57" i="3"/>
  <c r="AC57" i="3"/>
  <c r="AB57" i="3"/>
  <c r="AA57" i="3"/>
  <c r="Y57" i="3"/>
  <c r="X57" i="3"/>
  <c r="W57" i="3"/>
  <c r="V57" i="3"/>
  <c r="T57" i="3"/>
  <c r="S57" i="3"/>
  <c r="R57" i="3"/>
  <c r="Q57" i="3"/>
  <c r="N57" i="3"/>
  <c r="M57" i="3"/>
  <c r="L57" i="3"/>
  <c r="J57" i="3"/>
  <c r="I57" i="3"/>
  <c r="H57" i="3"/>
  <c r="G57" i="3"/>
  <c r="E57" i="3"/>
  <c r="AN48" i="3"/>
  <c r="AM48" i="3"/>
  <c r="AL48" i="3"/>
  <c r="AK48" i="3"/>
  <c r="AI48" i="3"/>
  <c r="AH48" i="3"/>
  <c r="AG48" i="3"/>
  <c r="AF48" i="3"/>
  <c r="AD48" i="3"/>
  <c r="AC48" i="3"/>
  <c r="AB48" i="3"/>
  <c r="AA48" i="3"/>
  <c r="Y48" i="3"/>
  <c r="X48" i="3"/>
  <c r="W48" i="3"/>
  <c r="V48" i="3"/>
  <c r="T48" i="3"/>
  <c r="S48" i="3"/>
  <c r="R48" i="3"/>
  <c r="Q48" i="3"/>
  <c r="N48" i="3"/>
  <c r="M48" i="3"/>
  <c r="L48" i="3"/>
  <c r="J48" i="3"/>
  <c r="I48" i="3"/>
  <c r="H48" i="3"/>
  <c r="G48" i="3"/>
  <c r="E48" i="3"/>
  <c r="O45" i="3"/>
  <c r="O57" i="3" s="1"/>
  <c r="AN36" i="3"/>
  <c r="AM36" i="3"/>
  <c r="AL36" i="3"/>
  <c r="AK36" i="3"/>
  <c r="AI36" i="3"/>
  <c r="AH36" i="3"/>
  <c r="AG36" i="3"/>
  <c r="AF36" i="3"/>
  <c r="AD36" i="3"/>
  <c r="AC36" i="3"/>
  <c r="AB36" i="3"/>
  <c r="AA36" i="3"/>
  <c r="Y36" i="3"/>
  <c r="X36" i="3"/>
  <c r="W36" i="3"/>
  <c r="V36" i="3"/>
  <c r="T36" i="3"/>
  <c r="S36" i="3"/>
  <c r="R36" i="3"/>
  <c r="Q36" i="3"/>
  <c r="O36" i="3"/>
  <c r="N36" i="3"/>
  <c r="M36" i="3"/>
  <c r="L36" i="3"/>
  <c r="J36" i="3"/>
  <c r="I36" i="3"/>
  <c r="H36" i="3"/>
  <c r="G36" i="3"/>
  <c r="E36" i="3"/>
  <c r="AN25" i="3"/>
  <c r="AN50" i="3" s="1"/>
  <c r="AM25" i="3"/>
  <c r="AM50" i="3" s="1"/>
  <c r="AL25" i="3"/>
  <c r="AL56" i="3" s="1"/>
  <c r="AL58" i="3" s="1"/>
  <c r="AK25" i="3"/>
  <c r="AK56" i="3" s="1"/>
  <c r="AK58" i="3" s="1"/>
  <c r="AI25" i="3"/>
  <c r="AI50" i="3" s="1"/>
  <c r="AH25" i="3"/>
  <c r="AH50" i="3" s="1"/>
  <c r="AG25" i="3"/>
  <c r="AG56" i="3" s="1"/>
  <c r="AG58" i="3" s="1"/>
  <c r="AD25" i="3"/>
  <c r="AD50" i="3" s="1"/>
  <c r="AB25" i="3"/>
  <c r="AB56" i="3" s="1"/>
  <c r="AB58" i="3" s="1"/>
  <c r="W25" i="3"/>
  <c r="W56" i="3" s="1"/>
  <c r="W58" i="3" s="1"/>
  <c r="R25" i="3"/>
  <c r="R56" i="3" s="1"/>
  <c r="R58" i="3" s="1"/>
  <c r="O25" i="3"/>
  <c r="M25" i="3"/>
  <c r="M56" i="3" s="1"/>
  <c r="M58" i="3" s="1"/>
  <c r="J25" i="3"/>
  <c r="J50" i="3" s="1"/>
  <c r="H25" i="3"/>
  <c r="H56" i="3" s="1"/>
  <c r="H58" i="3" s="1"/>
  <c r="E25" i="3"/>
  <c r="E50" i="3" s="1"/>
  <c r="E52" i="3" s="1"/>
  <c r="Y24" i="3"/>
  <c r="AF23" i="3"/>
  <c r="AF25" i="3" s="1"/>
  <c r="AD23" i="3"/>
  <c r="AC23" i="3"/>
  <c r="AC25" i="3" s="1"/>
  <c r="AB23" i="3"/>
  <c r="AA23" i="3"/>
  <c r="AA25" i="3" s="1"/>
  <c r="Y23" i="3"/>
  <c r="X23" i="3"/>
  <c r="X25" i="3" s="1"/>
  <c r="W23" i="3"/>
  <c r="V23" i="3"/>
  <c r="V25" i="3" s="1"/>
  <c r="T23" i="3"/>
  <c r="S23" i="3"/>
  <c r="S25" i="3" s="1"/>
  <c r="R23" i="3"/>
  <c r="Q23" i="3"/>
  <c r="Q25" i="3" s="1"/>
  <c r="O23" i="3"/>
  <c r="N23" i="3"/>
  <c r="N25" i="3" s="1"/>
  <c r="M23" i="3"/>
  <c r="L23" i="3"/>
  <c r="L25" i="3" s="1"/>
  <c r="J23" i="3"/>
  <c r="I23" i="3"/>
  <c r="I25" i="3" s="1"/>
  <c r="H23" i="3"/>
  <c r="G23" i="3"/>
  <c r="G25" i="3" s="1"/>
  <c r="E23" i="3"/>
  <c r="T14" i="3"/>
  <c r="T25" i="3" s="1"/>
  <c r="J14" i="3"/>
  <c r="Y13" i="3"/>
  <c r="Y25" i="3" s="1"/>
  <c r="C3" i="3"/>
  <c r="AM45" i="2"/>
  <c r="AL45" i="2"/>
  <c r="AK45" i="2"/>
  <c r="AJ45" i="2"/>
  <c r="AH45" i="2"/>
  <c r="AG45" i="2"/>
  <c r="AF45" i="2"/>
  <c r="AE45" i="2"/>
  <c r="AC45" i="2"/>
  <c r="AB45" i="2"/>
  <c r="AA45" i="2"/>
  <c r="Z45" i="2"/>
  <c r="X45" i="2"/>
  <c r="W45" i="2"/>
  <c r="V45" i="2"/>
  <c r="U45" i="2"/>
  <c r="S45" i="2"/>
  <c r="R45" i="2"/>
  <c r="Q45" i="2"/>
  <c r="P45" i="2"/>
  <c r="N45" i="2"/>
  <c r="M45" i="2"/>
  <c r="L45" i="2"/>
  <c r="K45" i="2"/>
  <c r="I45" i="2"/>
  <c r="H45" i="2"/>
  <c r="F45" i="2"/>
  <c r="G44" i="2"/>
  <c r="G45" i="2" s="1"/>
  <c r="F44" i="2"/>
  <c r="D44" i="2"/>
  <c r="D45" i="2" s="1"/>
  <c r="AL38" i="2"/>
  <c r="AL47" i="2" s="1"/>
  <c r="AJ38" i="2"/>
  <c r="AJ47" i="2" s="1"/>
  <c r="AG38" i="2"/>
  <c r="AG47" i="2" s="1"/>
  <c r="AE38" i="2"/>
  <c r="AE47" i="2" s="1"/>
  <c r="AB38" i="2"/>
  <c r="AB47" i="2" s="1"/>
  <c r="Z38" i="2"/>
  <c r="Z47" i="2" s="1"/>
  <c r="W38" i="2"/>
  <c r="W47" i="2" s="1"/>
  <c r="U38" i="2"/>
  <c r="U47" i="2" s="1"/>
  <c r="R38" i="2"/>
  <c r="R47" i="2" s="1"/>
  <c r="P38" i="2"/>
  <c r="P47" i="2" s="1"/>
  <c r="M38" i="2"/>
  <c r="M47" i="2" s="1"/>
  <c r="K38" i="2"/>
  <c r="K47" i="2" s="1"/>
  <c r="H38" i="2"/>
  <c r="H47" i="2" s="1"/>
  <c r="F38" i="2"/>
  <c r="F47" i="2" s="1"/>
  <c r="AM30" i="2"/>
  <c r="AM38" i="2" s="1"/>
  <c r="AM47" i="2" s="1"/>
  <c r="AL30" i="2"/>
  <c r="AK30" i="2"/>
  <c r="AK38" i="2" s="1"/>
  <c r="AK47" i="2" s="1"/>
  <c r="AJ30" i="2"/>
  <c r="AH30" i="2"/>
  <c r="AH38" i="2" s="1"/>
  <c r="AH47" i="2" s="1"/>
  <c r="AG30" i="2"/>
  <c r="AF30" i="2"/>
  <c r="AF38" i="2" s="1"/>
  <c r="AF47" i="2" s="1"/>
  <c r="AE30" i="2"/>
  <c r="AC30" i="2"/>
  <c r="AC38" i="2" s="1"/>
  <c r="AC47" i="2" s="1"/>
  <c r="AB30" i="2"/>
  <c r="AA30" i="2"/>
  <c r="AA38" i="2" s="1"/>
  <c r="AA47" i="2" s="1"/>
  <c r="Z30" i="2"/>
  <c r="X30" i="2"/>
  <c r="X38" i="2" s="1"/>
  <c r="X47" i="2" s="1"/>
  <c r="W30" i="2"/>
  <c r="V30" i="2"/>
  <c r="V38" i="2" s="1"/>
  <c r="V47" i="2" s="1"/>
  <c r="U30" i="2"/>
  <c r="S30" i="2"/>
  <c r="S38" i="2" s="1"/>
  <c r="S47" i="2" s="1"/>
  <c r="R30" i="2"/>
  <c r="Q30" i="2"/>
  <c r="Q38" i="2" s="1"/>
  <c r="Q47" i="2" s="1"/>
  <c r="P30" i="2"/>
  <c r="N30" i="2"/>
  <c r="N38" i="2" s="1"/>
  <c r="N47" i="2" s="1"/>
  <c r="M30" i="2"/>
  <c r="L30" i="2"/>
  <c r="L38" i="2" s="1"/>
  <c r="L47" i="2" s="1"/>
  <c r="K30" i="2"/>
  <c r="I30" i="2"/>
  <c r="I38" i="2" s="1"/>
  <c r="I47" i="2" s="1"/>
  <c r="H30" i="2"/>
  <c r="G30" i="2"/>
  <c r="G38" i="2" s="1"/>
  <c r="F30" i="2"/>
  <c r="D30" i="2"/>
  <c r="D38" i="2" s="1"/>
  <c r="AL20" i="2"/>
  <c r="AJ20" i="2"/>
  <c r="AG20" i="2"/>
  <c r="AE20" i="2"/>
  <c r="AB20" i="2"/>
  <c r="AB48" i="2" s="1"/>
  <c r="Z20" i="2"/>
  <c r="W20" i="2"/>
  <c r="W48" i="2" s="1"/>
  <c r="U20" i="2"/>
  <c r="R20" i="2"/>
  <c r="R48" i="2" s="1"/>
  <c r="P20" i="2"/>
  <c r="M20" i="2"/>
  <c r="M48" i="2" s="1"/>
  <c r="K20" i="2"/>
  <c r="H20" i="2"/>
  <c r="H48" i="2" s="1"/>
  <c r="F20" i="2"/>
  <c r="AM12" i="2"/>
  <c r="AM20" i="2" s="1"/>
  <c r="AL12" i="2"/>
  <c r="AK12" i="2"/>
  <c r="AK20" i="2" s="1"/>
  <c r="AJ12" i="2"/>
  <c r="AH12" i="2"/>
  <c r="AH20" i="2" s="1"/>
  <c r="AG12" i="2"/>
  <c r="AF12" i="2"/>
  <c r="AF20" i="2" s="1"/>
  <c r="AF48" i="2" s="1"/>
  <c r="AE12" i="2"/>
  <c r="AC12" i="2"/>
  <c r="AC20" i="2" s="1"/>
  <c r="AC48" i="2" s="1"/>
  <c r="AB12" i="2"/>
  <c r="AA12" i="2"/>
  <c r="AA20" i="2" s="1"/>
  <c r="AA48" i="2" s="1"/>
  <c r="Z12" i="2"/>
  <c r="X12" i="2"/>
  <c r="X20" i="2" s="1"/>
  <c r="X48" i="2" s="1"/>
  <c r="W12" i="2"/>
  <c r="V12" i="2"/>
  <c r="V20" i="2" s="1"/>
  <c r="V48" i="2" s="1"/>
  <c r="U12" i="2"/>
  <c r="S12" i="2"/>
  <c r="S20" i="2" s="1"/>
  <c r="S48" i="2" s="1"/>
  <c r="R12" i="2"/>
  <c r="Q12" i="2"/>
  <c r="Q20" i="2" s="1"/>
  <c r="Q48" i="2" s="1"/>
  <c r="P12" i="2"/>
  <c r="N12" i="2"/>
  <c r="N20" i="2" s="1"/>
  <c r="N48" i="2" s="1"/>
  <c r="M12" i="2"/>
  <c r="L12" i="2"/>
  <c r="L20" i="2" s="1"/>
  <c r="L48" i="2" s="1"/>
  <c r="K12" i="2"/>
  <c r="I12" i="2"/>
  <c r="I20" i="2" s="1"/>
  <c r="I48" i="2" s="1"/>
  <c r="H12" i="2"/>
  <c r="G12" i="2"/>
  <c r="G20" i="2" s="1"/>
  <c r="F12" i="2"/>
  <c r="D12" i="2"/>
  <c r="D20" i="2" s="1"/>
  <c r="C3" i="2"/>
  <c r="DL59" i="1"/>
  <c r="CN59" i="1"/>
  <c r="BY59" i="1"/>
  <c r="BJ59" i="1"/>
  <c r="AU59" i="1"/>
  <c r="DF57" i="1"/>
  <c r="DI57" i="1" s="1"/>
  <c r="BP57" i="1"/>
  <c r="BS57" i="1" s="1"/>
  <c r="BV57" i="1" s="1"/>
  <c r="BM57" i="1"/>
  <c r="AR57" i="1"/>
  <c r="AO57" i="1"/>
  <c r="CN56" i="1"/>
  <c r="BY56" i="1"/>
  <c r="BJ56" i="1"/>
  <c r="AU56" i="1"/>
  <c r="BY55" i="1"/>
  <c r="BY57" i="1" s="1"/>
  <c r="AU55" i="1"/>
  <c r="AU57" i="1" s="1"/>
  <c r="AX57" i="1" s="1"/>
  <c r="BA57" i="1" s="1"/>
  <c r="BD57" i="1" s="1"/>
  <c r="DL51" i="1"/>
  <c r="DI51" i="1"/>
  <c r="DF51" i="1"/>
  <c r="DC51" i="1"/>
  <c r="CZ51" i="1"/>
  <c r="CW51" i="1"/>
  <c r="CT51" i="1"/>
  <c r="CQ51" i="1"/>
  <c r="CN51" i="1"/>
  <c r="CK51" i="1"/>
  <c r="CH51" i="1"/>
  <c r="CE51" i="1"/>
  <c r="CB51" i="1"/>
  <c r="BY51" i="1"/>
  <c r="BV51" i="1"/>
  <c r="BS51" i="1"/>
  <c r="BP51" i="1"/>
  <c r="BM51" i="1"/>
  <c r="BG51" i="1"/>
  <c r="BD51" i="1"/>
  <c r="BA51" i="1"/>
  <c r="AX51" i="1"/>
  <c r="BJ51" i="1" s="1"/>
  <c r="AR51" i="1"/>
  <c r="AO51" i="1"/>
  <c r="AL51" i="1"/>
  <c r="AI51" i="1"/>
  <c r="AU51" i="1" s="1"/>
  <c r="AC51" i="1"/>
  <c r="Z51" i="1"/>
  <c r="W51" i="1"/>
  <c r="T51" i="1"/>
  <c r="AF51" i="1" s="1"/>
  <c r="N51" i="1"/>
  <c r="K51" i="1"/>
  <c r="H51" i="1"/>
  <c r="E51" i="1"/>
  <c r="Q51" i="1" s="1"/>
  <c r="DM50" i="1"/>
  <c r="DJ50" i="1"/>
  <c r="DG50" i="1"/>
  <c r="DD50" i="1"/>
  <c r="DA50" i="1"/>
  <c r="CX50" i="1"/>
  <c r="CU50" i="1"/>
  <c r="CR50" i="1"/>
  <c r="CO50" i="1"/>
  <c r="CL50" i="1"/>
  <c r="CI50" i="1"/>
  <c r="CF50" i="1"/>
  <c r="CC50" i="1"/>
  <c r="BZ50" i="1"/>
  <c r="BW50" i="1"/>
  <c r="BT50" i="1"/>
  <c r="BQ50" i="1"/>
  <c r="BN50" i="1"/>
  <c r="BJ50" i="1"/>
  <c r="BH50" i="1"/>
  <c r="BE50" i="1"/>
  <c r="BB50" i="1"/>
  <c r="AY50" i="1"/>
  <c r="AU50" i="1"/>
  <c r="AS50" i="1"/>
  <c r="AP50" i="1"/>
  <c r="AM50" i="1"/>
  <c r="AJ50" i="1"/>
  <c r="AF50" i="1"/>
  <c r="AD50" i="1"/>
  <c r="AA50" i="1"/>
  <c r="X50" i="1"/>
  <c r="U50" i="1"/>
  <c r="Q50" i="1"/>
  <c r="O50" i="1"/>
  <c r="L50" i="1"/>
  <c r="I50" i="1"/>
  <c r="F50" i="1"/>
  <c r="DM49" i="1"/>
  <c r="DJ49" i="1"/>
  <c r="DG49" i="1"/>
  <c r="DD49" i="1"/>
  <c r="DA49" i="1"/>
  <c r="CX49" i="1"/>
  <c r="CU49" i="1"/>
  <c r="CR49" i="1"/>
  <c r="CO49" i="1"/>
  <c r="CL49" i="1"/>
  <c r="CI49" i="1"/>
  <c r="CF49" i="1"/>
  <c r="CC49" i="1"/>
  <c r="BZ49" i="1"/>
  <c r="BW49" i="1"/>
  <c r="BT49" i="1"/>
  <c r="BQ49" i="1"/>
  <c r="BN49" i="1"/>
  <c r="BJ49" i="1"/>
  <c r="BH49" i="1"/>
  <c r="BE49" i="1"/>
  <c r="BB49" i="1"/>
  <c r="AY49" i="1"/>
  <c r="AU49" i="1"/>
  <c r="AS49" i="1"/>
  <c r="AP49" i="1"/>
  <c r="AM49" i="1"/>
  <c r="AJ49" i="1"/>
  <c r="AF49" i="1"/>
  <c r="AD49" i="1"/>
  <c r="AA49" i="1"/>
  <c r="X49" i="1"/>
  <c r="U49" i="1"/>
  <c r="Q49" i="1"/>
  <c r="O49" i="1"/>
  <c r="L49" i="1"/>
  <c r="I49" i="1"/>
  <c r="F49" i="1"/>
  <c r="DM48" i="1"/>
  <c r="DJ48" i="1"/>
  <c r="DG48" i="1"/>
  <c r="DD48" i="1"/>
  <c r="DA48" i="1"/>
  <c r="CX48" i="1"/>
  <c r="CU48" i="1"/>
  <c r="CR48" i="1"/>
  <c r="CO48" i="1"/>
  <c r="CL48" i="1"/>
  <c r="CI48" i="1"/>
  <c r="CF48" i="1"/>
  <c r="CC48" i="1"/>
  <c r="BZ48" i="1"/>
  <c r="BW48" i="1"/>
  <c r="BT48" i="1"/>
  <c r="BQ48" i="1"/>
  <c r="BN48" i="1"/>
  <c r="BJ48" i="1"/>
  <c r="BK48" i="1" s="1"/>
  <c r="BH48" i="1"/>
  <c r="BE48" i="1"/>
  <c r="BB48" i="1"/>
  <c r="AY48" i="1"/>
  <c r="AU48" i="1"/>
  <c r="AS48" i="1"/>
  <c r="AP48" i="1"/>
  <c r="AM48" i="1"/>
  <c r="AJ48" i="1"/>
  <c r="AF48" i="1"/>
  <c r="AG48" i="1" s="1"/>
  <c r="AD48" i="1"/>
  <c r="AA48" i="1"/>
  <c r="X48" i="1"/>
  <c r="U48" i="1"/>
  <c r="Q48" i="1"/>
  <c r="O48" i="1"/>
  <c r="L48" i="1"/>
  <c r="I48" i="1"/>
  <c r="F48" i="1"/>
  <c r="DM47" i="1"/>
  <c r="DM51" i="1" s="1"/>
  <c r="DJ47" i="1"/>
  <c r="DJ51" i="1" s="1"/>
  <c r="DG47" i="1"/>
  <c r="DG51" i="1" s="1"/>
  <c r="DD47" i="1"/>
  <c r="DD51" i="1" s="1"/>
  <c r="DA47" i="1"/>
  <c r="DA51" i="1" s="1"/>
  <c r="CX47" i="1"/>
  <c r="CX51" i="1" s="1"/>
  <c r="CU47" i="1"/>
  <c r="CU51" i="1" s="1"/>
  <c r="CR47" i="1"/>
  <c r="CR51" i="1" s="1"/>
  <c r="CO47" i="1"/>
  <c r="CO51" i="1" s="1"/>
  <c r="CL47" i="1"/>
  <c r="CL51" i="1" s="1"/>
  <c r="CI47" i="1"/>
  <c r="CI51" i="1" s="1"/>
  <c r="CF47" i="1"/>
  <c r="CF51" i="1" s="1"/>
  <c r="CC47" i="1"/>
  <c r="CC51" i="1" s="1"/>
  <c r="BZ47" i="1"/>
  <c r="BZ51" i="1" s="1"/>
  <c r="BW47" i="1"/>
  <c r="BW51" i="1" s="1"/>
  <c r="BT47" i="1"/>
  <c r="BT51" i="1" s="1"/>
  <c r="BQ47" i="1"/>
  <c r="BQ51" i="1" s="1"/>
  <c r="BN47" i="1"/>
  <c r="BN51" i="1" s="1"/>
  <c r="BK47" i="1"/>
  <c r="BJ47" i="1"/>
  <c r="BH47" i="1"/>
  <c r="BH51" i="1" s="1"/>
  <c r="BE47" i="1"/>
  <c r="BE51" i="1" s="1"/>
  <c r="BB47" i="1"/>
  <c r="BB51" i="1" s="1"/>
  <c r="AY47" i="1"/>
  <c r="AY51" i="1" s="1"/>
  <c r="AU47" i="1"/>
  <c r="AV47" i="1" s="1"/>
  <c r="AS47" i="1"/>
  <c r="AS51" i="1" s="1"/>
  <c r="AP47" i="1"/>
  <c r="AP51" i="1" s="1"/>
  <c r="AM47" i="1"/>
  <c r="AM51" i="1" s="1"/>
  <c r="AJ47" i="1"/>
  <c r="AJ51" i="1" s="1"/>
  <c r="AG47" i="1"/>
  <c r="AF47" i="1"/>
  <c r="AD47" i="1"/>
  <c r="AD51" i="1" s="1"/>
  <c r="AA47" i="1"/>
  <c r="AA51" i="1" s="1"/>
  <c r="X47" i="1"/>
  <c r="X51" i="1" s="1"/>
  <c r="U47" i="1"/>
  <c r="U51" i="1" s="1"/>
  <c r="Q47" i="1"/>
  <c r="R47" i="1" s="1"/>
  <c r="O47" i="1"/>
  <c r="O51" i="1" s="1"/>
  <c r="L47" i="1"/>
  <c r="L51" i="1" s="1"/>
  <c r="I47" i="1"/>
  <c r="I51" i="1" s="1"/>
  <c r="F47" i="1"/>
  <c r="F51" i="1" s="1"/>
  <c r="CW42" i="1"/>
  <c r="T42" i="1"/>
  <c r="DL25" i="1"/>
  <c r="DL34" i="1" s="1"/>
  <c r="DL38" i="1" s="1"/>
  <c r="DL42" i="1" s="1"/>
  <c r="DI25" i="1"/>
  <c r="DI34" i="1" s="1"/>
  <c r="DI38" i="1" s="1"/>
  <c r="DI42" i="1" s="1"/>
  <c r="DF25" i="1"/>
  <c r="DF34" i="1" s="1"/>
  <c r="DC25" i="1"/>
  <c r="DC34" i="1" s="1"/>
  <c r="DC38" i="1" s="1"/>
  <c r="DC42" i="1" s="1"/>
  <c r="CZ25" i="1"/>
  <c r="CZ34" i="1" s="1"/>
  <c r="CZ38" i="1" s="1"/>
  <c r="CZ42" i="1" s="1"/>
  <c r="CW25" i="1"/>
  <c r="CW34" i="1" s="1"/>
  <c r="CW38" i="1" s="1"/>
  <c r="CT25" i="1"/>
  <c r="CT34" i="1" s="1"/>
  <c r="CQ25" i="1"/>
  <c r="CQ34" i="1" s="1"/>
  <c r="CQ38" i="1" s="1"/>
  <c r="CQ42" i="1" s="1"/>
  <c r="CN25" i="1"/>
  <c r="CN34" i="1" s="1"/>
  <c r="CN38" i="1" s="1"/>
  <c r="CK25" i="1"/>
  <c r="CK34" i="1" s="1"/>
  <c r="CK38" i="1" s="1"/>
  <c r="CK42" i="1" s="1"/>
  <c r="BD25" i="1"/>
  <c r="BD34" i="1" s="1"/>
  <c r="BD38" i="1" s="1"/>
  <c r="BD42" i="1" s="1"/>
  <c r="BA25" i="1"/>
  <c r="AU25" i="1"/>
  <c r="AR25" i="1"/>
  <c r="AR34" i="1" s="1"/>
  <c r="AR38" i="1" s="1"/>
  <c r="AS38" i="1" s="1"/>
  <c r="AF25" i="1"/>
  <c r="AF34" i="1" s="1"/>
  <c r="AF38" i="1" s="1"/>
  <c r="AF42" i="1" s="1"/>
  <c r="AC25" i="1"/>
  <c r="W25" i="1"/>
  <c r="T25" i="1"/>
  <c r="T34" i="1" s="1"/>
  <c r="T38" i="1" s="1"/>
  <c r="U38" i="1" s="1"/>
  <c r="N25" i="1"/>
  <c r="N34" i="1" s="1"/>
  <c r="H25" i="1"/>
  <c r="H34" i="1" s="1"/>
  <c r="H38" i="1" s="1"/>
  <c r="H42" i="1" s="1"/>
  <c r="DD24" i="1"/>
  <c r="CH24" i="1"/>
  <c r="CE24" i="1"/>
  <c r="CE25" i="1" s="1"/>
  <c r="CB24" i="1"/>
  <c r="BY24" i="1"/>
  <c r="BY25" i="1" s="1"/>
  <c r="BV24" i="1"/>
  <c r="BV25" i="1" s="1"/>
  <c r="BS24" i="1"/>
  <c r="BS25" i="1" s="1"/>
  <c r="BP24" i="1"/>
  <c r="BM24" i="1"/>
  <c r="BM25" i="1" s="1"/>
  <c r="BJ24" i="1"/>
  <c r="BG24" i="1"/>
  <c r="BD24" i="1"/>
  <c r="BA24" i="1"/>
  <c r="AX24" i="1"/>
  <c r="AU24" i="1"/>
  <c r="AR24" i="1"/>
  <c r="AO24" i="1"/>
  <c r="AO25" i="1" s="1"/>
  <c r="AL24" i="1"/>
  <c r="AI24" i="1"/>
  <c r="AF24" i="1"/>
  <c r="AC24" i="1"/>
  <c r="Z24" i="1"/>
  <c r="W24" i="1"/>
  <c r="T24" i="1"/>
  <c r="Q24" i="1"/>
  <c r="Q25" i="1" s="1"/>
  <c r="N24" i="1"/>
  <c r="K24" i="1"/>
  <c r="K25" i="1" s="1"/>
  <c r="H24" i="1"/>
  <c r="E24" i="1"/>
  <c r="E25" i="1" s="1"/>
  <c r="DM23" i="1"/>
  <c r="DJ23" i="1"/>
  <c r="DG23" i="1"/>
  <c r="DD23" i="1"/>
  <c r="DA23" i="1"/>
  <c r="CX23" i="1"/>
  <c r="CU23" i="1"/>
  <c r="CR23" i="1"/>
  <c r="CO23" i="1"/>
  <c r="CL23" i="1"/>
  <c r="CI23" i="1"/>
  <c r="CF23" i="1"/>
  <c r="CC23" i="1"/>
  <c r="BZ23" i="1"/>
  <c r="BW23" i="1"/>
  <c r="BT23" i="1"/>
  <c r="BQ23" i="1"/>
  <c r="BN23" i="1"/>
  <c r="BK23" i="1"/>
  <c r="BH23" i="1"/>
  <c r="BE23" i="1"/>
  <c r="BB23" i="1"/>
  <c r="AY23" i="1"/>
  <c r="AV23" i="1"/>
  <c r="AS23" i="1"/>
  <c r="AP23" i="1"/>
  <c r="AM23" i="1"/>
  <c r="AJ23" i="1"/>
  <c r="AG23" i="1"/>
  <c r="AD23" i="1"/>
  <c r="AA23" i="1"/>
  <c r="X23" i="1"/>
  <c r="U23" i="1"/>
  <c r="R23" i="1"/>
  <c r="O23" i="1"/>
  <c r="L23" i="1"/>
  <c r="I23" i="1"/>
  <c r="F23" i="1"/>
  <c r="DM22" i="1"/>
  <c r="DJ22" i="1"/>
  <c r="DG22" i="1"/>
  <c r="DD22" i="1"/>
  <c r="DA22" i="1"/>
  <c r="CX22" i="1"/>
  <c r="CU22" i="1"/>
  <c r="CR22" i="1"/>
  <c r="CO22" i="1"/>
  <c r="CL22" i="1"/>
  <c r="CI22" i="1"/>
  <c r="CF22" i="1"/>
  <c r="CC22" i="1"/>
  <c r="BZ22" i="1"/>
  <c r="BW22" i="1"/>
  <c r="BT22" i="1"/>
  <c r="BQ22" i="1"/>
  <c r="BN22" i="1"/>
  <c r="BK22" i="1"/>
  <c r="BH22" i="1"/>
  <c r="BE22" i="1"/>
  <c r="BB22" i="1"/>
  <c r="AY22" i="1"/>
  <c r="AV22" i="1"/>
  <c r="AS22" i="1"/>
  <c r="AP22" i="1"/>
  <c r="AM22" i="1"/>
  <c r="AJ22" i="1"/>
  <c r="AG22" i="1"/>
  <c r="AD22" i="1"/>
  <c r="AA22" i="1"/>
  <c r="X22" i="1"/>
  <c r="U22" i="1"/>
  <c r="R22" i="1"/>
  <c r="O22" i="1"/>
  <c r="L22" i="1"/>
  <c r="I22" i="1"/>
  <c r="F22" i="1"/>
  <c r="DL14" i="1"/>
  <c r="DL16" i="1" s="1"/>
  <c r="DI14" i="1"/>
  <c r="DJ24" i="1" s="1"/>
  <c r="DF14" i="1"/>
  <c r="DG24" i="1" s="1"/>
  <c r="DC14" i="1"/>
  <c r="DC16" i="1" s="1"/>
  <c r="CZ14" i="1"/>
  <c r="DA24" i="1" s="1"/>
  <c r="CW14" i="1"/>
  <c r="CW16" i="1" s="1"/>
  <c r="CT14" i="1"/>
  <c r="CU24" i="1" s="1"/>
  <c r="CQ14" i="1"/>
  <c r="CR24" i="1" s="1"/>
  <c r="CN14" i="1"/>
  <c r="CO24" i="1" s="1"/>
  <c r="CK14" i="1"/>
  <c r="CK16" i="1" s="1"/>
  <c r="CB14" i="1"/>
  <c r="CB16" i="1" s="1"/>
  <c r="BP14" i="1"/>
  <c r="BP16" i="1" s="1"/>
  <c r="BD14" i="1"/>
  <c r="BD16" i="1" s="1"/>
  <c r="AR14" i="1"/>
  <c r="AR16" i="1" s="1"/>
  <c r="AF14" i="1"/>
  <c r="AF16" i="1" s="1"/>
  <c r="T14" i="1"/>
  <c r="T16" i="1" s="1"/>
  <c r="H14" i="1"/>
  <c r="H16" i="1" s="1"/>
  <c r="CH13" i="1"/>
  <c r="CH14" i="1" s="1"/>
  <c r="CE13" i="1"/>
  <c r="CE14" i="1" s="1"/>
  <c r="CB13" i="1"/>
  <c r="BY13" i="1"/>
  <c r="BY14" i="1" s="1"/>
  <c r="BV13" i="1"/>
  <c r="BV14" i="1" s="1"/>
  <c r="BS13" i="1"/>
  <c r="BS14" i="1" s="1"/>
  <c r="BP13" i="1"/>
  <c r="BM13" i="1"/>
  <c r="BM14" i="1" s="1"/>
  <c r="BJ13" i="1"/>
  <c r="BJ14" i="1" s="1"/>
  <c r="BG13" i="1"/>
  <c r="BG14" i="1" s="1"/>
  <c r="BD13" i="1"/>
  <c r="BA13" i="1"/>
  <c r="BA14" i="1" s="1"/>
  <c r="AX13" i="1"/>
  <c r="AX14" i="1" s="1"/>
  <c r="AU13" i="1"/>
  <c r="AU14" i="1" s="1"/>
  <c r="AR13" i="1"/>
  <c r="AO13" i="1"/>
  <c r="AO14" i="1" s="1"/>
  <c r="AL13" i="1"/>
  <c r="AL14" i="1" s="1"/>
  <c r="AI13" i="1"/>
  <c r="AI14" i="1" s="1"/>
  <c r="AF13" i="1"/>
  <c r="AC13" i="1"/>
  <c r="AC14" i="1" s="1"/>
  <c r="Z13" i="1"/>
  <c r="Z14" i="1" s="1"/>
  <c r="W13" i="1"/>
  <c r="W14" i="1" s="1"/>
  <c r="T13" i="1"/>
  <c r="Q13" i="1"/>
  <c r="Q14" i="1" s="1"/>
  <c r="N13" i="1"/>
  <c r="N14" i="1" s="1"/>
  <c r="K13" i="1"/>
  <c r="K14" i="1" s="1"/>
  <c r="H13" i="1"/>
  <c r="E13" i="1"/>
  <c r="E14" i="1" s="1"/>
  <c r="E16" i="1" l="1"/>
  <c r="F14" i="1" s="1"/>
  <c r="F24" i="1"/>
  <c r="AC16" i="1"/>
  <c r="AD24" i="1"/>
  <c r="AD14" i="1"/>
  <c r="BY16" i="1"/>
  <c r="BZ24" i="1"/>
  <c r="BZ14" i="1"/>
  <c r="BE27" i="1"/>
  <c r="BD19" i="1"/>
  <c r="BE19" i="1" s="1"/>
  <c r="BE16" i="1"/>
  <c r="BE14" i="1"/>
  <c r="BE9" i="1"/>
  <c r="BE36" i="1"/>
  <c r="BE31" i="1"/>
  <c r="BE29" i="1"/>
  <c r="BE18" i="1"/>
  <c r="BE8" i="1"/>
  <c r="U36" i="1"/>
  <c r="U27" i="1"/>
  <c r="U31" i="1"/>
  <c r="U29" i="1"/>
  <c r="T19" i="1"/>
  <c r="U19" i="1" s="1"/>
  <c r="U14" i="1"/>
  <c r="U9" i="1"/>
  <c r="U25" i="1"/>
  <c r="U18" i="1"/>
  <c r="U8" i="1"/>
  <c r="U16" i="1"/>
  <c r="DD36" i="1"/>
  <c r="DD31" i="1"/>
  <c r="DD34" i="1"/>
  <c r="DD29" i="1"/>
  <c r="DD9" i="1"/>
  <c r="DD27" i="1"/>
  <c r="DC19" i="1"/>
  <c r="DD19" i="1" s="1"/>
  <c r="DD18" i="1"/>
  <c r="DD8" i="1"/>
  <c r="DD16" i="1"/>
  <c r="DD14" i="1"/>
  <c r="E34" i="1"/>
  <c r="AO34" i="1"/>
  <c r="AP25" i="1"/>
  <c r="K16" i="1"/>
  <c r="L14" i="1" s="1"/>
  <c r="L24" i="1"/>
  <c r="W16" i="1"/>
  <c r="X14" i="1" s="1"/>
  <c r="X24" i="1"/>
  <c r="AI16" i="1"/>
  <c r="AJ14" i="1"/>
  <c r="AU16" i="1"/>
  <c r="AV14" i="1" s="1"/>
  <c r="AV24" i="1"/>
  <c r="BG16" i="1"/>
  <c r="BH14" i="1"/>
  <c r="BS16" i="1"/>
  <c r="BT24" i="1"/>
  <c r="BT14" i="1"/>
  <c r="CE16" i="1"/>
  <c r="CF14" i="1" s="1"/>
  <c r="AG27" i="1"/>
  <c r="AG36" i="1"/>
  <c r="AF19" i="1"/>
  <c r="AG19" i="1" s="1"/>
  <c r="AG31" i="1"/>
  <c r="AG16" i="1"/>
  <c r="AG29" i="1"/>
  <c r="AG18" i="1"/>
  <c r="AG8" i="1"/>
  <c r="AG14" i="1"/>
  <c r="AG9" i="1"/>
  <c r="CC27" i="1"/>
  <c r="CC29" i="1"/>
  <c r="CC36" i="1"/>
  <c r="CB19" i="1"/>
  <c r="CC19" i="1" s="1"/>
  <c r="CC9" i="1"/>
  <c r="CC31" i="1"/>
  <c r="CC16" i="1"/>
  <c r="CC18" i="1"/>
  <c r="CC8" i="1"/>
  <c r="CC14" i="1"/>
  <c r="Q16" i="1"/>
  <c r="R24" i="1"/>
  <c r="R14" i="1"/>
  <c r="AO16" i="1"/>
  <c r="AP24" i="1"/>
  <c r="AP14" i="1"/>
  <c r="BM16" i="1"/>
  <c r="BN25" i="1" s="1"/>
  <c r="BN24" i="1"/>
  <c r="I27" i="1"/>
  <c r="H19" i="1"/>
  <c r="I19" i="1" s="1"/>
  <c r="I16" i="1"/>
  <c r="I9" i="1"/>
  <c r="I36" i="1"/>
  <c r="I29" i="1"/>
  <c r="I31" i="1"/>
  <c r="I18" i="1"/>
  <c r="I8" i="1"/>
  <c r="I14" i="1"/>
  <c r="DM36" i="1"/>
  <c r="DM29" i="1"/>
  <c r="DM27" i="1"/>
  <c r="DM31" i="1"/>
  <c r="DL19" i="1"/>
  <c r="DM19" i="1" s="1"/>
  <c r="DM9" i="1"/>
  <c r="DM25" i="1"/>
  <c r="DM18" i="1"/>
  <c r="DM8" i="1"/>
  <c r="DM16" i="1"/>
  <c r="DM14" i="1"/>
  <c r="BV34" i="1"/>
  <c r="BQ36" i="1"/>
  <c r="BQ29" i="1"/>
  <c r="BQ27" i="1"/>
  <c r="BQ31" i="1"/>
  <c r="BP19" i="1"/>
  <c r="BQ19" i="1" s="1"/>
  <c r="BQ14" i="1"/>
  <c r="BQ18" i="1"/>
  <c r="BQ8" i="1"/>
  <c r="BQ16" i="1"/>
  <c r="BQ9" i="1"/>
  <c r="Q34" i="1"/>
  <c r="R25" i="1"/>
  <c r="N16" i="1"/>
  <c r="O34" i="1" s="1"/>
  <c r="O24" i="1"/>
  <c r="Z16" i="1"/>
  <c r="AA14" i="1" s="1"/>
  <c r="AM14" i="1"/>
  <c r="AL16" i="1"/>
  <c r="AX16" i="1"/>
  <c r="AY14" i="1"/>
  <c r="BJ16" i="1"/>
  <c r="BK14" i="1" s="1"/>
  <c r="BV16" i="1"/>
  <c r="BW25" i="1" s="1"/>
  <c r="CI14" i="1"/>
  <c r="CH16" i="1"/>
  <c r="AS36" i="1"/>
  <c r="AS27" i="1"/>
  <c r="AS31" i="1"/>
  <c r="AS29" i="1"/>
  <c r="AR19" i="1"/>
  <c r="AS19" i="1" s="1"/>
  <c r="AS16" i="1"/>
  <c r="AS14" i="1"/>
  <c r="AS9" i="1"/>
  <c r="AS25" i="1"/>
  <c r="AS18" i="1"/>
  <c r="AS8" i="1"/>
  <c r="CL31" i="1"/>
  <c r="CL36" i="1"/>
  <c r="CL29" i="1"/>
  <c r="CL27" i="1"/>
  <c r="CL18" i="1"/>
  <c r="CL8" i="1"/>
  <c r="CK19" i="1"/>
  <c r="CL19" i="1" s="1"/>
  <c r="CL9" i="1"/>
  <c r="CL38" i="1"/>
  <c r="CL16" i="1"/>
  <c r="CL14" i="1"/>
  <c r="CX31" i="1"/>
  <c r="CX36" i="1"/>
  <c r="CX29" i="1"/>
  <c r="CX27" i="1"/>
  <c r="CX18" i="1"/>
  <c r="CX8" i="1"/>
  <c r="CX38" i="1"/>
  <c r="CW19" i="1"/>
  <c r="CX19" i="1" s="1"/>
  <c r="CX9" i="1"/>
  <c r="CX16" i="1"/>
  <c r="CX14" i="1"/>
  <c r="K34" i="1"/>
  <c r="L25" i="1"/>
  <c r="AJ24" i="1"/>
  <c r="BH24" i="1"/>
  <c r="BA16" i="1"/>
  <c r="BB14" i="1" s="1"/>
  <c r="BB24" i="1"/>
  <c r="I24" i="1"/>
  <c r="AM24" i="1"/>
  <c r="BK24" i="1"/>
  <c r="BS34" i="1"/>
  <c r="BT25" i="1"/>
  <c r="CI24" i="1"/>
  <c r="CX24" i="1"/>
  <c r="DM24" i="1"/>
  <c r="AI25" i="1"/>
  <c r="BG25" i="1"/>
  <c r="U34" i="1"/>
  <c r="AS34" i="1"/>
  <c r="DM34" i="1"/>
  <c r="AR42" i="1"/>
  <c r="CN42" i="1"/>
  <c r="CN16" i="1"/>
  <c r="CT16" i="1"/>
  <c r="CZ16" i="1"/>
  <c r="DA25" i="1" s="1"/>
  <c r="DF16" i="1"/>
  <c r="DG34" i="1" s="1"/>
  <c r="AG24" i="1"/>
  <c r="BE24" i="1"/>
  <c r="BM34" i="1"/>
  <c r="CC24" i="1"/>
  <c r="CL24" i="1"/>
  <c r="N38" i="1"/>
  <c r="AC34" i="1"/>
  <c r="AD25" i="1"/>
  <c r="AL25" i="1"/>
  <c r="BA34" i="1"/>
  <c r="BJ25" i="1"/>
  <c r="CH25" i="1"/>
  <c r="DF38" i="1"/>
  <c r="DM38" i="1"/>
  <c r="AY24" i="1"/>
  <c r="BW24" i="1"/>
  <c r="CE34" i="1"/>
  <c r="W34" i="1"/>
  <c r="X25" i="1"/>
  <c r="AU34" i="1"/>
  <c r="I34" i="1"/>
  <c r="AG34" i="1"/>
  <c r="BE34" i="1"/>
  <c r="AA24" i="1"/>
  <c r="CQ16" i="1"/>
  <c r="DI16" i="1"/>
  <c r="U24" i="1"/>
  <c r="AS24" i="1"/>
  <c r="BQ24" i="1"/>
  <c r="BY34" i="1"/>
  <c r="BZ25" i="1"/>
  <c r="CF24" i="1"/>
  <c r="I25" i="1"/>
  <c r="Z25" i="1"/>
  <c r="AG25" i="1"/>
  <c r="AX25" i="1"/>
  <c r="BE25" i="1"/>
  <c r="BP25" i="1"/>
  <c r="CB25" i="1"/>
  <c r="CT38" i="1"/>
  <c r="CU34" i="1"/>
  <c r="I38" i="1"/>
  <c r="AG38" i="1"/>
  <c r="BE38" i="1"/>
  <c r="CR38" i="1"/>
  <c r="DD38" i="1"/>
  <c r="CL25" i="1"/>
  <c r="CR25" i="1"/>
  <c r="CX25" i="1"/>
  <c r="DD25" i="1"/>
  <c r="CL34" i="1"/>
  <c r="CX34" i="1"/>
  <c r="DJ34" i="1"/>
  <c r="R49" i="1"/>
  <c r="R51" i="1" s="1"/>
  <c r="R50" i="1"/>
  <c r="R48" i="1"/>
  <c r="AG50" i="1"/>
  <c r="AG49" i="1"/>
  <c r="AG51" i="1" s="1"/>
  <c r="AV49" i="1"/>
  <c r="AV51" i="1" s="1"/>
  <c r="AV50" i="1"/>
  <c r="AV48" i="1"/>
  <c r="BK50" i="1"/>
  <c r="BK49" i="1"/>
  <c r="BK51" i="1" s="1"/>
  <c r="F48" i="2"/>
  <c r="P48" i="2"/>
  <c r="Z48" i="2"/>
  <c r="AJ48" i="2"/>
  <c r="G47" i="2"/>
  <c r="Y50" i="3"/>
  <c r="Y56" i="3"/>
  <c r="Y58" i="3" s="1"/>
  <c r="G56" i="3"/>
  <c r="G58" i="3" s="1"/>
  <c r="G50" i="3"/>
  <c r="G52" i="3" s="1"/>
  <c r="L56" i="3"/>
  <c r="L58" i="3" s="1"/>
  <c r="L50" i="3"/>
  <c r="Q56" i="3"/>
  <c r="Q58" i="3" s="1"/>
  <c r="Q50" i="3"/>
  <c r="V56" i="3"/>
  <c r="V58" i="3" s="1"/>
  <c r="V50" i="3"/>
  <c r="AA56" i="3"/>
  <c r="AA58" i="3" s="1"/>
  <c r="AA50" i="3"/>
  <c r="AF56" i="3"/>
  <c r="AF58" i="3" s="1"/>
  <c r="AF50" i="3"/>
  <c r="J52" i="3"/>
  <c r="G48" i="2"/>
  <c r="K48" i="2"/>
  <c r="U48" i="2"/>
  <c r="AE48" i="2"/>
  <c r="D47" i="2"/>
  <c r="T50" i="3"/>
  <c r="T56" i="3"/>
  <c r="T58" i="3" s="1"/>
  <c r="I50" i="3"/>
  <c r="I56" i="3"/>
  <c r="I58" i="3" s="1"/>
  <c r="N50" i="3"/>
  <c r="N56" i="3"/>
  <c r="N58" i="3" s="1"/>
  <c r="S50" i="3"/>
  <c r="S56" i="3"/>
  <c r="S58" i="3" s="1"/>
  <c r="X50" i="3"/>
  <c r="X56" i="3"/>
  <c r="X58" i="3" s="1"/>
  <c r="AC50" i="3"/>
  <c r="AC56" i="3"/>
  <c r="AC58" i="3" s="1"/>
  <c r="J51" i="3"/>
  <c r="I51" i="3"/>
  <c r="H51" i="3"/>
  <c r="G51" i="3"/>
  <c r="CN57" i="1"/>
  <c r="CQ57" i="1" s="1"/>
  <c r="CT57" i="1" s="1"/>
  <c r="CW57" i="1" s="1"/>
  <c r="CB57" i="1"/>
  <c r="CE57" i="1" s="1"/>
  <c r="CH57" i="1" s="1"/>
  <c r="CK57" i="1" s="1"/>
  <c r="D48" i="2"/>
  <c r="AK50" i="3"/>
  <c r="AH56" i="3"/>
  <c r="AH58" i="3" s="1"/>
  <c r="AM56" i="3"/>
  <c r="AM58" i="3" s="1"/>
  <c r="H50" i="3"/>
  <c r="H52" i="3" s="1"/>
  <c r="M50" i="3"/>
  <c r="R50" i="3"/>
  <c r="W50" i="3"/>
  <c r="AB50" i="3"/>
  <c r="AG50" i="3"/>
  <c r="AL50" i="3"/>
  <c r="E56" i="3"/>
  <c r="E58" i="3" s="1"/>
  <c r="J56" i="3"/>
  <c r="J58" i="3" s="1"/>
  <c r="O56" i="3"/>
  <c r="O58" i="3" s="1"/>
  <c r="AD56" i="3"/>
  <c r="AD58" i="3" s="1"/>
  <c r="AI56" i="3"/>
  <c r="AI58" i="3" s="1"/>
  <c r="AN56" i="3"/>
  <c r="AN58" i="3" s="1"/>
  <c r="O48" i="3"/>
  <c r="O50" i="3" s="1"/>
  <c r="AX34" i="1" l="1"/>
  <c r="AY25" i="1"/>
  <c r="CH34" i="1"/>
  <c r="CI25" i="1"/>
  <c r="N42" i="1"/>
  <c r="O38" i="1"/>
  <c r="DA38" i="1"/>
  <c r="BP34" i="1"/>
  <c r="BQ25" i="1"/>
  <c r="Z34" i="1"/>
  <c r="AA25" i="1"/>
  <c r="BY38" i="1"/>
  <c r="BZ34" i="1"/>
  <c r="DJ31" i="1"/>
  <c r="DJ36" i="1"/>
  <c r="DJ29" i="1"/>
  <c r="DJ25" i="1"/>
  <c r="DJ27" i="1"/>
  <c r="DJ18" i="1"/>
  <c r="DJ8" i="1"/>
  <c r="DI19" i="1"/>
  <c r="DJ19" i="1" s="1"/>
  <c r="DJ9" i="1"/>
  <c r="DJ38" i="1"/>
  <c r="DJ16" i="1"/>
  <c r="DJ14" i="1"/>
  <c r="AU38" i="1"/>
  <c r="AV34" i="1"/>
  <c r="CE38" i="1"/>
  <c r="CF34" i="1"/>
  <c r="BB25" i="1"/>
  <c r="AC38" i="1"/>
  <c r="AD34" i="1"/>
  <c r="CO36" i="1"/>
  <c r="CO27" i="1"/>
  <c r="CO31" i="1"/>
  <c r="CN19" i="1"/>
  <c r="CO19" i="1" s="1"/>
  <c r="CO16" i="1"/>
  <c r="CO14" i="1"/>
  <c r="CO9" i="1"/>
  <c r="CO29" i="1"/>
  <c r="CO25" i="1"/>
  <c r="CO18" i="1"/>
  <c r="CO8" i="1"/>
  <c r="CO34" i="1"/>
  <c r="AI34" i="1"/>
  <c r="AJ25" i="1"/>
  <c r="BW14" i="1"/>
  <c r="AY31" i="1"/>
  <c r="AY29" i="1"/>
  <c r="AX19" i="1"/>
  <c r="AY19" i="1" s="1"/>
  <c r="AY18" i="1"/>
  <c r="AY27" i="1"/>
  <c r="AY8" i="1"/>
  <c r="AY36" i="1"/>
  <c r="AY9" i="1"/>
  <c r="AY16" i="1"/>
  <c r="CO38" i="1"/>
  <c r="BN14" i="1"/>
  <c r="R31" i="1"/>
  <c r="R36" i="1"/>
  <c r="R27" i="1"/>
  <c r="R18" i="1"/>
  <c r="R8" i="1"/>
  <c r="R29" i="1"/>
  <c r="Q19" i="1"/>
  <c r="R19" i="1" s="1"/>
  <c r="R9" i="1"/>
  <c r="R16" i="1"/>
  <c r="AJ36" i="1"/>
  <c r="AJ31" i="1"/>
  <c r="AJ29" i="1"/>
  <c r="AJ9" i="1"/>
  <c r="AJ27" i="1"/>
  <c r="AI19" i="1"/>
  <c r="AJ19" i="1" s="1"/>
  <c r="AJ18" i="1"/>
  <c r="AJ8" i="1"/>
  <c r="AJ16" i="1"/>
  <c r="AO38" i="1"/>
  <c r="AP34" i="1"/>
  <c r="AD31" i="1"/>
  <c r="AD36" i="1"/>
  <c r="AD27" i="1"/>
  <c r="AD18" i="1"/>
  <c r="AD8" i="1"/>
  <c r="AC19" i="1"/>
  <c r="AD19" i="1" s="1"/>
  <c r="AD9" i="1"/>
  <c r="AD29" i="1"/>
  <c r="AD16" i="1"/>
  <c r="CT42" i="1"/>
  <c r="CU38" i="1"/>
  <c r="AL34" i="1"/>
  <c r="AM25" i="1"/>
  <c r="I52" i="3"/>
  <c r="CR36" i="1"/>
  <c r="CR31" i="1"/>
  <c r="CR29" i="1"/>
  <c r="CR9" i="1"/>
  <c r="CR34" i="1"/>
  <c r="CQ19" i="1"/>
  <c r="CR19" i="1" s="1"/>
  <c r="CR18" i="1"/>
  <c r="CR8" i="1"/>
  <c r="CR27" i="1"/>
  <c r="CR16" i="1"/>
  <c r="CR14" i="1"/>
  <c r="DF42" i="1"/>
  <c r="DG38" i="1"/>
  <c r="BA38" i="1"/>
  <c r="BB34" i="1"/>
  <c r="DG36" i="1"/>
  <c r="DG29" i="1"/>
  <c r="DG27" i="1"/>
  <c r="DF19" i="1"/>
  <c r="DG19" i="1" s="1"/>
  <c r="DG16" i="1"/>
  <c r="DG14" i="1"/>
  <c r="DG25" i="1"/>
  <c r="DG31" i="1"/>
  <c r="DG9" i="1"/>
  <c r="DG18" i="1"/>
  <c r="DG8" i="1"/>
  <c r="BS38" i="1"/>
  <c r="BT34" i="1"/>
  <c r="CI36" i="1"/>
  <c r="CI31" i="1"/>
  <c r="CI27" i="1"/>
  <c r="CH19" i="1"/>
  <c r="CI19" i="1" s="1"/>
  <c r="CI18" i="1"/>
  <c r="CI29" i="1"/>
  <c r="CI9" i="1"/>
  <c r="CI16" i="1"/>
  <c r="CI8" i="1"/>
  <c r="AM29" i="1"/>
  <c r="AM36" i="1"/>
  <c r="AM31" i="1"/>
  <c r="AM27" i="1"/>
  <c r="AL19" i="1"/>
  <c r="AM19" i="1" s="1"/>
  <c r="AM9" i="1"/>
  <c r="AM18" i="1"/>
  <c r="AM16" i="1"/>
  <c r="AM8" i="1"/>
  <c r="AP31" i="1"/>
  <c r="AP36" i="1"/>
  <c r="AP27" i="1"/>
  <c r="AP18" i="1"/>
  <c r="AP8" i="1"/>
  <c r="AP29" i="1"/>
  <c r="AO19" i="1"/>
  <c r="AP19" i="1" s="1"/>
  <c r="AP9" i="1"/>
  <c r="AP16" i="1"/>
  <c r="BT36" i="1"/>
  <c r="BT31" i="1"/>
  <c r="BT9" i="1"/>
  <c r="BT29" i="1"/>
  <c r="BS19" i="1"/>
  <c r="BT19" i="1" s="1"/>
  <c r="BT18" i="1"/>
  <c r="BT8" i="1"/>
  <c r="BT27" i="1"/>
  <c r="BT16" i="1"/>
  <c r="F25" i="1"/>
  <c r="BZ31" i="1"/>
  <c r="BZ36" i="1"/>
  <c r="BZ29" i="1"/>
  <c r="BZ27" i="1"/>
  <c r="BZ18" i="1"/>
  <c r="BZ8" i="1"/>
  <c r="BY19" i="1"/>
  <c r="BZ19" i="1" s="1"/>
  <c r="BZ9" i="1"/>
  <c r="BZ16" i="1"/>
  <c r="W38" i="1"/>
  <c r="X34" i="1"/>
  <c r="BM38" i="1"/>
  <c r="BN34" i="1"/>
  <c r="BK36" i="1"/>
  <c r="BK29" i="1"/>
  <c r="BK27" i="1"/>
  <c r="BJ19" i="1"/>
  <c r="BK19" i="1" s="1"/>
  <c r="BK18" i="1"/>
  <c r="BK8" i="1"/>
  <c r="BK16" i="1"/>
  <c r="BK31" i="1"/>
  <c r="BK9" i="1"/>
  <c r="O29" i="1"/>
  <c r="O36" i="1"/>
  <c r="O27" i="1"/>
  <c r="N19" i="1"/>
  <c r="O19" i="1" s="1"/>
  <c r="O18" i="1"/>
  <c r="O25" i="1"/>
  <c r="O16" i="1"/>
  <c r="O8" i="1"/>
  <c r="O31" i="1"/>
  <c r="O9" i="1"/>
  <c r="BV38" i="1"/>
  <c r="BW34" i="1"/>
  <c r="BN31" i="1"/>
  <c r="BN36" i="1"/>
  <c r="BN29" i="1"/>
  <c r="BN27" i="1"/>
  <c r="BN18" i="1"/>
  <c r="BN8" i="1"/>
  <c r="BM19" i="1"/>
  <c r="BN19" i="1" s="1"/>
  <c r="BN9" i="1"/>
  <c r="BN16" i="1"/>
  <c r="CF36" i="1"/>
  <c r="CF31" i="1"/>
  <c r="CF29" i="1"/>
  <c r="CF9" i="1"/>
  <c r="CF27" i="1"/>
  <c r="CE19" i="1"/>
  <c r="CF19" i="1" s="1"/>
  <c r="CF18" i="1"/>
  <c r="CF8" i="1"/>
  <c r="CF16" i="1"/>
  <c r="AV36" i="1"/>
  <c r="AV31" i="1"/>
  <c r="AV29" i="1"/>
  <c r="AV9" i="1"/>
  <c r="AU19" i="1"/>
  <c r="AV19" i="1" s="1"/>
  <c r="AV18" i="1"/>
  <c r="AV8" i="1"/>
  <c r="AV27" i="1"/>
  <c r="AV16" i="1"/>
  <c r="L36" i="1"/>
  <c r="L31" i="1"/>
  <c r="L29" i="1"/>
  <c r="L9" i="1"/>
  <c r="L27" i="1"/>
  <c r="K19" i="1"/>
  <c r="L19" i="1" s="1"/>
  <c r="L18" i="1"/>
  <c r="L8" i="1"/>
  <c r="L16" i="1"/>
  <c r="E38" i="1"/>
  <c r="F34" i="1"/>
  <c r="O51" i="3"/>
  <c r="O52" i="3" s="1"/>
  <c r="N51" i="3"/>
  <c r="M51" i="3"/>
  <c r="M52" i="3" s="1"/>
  <c r="L51" i="3"/>
  <c r="DA27" i="1"/>
  <c r="CZ19" i="1"/>
  <c r="DA19" i="1" s="1"/>
  <c r="DA29" i="1"/>
  <c r="DA14" i="1"/>
  <c r="DA36" i="1"/>
  <c r="DA31" i="1"/>
  <c r="DA18" i="1"/>
  <c r="DA8" i="1"/>
  <c r="DA16" i="1"/>
  <c r="DA9" i="1"/>
  <c r="Q38" i="1"/>
  <c r="R34" i="1"/>
  <c r="N52" i="3"/>
  <c r="L52" i="3"/>
  <c r="CB34" i="1"/>
  <c r="CC25" i="1"/>
  <c r="DA34" i="1"/>
  <c r="AV25" i="1"/>
  <c r="CF25" i="1"/>
  <c r="BJ34" i="1"/>
  <c r="BK25" i="1"/>
  <c r="CU31" i="1"/>
  <c r="CU29" i="1"/>
  <c r="CT19" i="1"/>
  <c r="CU19" i="1" s="1"/>
  <c r="CU18" i="1"/>
  <c r="CU8" i="1"/>
  <c r="CU16" i="1"/>
  <c r="CU27" i="1"/>
  <c r="CU36" i="1"/>
  <c r="CU25" i="1"/>
  <c r="CU9" i="1"/>
  <c r="CU14" i="1"/>
  <c r="BG34" i="1"/>
  <c r="BH25" i="1"/>
  <c r="BB31" i="1"/>
  <c r="BB36" i="1"/>
  <c r="BB29" i="1"/>
  <c r="BB27" i="1"/>
  <c r="BB18" i="1"/>
  <c r="BB8" i="1"/>
  <c r="BA19" i="1"/>
  <c r="BB19" i="1" s="1"/>
  <c r="BB9" i="1"/>
  <c r="BB16" i="1"/>
  <c r="K38" i="1"/>
  <c r="L34" i="1"/>
  <c r="BW31" i="1"/>
  <c r="BW29" i="1"/>
  <c r="BV19" i="1"/>
  <c r="BW19" i="1" s="1"/>
  <c r="BW16" i="1"/>
  <c r="BW36" i="1"/>
  <c r="BW8" i="1"/>
  <c r="BW27" i="1"/>
  <c r="BW9" i="1"/>
  <c r="BW18" i="1"/>
  <c r="AA31" i="1"/>
  <c r="AA29" i="1"/>
  <c r="Z19" i="1"/>
  <c r="AA19" i="1" s="1"/>
  <c r="AA16" i="1"/>
  <c r="AA8" i="1"/>
  <c r="AA36" i="1"/>
  <c r="AA18" i="1"/>
  <c r="AA27" i="1"/>
  <c r="AA9" i="1"/>
  <c r="O14" i="1"/>
  <c r="BH36" i="1"/>
  <c r="BH31" i="1"/>
  <c r="BH9" i="1"/>
  <c r="BH27" i="1"/>
  <c r="BH29" i="1"/>
  <c r="BG19" i="1"/>
  <c r="BH19" i="1" s="1"/>
  <c r="BH18" i="1"/>
  <c r="BH8" i="1"/>
  <c r="BH16" i="1"/>
  <c r="X36" i="1"/>
  <c r="X31" i="1"/>
  <c r="X29" i="1"/>
  <c r="X9" i="1"/>
  <c r="W19" i="1"/>
  <c r="X19" i="1" s="1"/>
  <c r="X18" i="1"/>
  <c r="X8" i="1"/>
  <c r="X27" i="1"/>
  <c r="X16" i="1"/>
  <c r="F31" i="1"/>
  <c r="F36" i="1"/>
  <c r="F27" i="1"/>
  <c r="F18" i="1"/>
  <c r="F8" i="1"/>
  <c r="E19" i="1"/>
  <c r="F19" i="1" s="1"/>
  <c r="F9" i="1"/>
  <c r="F29" i="1"/>
  <c r="F16" i="1"/>
  <c r="T51" i="3" l="1"/>
  <c r="T52" i="3" s="1"/>
  <c r="S51" i="3"/>
  <c r="S52" i="3" s="1"/>
  <c r="R51" i="3"/>
  <c r="R52" i="3" s="1"/>
  <c r="Q51" i="3"/>
  <c r="Q52" i="3" s="1"/>
  <c r="Q42" i="1"/>
  <c r="R38" i="1"/>
  <c r="W42" i="1"/>
  <c r="X38" i="1"/>
  <c r="BS42" i="1"/>
  <c r="BT38" i="1"/>
  <c r="AU42" i="1"/>
  <c r="AV38" i="1"/>
  <c r="Z38" i="1"/>
  <c r="AA34" i="1"/>
  <c r="BG38" i="1"/>
  <c r="BH34" i="1"/>
  <c r="BW38" i="1"/>
  <c r="BV42" i="1"/>
  <c r="BA42" i="1"/>
  <c r="BB38" i="1"/>
  <c r="AO42" i="1"/>
  <c r="AP38" i="1"/>
  <c r="AI38" i="1"/>
  <c r="AJ34" i="1"/>
  <c r="AX38" i="1"/>
  <c r="AY34" i="1"/>
  <c r="BM42" i="1"/>
  <c r="BN38" i="1"/>
  <c r="CE42" i="1"/>
  <c r="CF38" i="1"/>
  <c r="BY42" i="1"/>
  <c r="BZ38" i="1"/>
  <c r="BP38" i="1"/>
  <c r="BQ34" i="1"/>
  <c r="K42" i="1"/>
  <c r="L38" i="1"/>
  <c r="BJ38" i="1"/>
  <c r="BK34" i="1"/>
  <c r="CB38" i="1"/>
  <c r="CC34" i="1"/>
  <c r="E42" i="1"/>
  <c r="F38" i="1"/>
  <c r="AL38" i="1"/>
  <c r="AM34" i="1"/>
  <c r="AC42" i="1"/>
  <c r="AD38" i="1"/>
  <c r="CH38" i="1"/>
  <c r="CI34" i="1"/>
  <c r="CH42" i="1" l="1"/>
  <c r="CI38" i="1"/>
  <c r="AL42" i="1"/>
  <c r="AM38" i="1"/>
  <c r="CB42" i="1"/>
  <c r="CC38" i="1"/>
  <c r="AI42" i="1"/>
  <c r="AJ38" i="1"/>
  <c r="BG42" i="1"/>
  <c r="BH38" i="1"/>
  <c r="BJ42" i="1"/>
  <c r="BK38" i="1"/>
  <c r="BP42" i="1"/>
  <c r="BQ38" i="1"/>
  <c r="AY38" i="1"/>
  <c r="AX42" i="1"/>
  <c r="AA38" i="1"/>
  <c r="Z42" i="1"/>
  <c r="Y51" i="3"/>
  <c r="Y52" i="3" s="1"/>
  <c r="X51" i="3"/>
  <c r="X52" i="3" s="1"/>
  <c r="W51" i="3"/>
  <c r="W52" i="3" s="1"/>
  <c r="V51" i="3"/>
  <c r="V52" i="3" s="1"/>
  <c r="AD51" i="3" l="1"/>
  <c r="AD52" i="3" s="1"/>
  <c r="AC51" i="3"/>
  <c r="AC52" i="3" s="1"/>
  <c r="AB51" i="3"/>
  <c r="AB52" i="3" s="1"/>
  <c r="AA51" i="3"/>
  <c r="AA52" i="3" s="1"/>
  <c r="AI51" i="3" l="1"/>
  <c r="AI52" i="3" s="1"/>
  <c r="AH51" i="3"/>
  <c r="AH52" i="3" s="1"/>
  <c r="AG51" i="3"/>
  <c r="AG52" i="3" s="1"/>
  <c r="AF51" i="3"/>
  <c r="AF52" i="3" s="1"/>
  <c r="AN51" i="3" l="1"/>
  <c r="AN52" i="3" s="1"/>
  <c r="AM51" i="3"/>
  <c r="AM52" i="3" s="1"/>
  <c r="AL51" i="3"/>
  <c r="AL52" i="3" s="1"/>
  <c r="AK51" i="3"/>
  <c r="AK52" i="3" s="1"/>
</calcChain>
</file>

<file path=xl/sharedStrings.xml><?xml version="1.0" encoding="utf-8"?>
<sst xmlns="http://schemas.openxmlformats.org/spreadsheetml/2006/main" count="377" uniqueCount="218">
  <si>
    <t>Cost of sales</t>
  </si>
  <si>
    <t>Interest expense</t>
  </si>
  <si>
    <t>QE 5/31/10</t>
  </si>
  <si>
    <t>QE 8/31/10</t>
  </si>
  <si>
    <t>QE 11/30/10</t>
  </si>
  <si>
    <t>QE 2/28/11</t>
  </si>
  <si>
    <t>FYE 2/28/11</t>
  </si>
  <si>
    <t>Current Assets:</t>
  </si>
  <si>
    <t xml:space="preserve">      Total current assets</t>
  </si>
  <si>
    <t>Current Liabilities:</t>
  </si>
  <si>
    <t>Non-current Assets:</t>
  </si>
  <si>
    <t>Non-current Liabilities:</t>
  </si>
  <si>
    <t>Total Assets</t>
  </si>
  <si>
    <t>Total Liabilities</t>
  </si>
  <si>
    <t>Stockholders' Equity:</t>
  </si>
  <si>
    <t>Operating Activities:</t>
  </si>
  <si>
    <t>Net earnings</t>
  </si>
  <si>
    <t>Adjustments to reconcile:</t>
  </si>
  <si>
    <t>Provision for loan losses</t>
  </si>
  <si>
    <t>Net (increase) / decrease in:</t>
  </si>
  <si>
    <t>Accounts receivable, net</t>
  </si>
  <si>
    <t>Inventory</t>
  </si>
  <si>
    <t>Other current assets</t>
  </si>
  <si>
    <t>Auto loan receivables, net</t>
  </si>
  <si>
    <t>Other assets</t>
  </si>
  <si>
    <t>Net increase / (decrease) in:</t>
  </si>
  <si>
    <t>Accts payable, accrued exp, other curr liab</t>
  </si>
  <si>
    <t>Other liabilities</t>
  </si>
  <si>
    <t>Net cash provided by (used in) operating activities</t>
  </si>
  <si>
    <t>Investing Activities:</t>
  </si>
  <si>
    <t>Capital expenditures</t>
  </si>
  <si>
    <t>Financing Activities:</t>
  </si>
  <si>
    <t>Increase (decrease) in short-term debt, net</t>
  </si>
  <si>
    <t>Payments on non-recourse notes payable</t>
  </si>
  <si>
    <t>Increase (decrease) in cash and cash equivalents</t>
  </si>
  <si>
    <t>Cash and cash equivalents at end of period</t>
  </si>
  <si>
    <t>FISCAL 2013</t>
  </si>
  <si>
    <t>QE 5/31/11</t>
  </si>
  <si>
    <t>QE 8/31/11</t>
  </si>
  <si>
    <t>QE 11/30/11</t>
  </si>
  <si>
    <t>QE 5/31/12</t>
  </si>
  <si>
    <t>QE 8/31/12</t>
  </si>
  <si>
    <t>QE 11/30/12</t>
  </si>
  <si>
    <t>QE 2/28/13</t>
  </si>
  <si>
    <t>FYE 2/28/13</t>
  </si>
  <si>
    <t>FISCAL 2014</t>
  </si>
  <si>
    <t>QE 5/31/13</t>
  </si>
  <si>
    <t>QE 8/31/13</t>
  </si>
  <si>
    <t>QE 11/30/13</t>
  </si>
  <si>
    <t>QE 2/28/14</t>
  </si>
  <si>
    <t>FYE 2/28/14</t>
  </si>
  <si>
    <t>FYE 2/29/12</t>
  </si>
  <si>
    <t>QE 2/29/12</t>
  </si>
  <si>
    <t>FISCAL 2011  *</t>
  </si>
  <si>
    <t>FISCAL 2012  *</t>
  </si>
  <si>
    <t>Allocation % (a)</t>
  </si>
  <si>
    <t>Stock repurchases:</t>
  </si>
  <si>
    <t>(in 000 except per share info</t>
  </si>
  <si>
    <t>$</t>
  </si>
  <si>
    <t>%</t>
  </si>
  <si>
    <t>Income tax provision</t>
  </si>
  <si>
    <t>Diluted weighted average common shares</t>
  </si>
  <si>
    <t>Diluted net earnings per share</t>
  </si>
  <si>
    <t>Sales and operating revenues:</t>
  </si>
  <si>
    <t>Total net sales and operating revenues</t>
  </si>
  <si>
    <t xml:space="preserve">Gross profit breakdown: </t>
  </si>
  <si>
    <t>Selling, general and administrative expense</t>
  </si>
  <si>
    <t xml:space="preserve">      Total current liabilities</t>
  </si>
  <si>
    <t>FISCAL 2012</t>
  </si>
  <si>
    <t xml:space="preserve">      Total shareholders' equity</t>
  </si>
  <si>
    <t>3 mo ended</t>
  </si>
  <si>
    <t>5/31/11</t>
  </si>
  <si>
    <t>6 mo ended</t>
  </si>
  <si>
    <t>8/31/11</t>
  </si>
  <si>
    <t>9 mo ended</t>
  </si>
  <si>
    <t>11/30/11</t>
  </si>
  <si>
    <t>2/29/12</t>
  </si>
  <si>
    <t>5/31/12</t>
  </si>
  <si>
    <t>8/31/12</t>
  </si>
  <si>
    <t>11/30/12</t>
  </si>
  <si>
    <t>2/28/13</t>
  </si>
  <si>
    <t>5/31/13</t>
  </si>
  <si>
    <t>8/31/13</t>
  </si>
  <si>
    <t>11/30/13</t>
  </si>
  <si>
    <t>2/28/14</t>
  </si>
  <si>
    <t>FYE</t>
  </si>
  <si>
    <t>2/28/11</t>
  </si>
  <si>
    <t>Total Liabilities and Shareholders' Equity</t>
  </si>
  <si>
    <t>Depreciation and amortization</t>
  </si>
  <si>
    <t>Retained interest in securitized receivables</t>
  </si>
  <si>
    <t>Payments on finance &amp; capital lease obligations</t>
  </si>
  <si>
    <t>Repurchase and retirement of common stock</t>
  </si>
  <si>
    <t>Share-based compensation expense</t>
  </si>
  <si>
    <t>Deferred income tax provision (benefit)</t>
  </si>
  <si>
    <t>Net cash used in investing activities</t>
  </si>
  <si>
    <t>Net cash provided by financing activities</t>
  </si>
  <si>
    <t>Cash and cash equivalents at beginning of fiscal year</t>
  </si>
  <si>
    <t>(in 000)</t>
  </si>
  <si>
    <t>Provision for cancellation reserves</t>
  </si>
  <si>
    <t xml:space="preserve">Note:  </t>
  </si>
  <si>
    <t xml:space="preserve">Note:  Information is unaudited.  Data should be reviewed in conjunction with the CarMax quarterly and annual </t>
  </si>
  <si>
    <t xml:space="preserve">Information is unaudited.  Data should be reviewed in conjunction with CarMax's quarterly reports on Form 10-Q and  </t>
  </si>
  <si>
    <t xml:space="preserve">annual reports on Form 10-K. </t>
  </si>
  <si>
    <t>Cash and cash equivalents</t>
  </si>
  <si>
    <t>Restricted cash</t>
  </si>
  <si>
    <t>Deferred income taxes</t>
  </si>
  <si>
    <t>Property &amp; equipuipment, net</t>
  </si>
  <si>
    <t>Accounts payable</t>
  </si>
  <si>
    <t>Accrued expenses &amp; other curr liab</t>
  </si>
  <si>
    <t>Accrued income taxes</t>
  </si>
  <si>
    <t>Short-term debt</t>
  </si>
  <si>
    <t>Current finance &amp; cap lease oblig</t>
  </si>
  <si>
    <t>Current non-recourse notes payable</t>
  </si>
  <si>
    <t>Finance &amp; capital lease obligations</t>
  </si>
  <si>
    <t>Non-recourse notes payable</t>
  </si>
  <si>
    <t>Common stock, at par</t>
  </si>
  <si>
    <t>Capital in excess of par</t>
  </si>
  <si>
    <t>Accumulated other comprehensive loss</t>
  </si>
  <si>
    <t>Retained earnings</t>
  </si>
  <si>
    <t>Used vehicle sales</t>
  </si>
  <si>
    <t>Wholesale vehicle sales</t>
  </si>
  <si>
    <t>Other sales and revenues:</t>
  </si>
  <si>
    <t>Extended service plan revenues</t>
  </si>
  <si>
    <t>Third-party finance fees, net</t>
  </si>
  <si>
    <t xml:space="preserve">       Total other sales and revenues</t>
  </si>
  <si>
    <t>Used vehicles</t>
  </si>
  <si>
    <t>Wholesale vehicles</t>
  </si>
  <si>
    <t>Other gross profit</t>
  </si>
  <si>
    <t>Total gross profit</t>
  </si>
  <si>
    <t>Gross profit</t>
  </si>
  <si>
    <t>Earnings before income taxes</t>
  </si>
  <si>
    <t>Compensation and benefits</t>
  </si>
  <si>
    <t>Store occupancy costs</t>
  </si>
  <si>
    <t>Advertising expense</t>
  </si>
  <si>
    <t>Other overhead costs</t>
  </si>
  <si>
    <t>New authorizations ($M)</t>
  </si>
  <si>
    <t>Repurchases ($M)</t>
  </si>
  <si>
    <t>Remaining authorization ($M)</t>
  </si>
  <si>
    <t>Shares repurchased (000)</t>
  </si>
  <si>
    <t>*</t>
  </si>
  <si>
    <t>Reflects corrections made in Q4 FY12 in accounting for select sale-leaseback transactions.</t>
  </si>
  <si>
    <t>Total SG&amp;A expense</t>
  </si>
  <si>
    <t>SG&amp;A expense:</t>
  </si>
  <si>
    <t>Other income (expense)</t>
  </si>
  <si>
    <t>CarMax Income Statement Information</t>
  </si>
  <si>
    <t xml:space="preserve"> or as otherwise noted)</t>
  </si>
  <si>
    <t>CarMax Balance Sheet Information</t>
  </si>
  <si>
    <t>CarMax Cash Flow Information</t>
  </si>
  <si>
    <t>FISCAL 2015</t>
  </si>
  <si>
    <t>QE 8/31/14</t>
  </si>
  <si>
    <t>QE 11/30/14</t>
  </si>
  <si>
    <t>QE 2/28/15</t>
  </si>
  <si>
    <t>5/31/14</t>
  </si>
  <si>
    <t>8/31/14</t>
  </si>
  <si>
    <t>11/30/14</t>
  </si>
  <si>
    <t>2/28/15</t>
  </si>
  <si>
    <t xml:space="preserve">(Increase) decrease in restricted cash from </t>
  </si>
  <si>
    <t>QE 5/31/14</t>
  </si>
  <si>
    <t>FYE 2/28/15</t>
  </si>
  <si>
    <t xml:space="preserve">Note: </t>
  </si>
  <si>
    <t>Prior year amounts may reflect reclassifications or revisions made subsequent to their original disclosure.</t>
  </si>
  <si>
    <t>collections on auto loan receivables</t>
  </si>
  <si>
    <t>Updated:</t>
  </si>
  <si>
    <t>Long-term debt</t>
  </si>
  <si>
    <t>Current portion, long-term debt</t>
  </si>
  <si>
    <t>Add: Net issuance of non-recourse notes payable</t>
  </si>
  <si>
    <t>Adjusted net cash provided by operating activities</t>
  </si>
  <si>
    <t>FISCAL 2016</t>
  </si>
  <si>
    <t>QE 5/31/15</t>
  </si>
  <si>
    <t>QE 8/31/15</t>
  </si>
  <si>
    <t>QE 11/30/15</t>
  </si>
  <si>
    <t>5/31/15</t>
  </si>
  <si>
    <t>8/31/15</t>
  </si>
  <si>
    <t>11/30/15</t>
  </si>
  <si>
    <t>2/29/16</t>
  </si>
  <si>
    <t>QE 2/29/16</t>
  </si>
  <si>
    <t>FYE 2/29/16</t>
  </si>
  <si>
    <t>Cash paid for debt issuance costs</t>
  </si>
  <si>
    <t>reviewed in conjunction with CarMax's</t>
  </si>
  <si>
    <t>quarterly reports on Form 10-Q and annual</t>
  </si>
  <si>
    <t>reports on Form 10-K.</t>
  </si>
  <si>
    <t>Prior year amounts may reflect reclassifications</t>
  </si>
  <si>
    <t>or revisions made subsequent to their</t>
  </si>
  <si>
    <t>original disclosure.</t>
  </si>
  <si>
    <t xml:space="preserve">Information is unaudited.  Data should be </t>
  </si>
  <si>
    <t>Adjusted net cash provided by operating activities:</t>
  </si>
  <si>
    <t>Other</t>
  </si>
  <si>
    <t xml:space="preserve">CarMax Auto Finance income </t>
  </si>
  <si>
    <t>Payments on long-term debt</t>
  </si>
  <si>
    <t>Proceeds from issuances of long-term debt</t>
  </si>
  <si>
    <t>QE 5/31/16</t>
  </si>
  <si>
    <t>QE 8/31/16</t>
  </si>
  <si>
    <t>QE 11/30/16</t>
  </si>
  <si>
    <t>FYE 2/28/17</t>
  </si>
  <si>
    <t>FISCAL 2017</t>
  </si>
  <si>
    <t>5/31/16</t>
  </si>
  <si>
    <t>8/31/16</t>
  </si>
  <si>
    <t>11/30/16</t>
  </si>
  <si>
    <t>2/28/17</t>
  </si>
  <si>
    <t>Equity issuances</t>
  </si>
  <si>
    <t>FISCAL 2018</t>
  </si>
  <si>
    <t>QE 5/31/17</t>
  </si>
  <si>
    <t>QE 8/31/17</t>
  </si>
  <si>
    <t>QE 11/30/17</t>
  </si>
  <si>
    <t>QE 2/28/18</t>
  </si>
  <si>
    <t>FYE 2/28/18</t>
  </si>
  <si>
    <t>QE 2/28/17</t>
  </si>
  <si>
    <t>5/31/17</t>
  </si>
  <si>
    <t>8/31/17</t>
  </si>
  <si>
    <t>11/30/17</t>
  </si>
  <si>
    <t>2/28/18</t>
  </si>
  <si>
    <t>Proceeds from disposal of property &amp; equipment</t>
  </si>
  <si>
    <t>Issuances of non-recourse notes payable</t>
  </si>
  <si>
    <t>Increase in restricted cash in reserve accounts</t>
  </si>
  <si>
    <t>Release of restricted cash from reserve accts</t>
  </si>
  <si>
    <t>Purchases of investments</t>
  </si>
  <si>
    <t>Sales of investments</t>
  </si>
  <si>
    <t>April 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</si>
</sst>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7" formatCode="&quot;$&quot;#,##0.00_);\(&quot;$&quot;#,##0.00\)"/>
    <numFmt numFmtId="164" formatCode="0.0%"/>
    <numFmt numFmtId="165" formatCode="&quot;$&quot;#,##0.0_);\(&quot;$&quot;#,##0.0\)"/>
    <numFmt numFmtId="166" formatCode="#,##0.0_);\(#,##0.0\)"/>
    <numFmt numFmtId="167" formatCode="&quot;$&quot;#,##0_);&quot;$&quot;\(#,##0\)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37" fontId="2" fillId="0" borderId="0" xfId="0" applyNumberFormat="1" applyFont="1"/>
    <xf numFmtId="37" fontId="1" fillId="0" borderId="0" xfId="0" applyNumberFormat="1" applyFont="1"/>
    <xf numFmtId="37" fontId="1" fillId="0" borderId="1" xfId="0" applyNumberFormat="1" applyFont="1" applyBorder="1"/>
    <xf numFmtId="37" fontId="1" fillId="0" borderId="2" xfId="0" applyNumberFormat="1" applyFont="1" applyBorder="1"/>
    <xf numFmtId="37" fontId="2" fillId="0" borderId="1" xfId="0" applyNumberFormat="1" applyFont="1" applyBorder="1"/>
    <xf numFmtId="0" fontId="3" fillId="0" borderId="0" xfId="0" applyFont="1"/>
    <xf numFmtId="15" fontId="4" fillId="0" borderId="0" xfId="0" applyNumberFormat="1" applyFont="1" applyAlignment="1">
      <alignment horizontal="center"/>
    </xf>
    <xf numFmtId="37" fontId="2" fillId="0" borderId="3" xfId="0" applyNumberFormat="1" applyFont="1" applyBorder="1"/>
    <xf numFmtId="0" fontId="2" fillId="0" borderId="0" xfId="0" applyFont="1" applyBorder="1"/>
    <xf numFmtId="0" fontId="1" fillId="0" borderId="0" xfId="0" applyFont="1" applyBorder="1"/>
    <xf numFmtId="37" fontId="0" fillId="0" borderId="0" xfId="0" applyNumberFormat="1"/>
    <xf numFmtId="37" fontId="1" fillId="0" borderId="0" xfId="0" applyNumberFormat="1" applyFont="1" applyBorder="1"/>
    <xf numFmtId="37" fontId="1" fillId="0" borderId="3" xfId="0" applyNumberFormat="1" applyFont="1" applyBorder="1"/>
    <xf numFmtId="37" fontId="1" fillId="0" borderId="0" xfId="0" applyNumberFormat="1" applyFont="1" applyFill="1"/>
    <xf numFmtId="37" fontId="3" fillId="0" borderId="0" xfId="0" applyNumberFormat="1" applyFont="1"/>
    <xf numFmtId="37" fontId="5" fillId="0" borderId="0" xfId="0" applyNumberFormat="1" applyFont="1"/>
    <xf numFmtId="0" fontId="5" fillId="0" borderId="0" xfId="0" applyFont="1"/>
    <xf numFmtId="37" fontId="3" fillId="0" borderId="0" xfId="0" applyNumberFormat="1" applyFont="1" applyBorder="1"/>
    <xf numFmtId="0" fontId="3" fillId="0" borderId="1" xfId="0" applyFont="1" applyBorder="1"/>
    <xf numFmtId="0" fontId="3" fillId="0" borderId="0" xfId="0" applyFont="1" applyBorder="1"/>
    <xf numFmtId="7" fontId="1" fillId="0" borderId="0" xfId="0" applyNumberFormat="1" applyFont="1"/>
    <xf numFmtId="5" fontId="1" fillId="0" borderId="0" xfId="0" applyNumberFormat="1" applyFont="1"/>
    <xf numFmtId="5" fontId="1" fillId="0" borderId="0" xfId="0" applyNumberFormat="1" applyFont="1" applyBorder="1"/>
    <xf numFmtId="0" fontId="1" fillId="0" borderId="1" xfId="0" applyFont="1" applyBorder="1"/>
    <xf numFmtId="0" fontId="1" fillId="0" borderId="0" xfId="0" quotePrefix="1" applyFont="1"/>
    <xf numFmtId="164" fontId="1" fillId="0" borderId="0" xfId="0" applyNumberFormat="1" applyFont="1"/>
    <xf numFmtId="164" fontId="1" fillId="0" borderId="1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0" fontId="3" fillId="0" borderId="0" xfId="0" quotePrefix="1" applyFont="1"/>
    <xf numFmtId="166" fontId="1" fillId="0" borderId="0" xfId="0" applyNumberFormat="1" applyFont="1"/>
    <xf numFmtId="5" fontId="1" fillId="0" borderId="2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37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Border="1"/>
    <xf numFmtId="0" fontId="2" fillId="0" borderId="0" xfId="0" applyFont="1" applyFill="1"/>
    <xf numFmtId="0" fontId="0" fillId="0" borderId="0" xfId="0" applyFill="1"/>
    <xf numFmtId="37" fontId="3" fillId="0" borderId="1" xfId="0" quotePrefix="1" applyNumberFormat="1" applyFont="1" applyBorder="1" applyAlignment="1">
      <alignment horizontal="center"/>
    </xf>
    <xf numFmtId="37" fontId="2" fillId="0" borderId="0" xfId="0" applyNumberFormat="1" applyFont="1" applyBorder="1"/>
    <xf numFmtId="0" fontId="0" fillId="0" borderId="0" xfId="0" applyBorder="1"/>
    <xf numFmtId="37" fontId="0" fillId="0" borderId="0" xfId="0" applyNumberFormat="1" applyFill="1"/>
    <xf numFmtId="5" fontId="2" fillId="0" borderId="0" xfId="0" applyNumberFormat="1" applyFont="1"/>
    <xf numFmtId="5" fontId="0" fillId="0" borderId="0" xfId="0" applyNumberFormat="1"/>
    <xf numFmtId="5" fontId="2" fillId="0" borderId="2" xfId="0" applyNumberFormat="1" applyFont="1" applyBorder="1"/>
    <xf numFmtId="10" fontId="1" fillId="0" borderId="0" xfId="0" applyNumberFormat="1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horizontal="right"/>
    </xf>
    <xf numFmtId="15" fontId="1" fillId="0" borderId="0" xfId="0" quotePrefix="1" applyNumberFormat="1" applyFont="1" applyAlignment="1">
      <alignment horizontal="left"/>
    </xf>
    <xf numFmtId="167" fontId="1" fillId="0" borderId="0" xfId="0" applyNumberFormat="1" applyFont="1"/>
    <xf numFmtId="167" fontId="1" fillId="0" borderId="2" xfId="0" applyNumberFormat="1" applyFont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S72"/>
  <sheetViews>
    <sheetView tabSelected="1" zoomScale="115" zoomScaleNormal="100" workbookViewId="0">
      <pane xSplit="4" ySplit="5" topLeftCell="CW6" activePane="bottomRight" state="frozen"/>
      <selection pane="topRight" activeCell="E1" sqref="E1"/>
      <selection pane="bottomLeft" activeCell="A6" sqref="A6"/>
      <selection pane="bottomRight" activeCell="C3" sqref="C3"/>
    </sheetView>
  </sheetViews>
  <sheetFormatPr defaultRowHeight="11.25" x14ac:dyDescent="0.2"/>
  <cols>
    <col min="1" max="2" width="3.7109375" style="1" customWidth="1"/>
    <col min="3" max="3" width="25.5703125" style="1" customWidth="1"/>
    <col min="4" max="4" width="4.140625" style="1" customWidth="1"/>
    <col min="5" max="5" width="9.28515625" style="1" bestFit="1" customWidth="1"/>
    <col min="6" max="6" width="6.7109375" style="1" customWidth="1"/>
    <col min="7" max="7" width="1.7109375" style="1" customWidth="1"/>
    <col min="8" max="8" width="9.28515625" style="1" bestFit="1" customWidth="1"/>
    <col min="9" max="9" width="6.7109375" style="1" customWidth="1"/>
    <col min="10" max="10" width="1.7109375" style="1" customWidth="1"/>
    <col min="11" max="11" width="9.28515625" style="1" bestFit="1" customWidth="1"/>
    <col min="12" max="12" width="6.7109375" style="1" customWidth="1"/>
    <col min="13" max="13" width="1.7109375" style="1" customWidth="1"/>
    <col min="14" max="14" width="9.28515625" style="1" bestFit="1" customWidth="1"/>
    <col min="15" max="15" width="6.7109375" style="1" customWidth="1"/>
    <col min="16" max="16" width="1.7109375" style="1" customWidth="1"/>
    <col min="17" max="17" width="9.85546875" style="1" customWidth="1"/>
    <col min="18" max="18" width="6.7109375" style="1" customWidth="1"/>
    <col min="19" max="19" width="4.7109375" style="1" customWidth="1"/>
    <col min="20" max="20" width="9.28515625" style="1" bestFit="1" customWidth="1"/>
    <col min="21" max="21" width="6.7109375" style="1" customWidth="1"/>
    <col min="22" max="22" width="1.7109375" style="1" customWidth="1"/>
    <col min="23" max="23" width="9.28515625" style="1" bestFit="1" customWidth="1"/>
    <col min="24" max="24" width="6.7109375" style="1" customWidth="1"/>
    <col min="25" max="25" width="1.7109375" style="1" customWidth="1"/>
    <col min="26" max="26" width="9.28515625" style="1" bestFit="1" customWidth="1"/>
    <col min="27" max="27" width="6.7109375" style="1" customWidth="1"/>
    <col min="28" max="28" width="1.7109375" style="1" customWidth="1"/>
    <col min="29" max="29" width="9.28515625" style="1" bestFit="1" customWidth="1"/>
    <col min="30" max="30" width="6.7109375" style="1" customWidth="1"/>
    <col min="31" max="31" width="1.7109375" style="1" customWidth="1"/>
    <col min="32" max="32" width="9.28515625" style="1" bestFit="1" customWidth="1"/>
    <col min="33" max="33" width="6.7109375" style="1" customWidth="1"/>
    <col min="34" max="34" width="4.7109375" style="1" customWidth="1"/>
    <col min="35" max="35" width="9.28515625" style="1" bestFit="1" customWidth="1"/>
    <col min="36" max="36" width="6.7109375" style="1" customWidth="1"/>
    <col min="37" max="37" width="1.7109375" style="1" customWidth="1"/>
    <col min="38" max="38" width="9.28515625" style="1" bestFit="1" customWidth="1"/>
    <col min="39" max="39" width="6.7109375" style="1" customWidth="1"/>
    <col min="40" max="40" width="1.7109375" style="1" customWidth="1"/>
    <col min="41" max="41" width="9.28515625" style="1" bestFit="1" customWidth="1"/>
    <col min="42" max="42" width="6.7109375" style="1" customWidth="1"/>
    <col min="43" max="43" width="1.7109375" style="1" customWidth="1"/>
    <col min="44" max="44" width="9.42578125" style="1" bestFit="1" customWidth="1"/>
    <col min="45" max="45" width="6.7109375" style="1" customWidth="1"/>
    <col min="46" max="46" width="1.7109375" style="1" customWidth="1"/>
    <col min="47" max="47" width="9.28515625" style="1" bestFit="1" customWidth="1"/>
    <col min="48" max="48" width="6.7109375" style="1" customWidth="1"/>
    <col min="49" max="49" width="4.7109375" style="1" customWidth="1"/>
    <col min="50" max="50" width="9.28515625" style="1" bestFit="1" customWidth="1"/>
    <col min="51" max="51" width="6.7109375" style="1" customWidth="1"/>
    <col min="52" max="52" width="1.7109375" style="1" customWidth="1"/>
    <col min="53" max="53" width="9.7109375" style="1" bestFit="1" customWidth="1"/>
    <col min="54" max="54" width="6.7109375" style="1" customWidth="1"/>
    <col min="55" max="55" width="1.7109375" style="1" customWidth="1"/>
    <col min="56" max="56" width="9.28515625" style="1" bestFit="1" customWidth="1"/>
    <col min="57" max="57" width="6.7109375" style="1" customWidth="1"/>
    <col min="58" max="58" width="1.85546875" style="1" customWidth="1"/>
    <col min="59" max="59" width="9.28515625" style="1" bestFit="1" customWidth="1"/>
    <col min="60" max="60" width="6.7109375" style="1" customWidth="1"/>
    <col min="61" max="61" width="1.7109375" style="1" customWidth="1"/>
    <col min="62" max="62" width="10.140625" style="1" bestFit="1" customWidth="1"/>
    <col min="63" max="63" width="6.7109375" style="1" customWidth="1"/>
    <col min="64" max="64" width="4.7109375" style="1" customWidth="1"/>
    <col min="65" max="65" width="9.28515625" style="1" bestFit="1" customWidth="1"/>
    <col min="66" max="66" width="6.7109375" style="1" customWidth="1"/>
    <col min="67" max="67" width="1.7109375" style="1" customWidth="1"/>
    <col min="68" max="68" width="9.7109375" style="1" bestFit="1" customWidth="1"/>
    <col min="69" max="69" width="6.7109375" style="1" customWidth="1"/>
    <col min="70" max="70" width="1.7109375" style="1" customWidth="1"/>
    <col min="71" max="71" width="9.28515625" style="1" bestFit="1" customWidth="1"/>
    <col min="72" max="72" width="6.7109375" style="1" customWidth="1"/>
    <col min="73" max="73" width="1.85546875" style="1" customWidth="1"/>
    <col min="74" max="74" width="9.28515625" style="1" bestFit="1" customWidth="1"/>
    <col min="75" max="75" width="6.7109375" style="1" customWidth="1"/>
    <col min="76" max="76" width="1.7109375" style="1" customWidth="1"/>
    <col min="77" max="77" width="10.140625" style="1" bestFit="1" customWidth="1"/>
    <col min="78" max="78" width="6.7109375" style="1" customWidth="1"/>
    <col min="79" max="79" width="4.7109375" style="1" customWidth="1"/>
    <col min="80" max="80" width="9.28515625" style="1" bestFit="1" customWidth="1"/>
    <col min="81" max="81" width="6.7109375" style="1" customWidth="1"/>
    <col min="82" max="82" width="1.7109375" style="1" customWidth="1"/>
    <col min="83" max="83" width="9.7109375" style="1" bestFit="1" customWidth="1"/>
    <col min="84" max="84" width="6.7109375" style="1" customWidth="1"/>
    <col min="85" max="85" width="1.7109375" style="1" customWidth="1"/>
    <col min="86" max="86" width="9.28515625" style="1" bestFit="1" customWidth="1"/>
    <col min="87" max="87" width="6.7109375" style="1" customWidth="1"/>
    <col min="88" max="88" width="1.85546875" style="1" customWidth="1"/>
    <col min="89" max="89" width="9.28515625" style="1" bestFit="1" customWidth="1"/>
    <col min="90" max="90" width="6.7109375" style="1" customWidth="1"/>
    <col min="91" max="91" width="1.7109375" style="1" customWidth="1"/>
    <col min="92" max="92" width="10.140625" style="1" bestFit="1" customWidth="1"/>
    <col min="93" max="93" width="6.7109375" style="1" customWidth="1"/>
    <col min="94" max="94" width="4.7109375" style="1" customWidth="1"/>
    <col min="95" max="95" width="9.28515625" style="1" bestFit="1" customWidth="1"/>
    <col min="96" max="96" width="6.7109375" style="1" customWidth="1"/>
    <col min="97" max="97" width="1.7109375" style="1" customWidth="1"/>
    <col min="98" max="98" width="9.7109375" style="1" bestFit="1" customWidth="1"/>
    <col min="99" max="99" width="6.7109375" style="1" customWidth="1"/>
    <col min="100" max="100" width="1.7109375" style="1" customWidth="1"/>
    <col min="101" max="101" width="9.28515625" style="1" bestFit="1" customWidth="1"/>
    <col min="102" max="102" width="6.7109375" style="1" customWidth="1"/>
    <col min="103" max="103" width="1.85546875" style="1" customWidth="1"/>
    <col min="104" max="104" width="9.28515625" style="1" bestFit="1" customWidth="1"/>
    <col min="105" max="105" width="6.7109375" style="1" customWidth="1"/>
    <col min="106" max="106" width="1.7109375" style="1" customWidth="1"/>
    <col min="107" max="107" width="10.140625" style="1" bestFit="1" customWidth="1"/>
    <col min="108" max="108" width="6.7109375" style="1" customWidth="1"/>
    <col min="109" max="109" width="4.7109375" style="1" customWidth="1"/>
    <col min="110" max="110" width="9.28515625" style="1" bestFit="1" customWidth="1"/>
    <col min="111" max="111" width="6.7109375" style="1" customWidth="1"/>
    <col min="112" max="112" width="1.7109375" style="1" customWidth="1"/>
    <col min="113" max="113" width="9.7109375" style="1" bestFit="1" customWidth="1"/>
    <col min="114" max="114" width="6.7109375" style="1" customWidth="1"/>
    <col min="115" max="115" width="1.7109375" style="1" customWidth="1"/>
    <col min="116" max="116" width="9.7109375" style="1" customWidth="1"/>
    <col min="117" max="117" width="6.7109375" style="1" customWidth="1"/>
    <col min="118" max="118" width="1.85546875" style="1" customWidth="1"/>
    <col min="119" max="119" width="9.28515625" style="1" bestFit="1" customWidth="1"/>
    <col min="120" max="120" width="6.7109375" style="1" customWidth="1"/>
    <col min="121" max="121" width="1.7109375" style="1" customWidth="1"/>
    <col min="122" max="122" width="10.140625" style="1" bestFit="1" customWidth="1"/>
    <col min="123" max="123" width="6.7109375" style="1" customWidth="1"/>
    <col min="124" max="16384" width="9.140625" style="1"/>
  </cols>
  <sheetData>
    <row r="1" spans="1:123" x14ac:dyDescent="0.2">
      <c r="A1" s="8" t="s">
        <v>144</v>
      </c>
      <c r="B1" s="8"/>
      <c r="C1" s="8"/>
    </row>
    <row r="2" spans="1:123" x14ac:dyDescent="0.2">
      <c r="A2" s="32" t="s">
        <v>57</v>
      </c>
      <c r="B2" s="8"/>
      <c r="C2" s="8"/>
    </row>
    <row r="3" spans="1:123" x14ac:dyDescent="0.2">
      <c r="A3" s="8" t="s">
        <v>145</v>
      </c>
      <c r="B3" s="32"/>
      <c r="C3" s="8"/>
    </row>
    <row r="4" spans="1:123" s="8" customFormat="1" ht="12.75" customHeight="1" x14ac:dyDescent="0.2">
      <c r="A4" s="1" t="s">
        <v>162</v>
      </c>
      <c r="C4" s="53" t="s">
        <v>217</v>
      </c>
      <c r="E4" s="57" t="s">
        <v>53</v>
      </c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T4" s="57" t="s">
        <v>54</v>
      </c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I4" s="57" t="s">
        <v>36</v>
      </c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X4" s="57" t="s">
        <v>45</v>
      </c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M4" s="57" t="s">
        <v>148</v>
      </c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B4" s="57" t="s">
        <v>167</v>
      </c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Q4" s="57" t="s">
        <v>194</v>
      </c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F4" s="57" t="s">
        <v>200</v>
      </c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</row>
    <row r="5" spans="1:123" s="8" customFormat="1" x14ac:dyDescent="0.2">
      <c r="E5" s="57" t="s">
        <v>2</v>
      </c>
      <c r="F5" s="57"/>
      <c r="G5" s="21"/>
      <c r="H5" s="57" t="s">
        <v>3</v>
      </c>
      <c r="I5" s="57"/>
      <c r="J5" s="21"/>
      <c r="K5" s="57" t="s">
        <v>4</v>
      </c>
      <c r="L5" s="57"/>
      <c r="M5" s="21"/>
      <c r="N5" s="57" t="s">
        <v>5</v>
      </c>
      <c r="O5" s="57"/>
      <c r="P5" s="21"/>
      <c r="Q5" s="58" t="s">
        <v>6</v>
      </c>
      <c r="R5" s="58"/>
      <c r="T5" s="57" t="s">
        <v>37</v>
      </c>
      <c r="U5" s="57"/>
      <c r="V5" s="21"/>
      <c r="W5" s="57" t="s">
        <v>38</v>
      </c>
      <c r="X5" s="57"/>
      <c r="Y5" s="21"/>
      <c r="Z5" s="57" t="s">
        <v>39</v>
      </c>
      <c r="AA5" s="57"/>
      <c r="AB5" s="21"/>
      <c r="AC5" s="57" t="s">
        <v>52</v>
      </c>
      <c r="AD5" s="57"/>
      <c r="AE5" s="21"/>
      <c r="AF5" s="58" t="s">
        <v>51</v>
      </c>
      <c r="AG5" s="58"/>
      <c r="AI5" s="57" t="s">
        <v>40</v>
      </c>
      <c r="AJ5" s="57"/>
      <c r="AK5" s="21"/>
      <c r="AL5" s="57" t="s">
        <v>41</v>
      </c>
      <c r="AM5" s="57"/>
      <c r="AN5" s="21"/>
      <c r="AO5" s="57" t="s">
        <v>42</v>
      </c>
      <c r="AP5" s="57"/>
      <c r="AQ5" s="21"/>
      <c r="AR5" s="57" t="s">
        <v>43</v>
      </c>
      <c r="AS5" s="57"/>
      <c r="AT5" s="21"/>
      <c r="AU5" s="58" t="s">
        <v>44</v>
      </c>
      <c r="AV5" s="58"/>
      <c r="AX5" s="57" t="s">
        <v>46</v>
      </c>
      <c r="AY5" s="57"/>
      <c r="AZ5" s="21"/>
      <c r="BA5" s="57" t="s">
        <v>47</v>
      </c>
      <c r="BB5" s="57"/>
      <c r="BC5" s="21"/>
      <c r="BD5" s="57" t="s">
        <v>48</v>
      </c>
      <c r="BE5" s="57"/>
      <c r="BF5" s="21"/>
      <c r="BG5" s="57" t="s">
        <v>49</v>
      </c>
      <c r="BH5" s="57"/>
      <c r="BI5" s="21"/>
      <c r="BJ5" s="58" t="s">
        <v>50</v>
      </c>
      <c r="BK5" s="58"/>
      <c r="BM5" s="57" t="s">
        <v>157</v>
      </c>
      <c r="BN5" s="57"/>
      <c r="BO5" s="21"/>
      <c r="BP5" s="57" t="s">
        <v>149</v>
      </c>
      <c r="BQ5" s="57"/>
      <c r="BR5" s="21"/>
      <c r="BS5" s="57" t="s">
        <v>150</v>
      </c>
      <c r="BT5" s="57"/>
      <c r="BU5" s="21"/>
      <c r="BV5" s="57" t="s">
        <v>151</v>
      </c>
      <c r="BW5" s="57"/>
      <c r="BX5" s="21"/>
      <c r="BY5" s="58" t="s">
        <v>158</v>
      </c>
      <c r="BZ5" s="58"/>
      <c r="CB5" s="57" t="s">
        <v>168</v>
      </c>
      <c r="CC5" s="57"/>
      <c r="CD5" s="21"/>
      <c r="CE5" s="57" t="s">
        <v>169</v>
      </c>
      <c r="CF5" s="57"/>
      <c r="CG5" s="21"/>
      <c r="CH5" s="57" t="s">
        <v>170</v>
      </c>
      <c r="CI5" s="57"/>
      <c r="CJ5" s="21"/>
      <c r="CK5" s="57" t="s">
        <v>175</v>
      </c>
      <c r="CL5" s="57"/>
      <c r="CM5" s="21"/>
      <c r="CN5" s="58" t="s">
        <v>176</v>
      </c>
      <c r="CO5" s="58"/>
      <c r="CQ5" s="57" t="s">
        <v>190</v>
      </c>
      <c r="CR5" s="57"/>
      <c r="CS5" s="21"/>
      <c r="CT5" s="57" t="s">
        <v>191</v>
      </c>
      <c r="CU5" s="57"/>
      <c r="CV5" s="21"/>
      <c r="CW5" s="57" t="s">
        <v>192</v>
      </c>
      <c r="CX5" s="57"/>
      <c r="CY5" s="21"/>
      <c r="CZ5" s="57" t="s">
        <v>206</v>
      </c>
      <c r="DA5" s="57"/>
      <c r="DB5" s="21"/>
      <c r="DC5" s="58" t="s">
        <v>193</v>
      </c>
      <c r="DD5" s="58"/>
      <c r="DF5" s="57" t="s">
        <v>201</v>
      </c>
      <c r="DG5" s="57"/>
      <c r="DH5" s="21"/>
      <c r="DI5" s="57" t="s">
        <v>202</v>
      </c>
      <c r="DJ5" s="57"/>
      <c r="DK5" s="21"/>
      <c r="DL5" s="57" t="s">
        <v>203</v>
      </c>
      <c r="DM5" s="57"/>
      <c r="DN5" s="21"/>
      <c r="DO5" s="57" t="s">
        <v>204</v>
      </c>
      <c r="DP5" s="57"/>
      <c r="DQ5" s="21"/>
      <c r="DR5" s="58" t="s">
        <v>205</v>
      </c>
      <c r="DS5" s="58"/>
    </row>
    <row r="6" spans="1:123" s="8" customFormat="1" x14ac:dyDescent="0.2">
      <c r="E6" s="35"/>
      <c r="F6" s="35"/>
      <c r="G6" s="22"/>
      <c r="H6" s="35"/>
      <c r="I6" s="35"/>
      <c r="J6" s="22"/>
      <c r="K6" s="35"/>
      <c r="L6" s="35"/>
      <c r="M6" s="22"/>
      <c r="N6" s="35"/>
      <c r="O6" s="35"/>
      <c r="P6" s="22"/>
      <c r="Q6" s="35"/>
      <c r="R6" s="35"/>
      <c r="T6" s="35"/>
      <c r="U6" s="35"/>
      <c r="V6" s="22"/>
      <c r="W6" s="35"/>
      <c r="X6" s="35"/>
      <c r="Y6" s="22"/>
      <c r="Z6" s="35"/>
      <c r="AA6" s="35"/>
      <c r="AB6" s="22"/>
      <c r="AC6" s="35"/>
      <c r="AD6" s="35"/>
      <c r="AE6" s="22"/>
      <c r="AF6" s="35"/>
      <c r="AG6" s="35"/>
      <c r="AI6" s="35"/>
      <c r="AJ6" s="35"/>
      <c r="AK6" s="22"/>
      <c r="AL6" s="35"/>
      <c r="AM6" s="35"/>
      <c r="AN6" s="22"/>
      <c r="AO6" s="35"/>
      <c r="AP6" s="35"/>
      <c r="AQ6" s="22"/>
      <c r="AR6" s="35"/>
      <c r="AS6" s="35"/>
      <c r="AT6" s="22"/>
      <c r="AU6" s="35"/>
      <c r="AV6" s="35"/>
      <c r="AX6" s="35"/>
      <c r="AY6" s="35"/>
      <c r="AZ6" s="22"/>
      <c r="BA6" s="35"/>
      <c r="BB6" s="35"/>
      <c r="BC6" s="22"/>
      <c r="BD6" s="35"/>
      <c r="BE6" s="35"/>
      <c r="BF6" s="22"/>
      <c r="BG6" s="35"/>
      <c r="BH6" s="35"/>
      <c r="BI6" s="22"/>
      <c r="BJ6" s="35"/>
      <c r="BK6" s="35"/>
      <c r="BM6" s="35"/>
      <c r="BN6" s="35"/>
      <c r="BO6" s="22"/>
      <c r="BP6" s="35"/>
      <c r="BQ6" s="35"/>
      <c r="BR6" s="22"/>
      <c r="BS6" s="35"/>
      <c r="BT6" s="35"/>
      <c r="BU6" s="22"/>
      <c r="BV6" s="35"/>
      <c r="BW6" s="35"/>
      <c r="BX6" s="22"/>
      <c r="BY6" s="35"/>
      <c r="BZ6" s="35"/>
      <c r="CB6" s="35"/>
      <c r="CC6" s="35"/>
      <c r="CD6" s="22"/>
      <c r="CE6" s="35"/>
      <c r="CF6" s="35"/>
      <c r="CG6" s="22"/>
      <c r="CH6" s="35"/>
      <c r="CI6" s="35"/>
      <c r="CJ6" s="22"/>
      <c r="CK6" s="35"/>
      <c r="CL6" s="35"/>
      <c r="CM6" s="22"/>
      <c r="CN6" s="35"/>
      <c r="CO6" s="35"/>
      <c r="CQ6" s="35"/>
      <c r="CR6" s="35"/>
      <c r="CS6" s="22"/>
      <c r="CT6" s="35"/>
      <c r="CU6" s="35"/>
      <c r="CV6" s="22"/>
      <c r="CW6" s="35"/>
      <c r="CX6" s="35"/>
      <c r="CY6" s="22"/>
      <c r="CZ6" s="35"/>
      <c r="DA6" s="35"/>
      <c r="DB6" s="22"/>
      <c r="DC6" s="35"/>
      <c r="DD6" s="35"/>
      <c r="DF6" s="35"/>
      <c r="DG6" s="35"/>
      <c r="DH6" s="22"/>
      <c r="DI6" s="35"/>
      <c r="DJ6" s="35"/>
      <c r="DK6" s="22"/>
      <c r="DL6" s="35"/>
      <c r="DM6" s="35"/>
      <c r="DN6" s="22"/>
      <c r="DO6" s="35"/>
      <c r="DP6" s="35"/>
      <c r="DQ6" s="22"/>
      <c r="DR6" s="35"/>
      <c r="DS6" s="35"/>
    </row>
    <row r="7" spans="1:123" x14ac:dyDescent="0.2">
      <c r="A7" s="1" t="s">
        <v>63</v>
      </c>
      <c r="E7" s="38" t="s">
        <v>58</v>
      </c>
      <c r="F7" s="38" t="s">
        <v>59</v>
      </c>
      <c r="H7" s="38" t="s">
        <v>58</v>
      </c>
      <c r="I7" s="38" t="s">
        <v>59</v>
      </c>
      <c r="K7" s="38" t="s">
        <v>58</v>
      </c>
      <c r="L7" s="38" t="s">
        <v>59</v>
      </c>
      <c r="N7" s="38" t="s">
        <v>58</v>
      </c>
      <c r="O7" s="38" t="s">
        <v>59</v>
      </c>
      <c r="Q7" s="38" t="s">
        <v>58</v>
      </c>
      <c r="R7" s="38" t="s">
        <v>59</v>
      </c>
      <c r="T7" s="38" t="s">
        <v>58</v>
      </c>
      <c r="U7" s="38" t="s">
        <v>59</v>
      </c>
      <c r="W7" s="38" t="s">
        <v>58</v>
      </c>
      <c r="X7" s="38" t="s">
        <v>59</v>
      </c>
      <c r="Z7" s="38" t="s">
        <v>58</v>
      </c>
      <c r="AA7" s="38" t="s">
        <v>59</v>
      </c>
      <c r="AC7" s="38" t="s">
        <v>58</v>
      </c>
      <c r="AD7" s="38" t="s">
        <v>59</v>
      </c>
      <c r="AF7" s="38" t="s">
        <v>58</v>
      </c>
      <c r="AG7" s="38" t="s">
        <v>59</v>
      </c>
      <c r="AI7" s="38" t="s">
        <v>58</v>
      </c>
      <c r="AJ7" s="38" t="s">
        <v>59</v>
      </c>
      <c r="AL7" s="38" t="s">
        <v>58</v>
      </c>
      <c r="AM7" s="38" t="s">
        <v>59</v>
      </c>
      <c r="AO7" s="38" t="s">
        <v>58</v>
      </c>
      <c r="AP7" s="38" t="s">
        <v>59</v>
      </c>
      <c r="AR7" s="38" t="s">
        <v>58</v>
      </c>
      <c r="AS7" s="38" t="s">
        <v>59</v>
      </c>
      <c r="AU7" s="38" t="s">
        <v>58</v>
      </c>
      <c r="AV7" s="38" t="s">
        <v>59</v>
      </c>
      <c r="AX7" s="38" t="s">
        <v>58</v>
      </c>
      <c r="AY7" s="38" t="s">
        <v>59</v>
      </c>
      <c r="BA7" s="38" t="s">
        <v>58</v>
      </c>
      <c r="BB7" s="38" t="s">
        <v>59</v>
      </c>
      <c r="BD7" s="38" t="s">
        <v>58</v>
      </c>
      <c r="BE7" s="38" t="s">
        <v>59</v>
      </c>
      <c r="BG7" s="38" t="s">
        <v>58</v>
      </c>
      <c r="BH7" s="38" t="s">
        <v>59</v>
      </c>
      <c r="BJ7" s="38" t="s">
        <v>58</v>
      </c>
      <c r="BK7" s="38" t="s">
        <v>59</v>
      </c>
      <c r="BM7" s="38" t="s">
        <v>58</v>
      </c>
      <c r="BN7" s="38" t="s">
        <v>59</v>
      </c>
      <c r="BP7" s="38" t="s">
        <v>58</v>
      </c>
      <c r="BQ7" s="38" t="s">
        <v>59</v>
      </c>
      <c r="BS7" s="38" t="s">
        <v>58</v>
      </c>
      <c r="BT7" s="38" t="s">
        <v>59</v>
      </c>
      <c r="BV7" s="38" t="s">
        <v>58</v>
      </c>
      <c r="BW7" s="38" t="s">
        <v>59</v>
      </c>
      <c r="BY7" s="38" t="s">
        <v>58</v>
      </c>
      <c r="BZ7" s="38" t="s">
        <v>59</v>
      </c>
      <c r="CB7" s="38" t="s">
        <v>58</v>
      </c>
      <c r="CC7" s="38" t="s">
        <v>59</v>
      </c>
      <c r="CE7" s="38" t="s">
        <v>58</v>
      </c>
      <c r="CF7" s="38" t="s">
        <v>59</v>
      </c>
      <c r="CH7" s="38" t="s">
        <v>58</v>
      </c>
      <c r="CI7" s="38" t="s">
        <v>59</v>
      </c>
      <c r="CK7" s="38" t="s">
        <v>58</v>
      </c>
      <c r="CL7" s="38" t="s">
        <v>59</v>
      </c>
      <c r="CN7" s="38" t="s">
        <v>58</v>
      </c>
      <c r="CO7" s="38" t="s">
        <v>59</v>
      </c>
      <c r="CQ7" s="38" t="s">
        <v>58</v>
      </c>
      <c r="CR7" s="38" t="s">
        <v>59</v>
      </c>
      <c r="CT7" s="38" t="s">
        <v>58</v>
      </c>
      <c r="CU7" s="38" t="s">
        <v>59</v>
      </c>
      <c r="CW7" s="38" t="s">
        <v>58</v>
      </c>
      <c r="CX7" s="38" t="s">
        <v>59</v>
      </c>
      <c r="CZ7" s="38" t="s">
        <v>58</v>
      </c>
      <c r="DA7" s="38" t="s">
        <v>59</v>
      </c>
      <c r="DC7" s="38" t="s">
        <v>58</v>
      </c>
      <c r="DD7" s="38" t="s">
        <v>59</v>
      </c>
      <c r="DF7" s="38" t="s">
        <v>58</v>
      </c>
      <c r="DG7" s="38" t="s">
        <v>59</v>
      </c>
      <c r="DI7" s="38" t="s">
        <v>58</v>
      </c>
      <c r="DJ7" s="38" t="s">
        <v>59</v>
      </c>
      <c r="DL7" s="38" t="s">
        <v>58</v>
      </c>
      <c r="DM7" s="38" t="s">
        <v>59</v>
      </c>
      <c r="DO7" s="38"/>
      <c r="DP7" s="38"/>
      <c r="DR7" s="38"/>
      <c r="DS7" s="38"/>
    </row>
    <row r="8" spans="1:123" s="24" customFormat="1" x14ac:dyDescent="0.2">
      <c r="B8" s="24" t="s">
        <v>119</v>
      </c>
      <c r="E8" s="24">
        <v>1832066</v>
      </c>
      <c r="F8" s="28">
        <f>E8/E16</f>
        <v>0.80996342916965824</v>
      </c>
      <c r="H8" s="24">
        <v>1889598</v>
      </c>
      <c r="I8" s="28">
        <f>H8/H16</f>
        <v>0.80687225647770167</v>
      </c>
      <c r="K8" s="24">
        <v>1688469</v>
      </c>
      <c r="L8" s="28">
        <f>K8/K16</f>
        <v>0.7967749957647694</v>
      </c>
      <c r="N8" s="24">
        <v>1799884</v>
      </c>
      <c r="O8" s="28">
        <f>N8/N16</f>
        <v>0.79901342118312213</v>
      </c>
      <c r="Q8" s="24">
        <v>7210017</v>
      </c>
      <c r="R8" s="28">
        <f>Q8/Q16</f>
        <v>0.803294927533164</v>
      </c>
      <c r="T8" s="24">
        <v>2071540</v>
      </c>
      <c r="U8" s="28">
        <f>T8/T16</f>
        <v>0.77313087137985614</v>
      </c>
      <c r="W8" s="24">
        <v>2014983</v>
      </c>
      <c r="X8" s="28">
        <f>W8/W16</f>
        <v>0.77864139648097486</v>
      </c>
      <c r="Z8" s="24">
        <v>1766690</v>
      </c>
      <c r="AA8" s="28">
        <f>Z8/Z16</f>
        <v>0.78154348966650944</v>
      </c>
      <c r="AC8" s="24">
        <v>1973698</v>
      </c>
      <c r="AD8" s="28">
        <f>AC8/AC16</f>
        <v>0.79718028038058864</v>
      </c>
      <c r="AF8" s="24">
        <v>7826911</v>
      </c>
      <c r="AG8" s="28">
        <f>AF8/AF16</f>
        <v>0.7824095108170569</v>
      </c>
      <c r="AI8" s="24">
        <v>2188907</v>
      </c>
      <c r="AJ8" s="28">
        <f>AI8/AI16</f>
        <v>0.78896021510802261</v>
      </c>
      <c r="AL8" s="24">
        <v>2191964</v>
      </c>
      <c r="AM8" s="28">
        <f>AL8/AL16</f>
        <v>0.79476461963071843</v>
      </c>
      <c r="AO8" s="24">
        <v>2068742</v>
      </c>
      <c r="AP8" s="28">
        <f>AO8/AO16</f>
        <v>0.79492216168942598</v>
      </c>
      <c r="AR8" s="24">
        <v>2297352</v>
      </c>
      <c r="AS8" s="28">
        <f>AR8/AR16</f>
        <v>0.81237420207160815</v>
      </c>
      <c r="AU8" s="24">
        <v>8746965</v>
      </c>
      <c r="AV8" s="28">
        <f>AU8/AU16</f>
        <v>0.797875600963183</v>
      </c>
      <c r="AX8" s="24">
        <v>2701755</v>
      </c>
      <c r="AY8" s="28">
        <f>AX8/AX16</f>
        <v>0.81597961013658171</v>
      </c>
      <c r="BA8" s="24">
        <v>2639523</v>
      </c>
      <c r="BB8" s="28">
        <f>BA8/BA16</f>
        <v>0.81327398236108983</v>
      </c>
      <c r="BD8" s="24">
        <v>2396840</v>
      </c>
      <c r="BE8" s="28">
        <f>BD8/BD16</f>
        <v>0.81486173113751348</v>
      </c>
      <c r="BG8" s="24">
        <v>2568138</v>
      </c>
      <c r="BH8" s="28">
        <f>BG8/BG16</f>
        <v>0.83481851312119204</v>
      </c>
      <c r="BJ8" s="24">
        <v>10306256</v>
      </c>
      <c r="BK8" s="28">
        <f>BJ8/BJ16</f>
        <v>0.81962867273953011</v>
      </c>
      <c r="BM8" s="24">
        <v>3060341</v>
      </c>
      <c r="BN8" s="28">
        <f>BM8/BM16</f>
        <v>0.81604828120983541</v>
      </c>
      <c r="BP8" s="24">
        <v>2920165</v>
      </c>
      <c r="BQ8" s="28">
        <f>BP8/BP16</f>
        <v>0.81133859414079934</v>
      </c>
      <c r="BS8" s="24">
        <v>2794515</v>
      </c>
      <c r="BT8" s="28">
        <f>BS8/BS16</f>
        <v>0.82065285381268949</v>
      </c>
      <c r="BV8" s="24">
        <v>2899499</v>
      </c>
      <c r="BW8" s="28">
        <f>BV8/BV16</f>
        <v>0.82510617251910312</v>
      </c>
      <c r="BY8" s="24">
        <v>11674520</v>
      </c>
      <c r="BZ8" s="28">
        <f>BY8/BY16</f>
        <v>0.81818994785515387</v>
      </c>
      <c r="CB8" s="24">
        <v>3292658</v>
      </c>
      <c r="CC8" s="28">
        <f>CB8/CB16</f>
        <v>0.82011204297604312</v>
      </c>
      <c r="CE8" s="24">
        <v>3150220</v>
      </c>
      <c r="CF8" s="28">
        <f>CE8/CE16</f>
        <v>0.8108855976954954</v>
      </c>
      <c r="CH8" s="24">
        <v>2908963</v>
      </c>
      <c r="CI8" s="28">
        <f>CH8/CH16</f>
        <v>0.8207975070462793</v>
      </c>
      <c r="CK8" s="24">
        <v>3087560</v>
      </c>
      <c r="CL8" s="28">
        <f>CK8/CK16</f>
        <v>0.83316850185047509</v>
      </c>
      <c r="CN8" s="24">
        <v>12439401</v>
      </c>
      <c r="CO8" s="28">
        <f>CN8/CN16</f>
        <v>0.82110018861790768</v>
      </c>
      <c r="CQ8" s="24">
        <v>3428974</v>
      </c>
      <c r="CR8" s="28">
        <f>CQ8/CQ16</f>
        <v>0.83098721253901109</v>
      </c>
      <c r="CT8" s="24">
        <v>3300814</v>
      </c>
      <c r="CU8" s="28">
        <f>CT8/CT16</f>
        <v>0.82577163088204686</v>
      </c>
      <c r="CW8" s="24">
        <v>3090613</v>
      </c>
      <c r="CX8" s="28">
        <f>CW8/CW16</f>
        <v>0.83495689883410185</v>
      </c>
      <c r="CZ8" s="24">
        <v>3450261</v>
      </c>
      <c r="DA8" s="28">
        <f>CZ8/CZ16</f>
        <v>0.85192471036750983</v>
      </c>
      <c r="DC8" s="24">
        <v>13270662</v>
      </c>
      <c r="DD8" s="28">
        <f>DC8/DC16</f>
        <v>0.83594099898973984</v>
      </c>
      <c r="DF8" s="24">
        <v>3843373.3679999998</v>
      </c>
      <c r="DG8" s="28">
        <f>DF8/DF16</f>
        <v>0.84612309882699266</v>
      </c>
      <c r="DI8" s="24">
        <v>3694200</v>
      </c>
      <c r="DJ8" s="28">
        <f>DI8/DI16</f>
        <v>0.84214797658344431</v>
      </c>
      <c r="DL8" s="24">
        <v>3425540</v>
      </c>
      <c r="DM8" s="28">
        <f>DL8/DL16</f>
        <v>0.83407008054751175</v>
      </c>
      <c r="DP8" s="28"/>
      <c r="DS8" s="28"/>
    </row>
    <row r="9" spans="1:123" x14ac:dyDescent="0.2">
      <c r="B9" s="1" t="s">
        <v>120</v>
      </c>
      <c r="E9" s="4">
        <v>316489</v>
      </c>
      <c r="F9" s="28">
        <f>E9/E16</f>
        <v>0.13992100488436332</v>
      </c>
      <c r="G9" s="4"/>
      <c r="H9" s="4">
        <v>329889</v>
      </c>
      <c r="I9" s="28">
        <f>H9/H16</f>
        <v>0.14086503151314328</v>
      </c>
      <c r="J9" s="4"/>
      <c r="K9" s="4">
        <v>320117</v>
      </c>
      <c r="L9" s="28">
        <f>K9/K16</f>
        <v>0.15106064803039362</v>
      </c>
      <c r="M9" s="4"/>
      <c r="N9" s="4">
        <v>335208</v>
      </c>
      <c r="O9" s="28">
        <f>N9/N16</f>
        <v>0.14880719584592786</v>
      </c>
      <c r="P9" s="4"/>
      <c r="Q9" s="4">
        <v>1301703</v>
      </c>
      <c r="R9" s="28">
        <f>Q9/Q16</f>
        <v>0.14502759383989</v>
      </c>
      <c r="T9" s="4">
        <v>477794</v>
      </c>
      <c r="U9" s="28">
        <f>T9/T16</f>
        <v>0.17832013456658669</v>
      </c>
      <c r="V9" s="4"/>
      <c r="W9" s="4">
        <v>457870</v>
      </c>
      <c r="X9" s="28">
        <f>W9/W16</f>
        <v>0.17693277621039183</v>
      </c>
      <c r="Y9" s="4"/>
      <c r="Z9" s="4">
        <v>390262</v>
      </c>
      <c r="AA9" s="28">
        <f>Z9/Z16</f>
        <v>0.17264303605286233</v>
      </c>
      <c r="AB9" s="4"/>
      <c r="AC9" s="4">
        <v>395721</v>
      </c>
      <c r="AD9" s="28">
        <f>AC9/AC16</f>
        <v>0.15983244535510849</v>
      </c>
      <c r="AE9" s="4"/>
      <c r="AF9" s="4">
        <v>1721647</v>
      </c>
      <c r="AG9" s="28">
        <f>AF9/AF16</f>
        <v>0.17210276021659804</v>
      </c>
      <c r="AI9" s="4">
        <v>467795</v>
      </c>
      <c r="AJ9" s="28">
        <f>AI9/AI16</f>
        <v>0.16861001578708343</v>
      </c>
      <c r="AK9" s="4"/>
      <c r="AL9" s="4">
        <v>437050</v>
      </c>
      <c r="AM9" s="28">
        <f>AL9/AL16</f>
        <v>0.15846605008549661</v>
      </c>
      <c r="AN9" s="4"/>
      <c r="AO9" s="4">
        <v>427650</v>
      </c>
      <c r="AP9" s="28">
        <f>AO9/AO16</f>
        <v>0.16432617622037116</v>
      </c>
      <c r="AQ9" s="4"/>
      <c r="AR9" s="4">
        <v>427060</v>
      </c>
      <c r="AS9" s="28">
        <f>AR9/AR16</f>
        <v>0.15101409219688622</v>
      </c>
      <c r="AT9" s="4"/>
      <c r="AU9" s="4">
        <v>1759555</v>
      </c>
      <c r="AV9" s="28">
        <f>AU9/AU16</f>
        <v>0.16050207163887972</v>
      </c>
      <c r="AX9" s="4">
        <v>490659</v>
      </c>
      <c r="AY9" s="28">
        <f>AX9/AX16</f>
        <v>0.1481880257573337</v>
      </c>
      <c r="AZ9" s="4"/>
      <c r="BA9" s="4">
        <v>474907</v>
      </c>
      <c r="BB9" s="28">
        <f>BA9/BA16</f>
        <v>0.146325494091606</v>
      </c>
      <c r="BD9" s="4">
        <v>437272</v>
      </c>
      <c r="BE9" s="28">
        <f>BD9/BD16</f>
        <v>0.14866082796430416</v>
      </c>
      <c r="BG9" s="4">
        <v>420587</v>
      </c>
      <c r="BH9" s="28">
        <f>BG9/BG16</f>
        <v>0.13671921601491149</v>
      </c>
      <c r="BJ9" s="4">
        <v>1823425</v>
      </c>
      <c r="BK9" s="28">
        <f>BJ9/BJ16</f>
        <v>0.14501205991681923</v>
      </c>
      <c r="BM9" s="4">
        <v>545245</v>
      </c>
      <c r="BN9" s="28">
        <f>BM9/BM16</f>
        <v>0.14539106756020218</v>
      </c>
      <c r="BO9" s="4"/>
      <c r="BP9" s="4">
        <v>530270</v>
      </c>
      <c r="BQ9" s="28">
        <f>BP9/BP16</f>
        <v>0.14733020781875053</v>
      </c>
      <c r="BS9" s="4">
        <v>481676</v>
      </c>
      <c r="BT9" s="28">
        <f>BS9/BS16</f>
        <v>0.14145165941606364</v>
      </c>
      <c r="BV9" s="4">
        <v>491942</v>
      </c>
      <c r="BW9" s="28">
        <f>BV9/BV16</f>
        <v>0.13999121252374724</v>
      </c>
      <c r="BY9" s="4">
        <v>2049133</v>
      </c>
      <c r="BZ9" s="28">
        <f>BY9/BY16</f>
        <v>0.1436101888915583</v>
      </c>
      <c r="CB9" s="4">
        <v>576625</v>
      </c>
      <c r="CC9" s="28">
        <f>CB9/CB16</f>
        <v>0.1436216900695611</v>
      </c>
      <c r="CD9" s="4"/>
      <c r="CE9" s="4">
        <v>591774</v>
      </c>
      <c r="CF9" s="28">
        <f>CE9/CE16</f>
        <v>0.15232619108844908</v>
      </c>
      <c r="CH9" s="4">
        <v>513796</v>
      </c>
      <c r="CI9" s="28">
        <f>CH9/CH16</f>
        <v>0.14497347540355451</v>
      </c>
      <c r="CK9" s="4">
        <v>506072</v>
      </c>
      <c r="CL9" s="28">
        <f>CK9/CK16</f>
        <v>0.13656196157110265</v>
      </c>
      <c r="CN9" s="4">
        <v>2188267</v>
      </c>
      <c r="CO9" s="28">
        <f>CN9/CN16</f>
        <v>0.14444316462234338</v>
      </c>
      <c r="CQ9" s="4">
        <v>567741</v>
      </c>
      <c r="CR9" s="28">
        <f>CQ9/CQ16</f>
        <v>0.13758795226622036</v>
      </c>
      <c r="CS9" s="4"/>
      <c r="CT9" s="4">
        <v>560402</v>
      </c>
      <c r="CU9" s="28">
        <f>CT9/CT16</f>
        <v>0.14019695550538772</v>
      </c>
      <c r="CW9" s="4">
        <v>488385</v>
      </c>
      <c r="CX9" s="28">
        <f>CW9/CW16</f>
        <v>0.13194160027059124</v>
      </c>
      <c r="CZ9" s="4">
        <v>465936</v>
      </c>
      <c r="DA9" s="28">
        <f>CZ9/CZ16</f>
        <v>0.11504706219320684</v>
      </c>
      <c r="DC9" s="4">
        <v>2082464</v>
      </c>
      <c r="DD9" s="28">
        <f>DC9/DC16</f>
        <v>0.13117785959134287</v>
      </c>
      <c r="DF9" s="4">
        <v>553390.15700000001</v>
      </c>
      <c r="DG9" s="28">
        <f>DF9/DF16</f>
        <v>0.12182948406723623</v>
      </c>
      <c r="DH9" s="4"/>
      <c r="DI9" s="4">
        <v>547767</v>
      </c>
      <c r="DJ9" s="28">
        <f>DI9/DI16</f>
        <v>0.12487165575474624</v>
      </c>
      <c r="DK9" s="4"/>
      <c r="DL9" s="4">
        <v>552755</v>
      </c>
      <c r="DM9" s="28">
        <f>DL9/DL16</f>
        <v>0.13458795032988663</v>
      </c>
      <c r="DO9" s="4"/>
      <c r="DP9" s="28"/>
      <c r="DR9" s="4"/>
      <c r="DS9" s="28"/>
    </row>
    <row r="10" spans="1:123" x14ac:dyDescent="0.2">
      <c r="B10" s="1" t="s">
        <v>121</v>
      </c>
      <c r="E10" s="4"/>
      <c r="F10" s="28"/>
      <c r="G10" s="4"/>
      <c r="H10" s="4"/>
      <c r="I10" s="28"/>
      <c r="J10" s="4"/>
      <c r="K10" s="4"/>
      <c r="L10" s="28"/>
      <c r="M10" s="4"/>
      <c r="N10" s="4"/>
      <c r="O10" s="28"/>
      <c r="P10" s="4"/>
      <c r="Q10" s="4"/>
      <c r="R10" s="28"/>
      <c r="T10" s="4"/>
      <c r="U10" s="28"/>
      <c r="V10" s="4"/>
      <c r="W10" s="4"/>
      <c r="X10" s="28"/>
      <c r="Y10" s="4"/>
      <c r="Z10" s="4"/>
      <c r="AA10" s="28"/>
      <c r="AB10" s="4"/>
      <c r="AC10" s="4"/>
      <c r="AD10" s="28"/>
      <c r="AE10" s="4"/>
      <c r="AF10" s="4"/>
      <c r="AG10" s="28"/>
      <c r="AI10" s="4"/>
      <c r="AJ10" s="28"/>
      <c r="AK10" s="4"/>
      <c r="AL10" s="4"/>
      <c r="AM10" s="28"/>
      <c r="AN10" s="4"/>
      <c r="AO10" s="4"/>
      <c r="AP10" s="28"/>
      <c r="AQ10" s="4"/>
      <c r="AR10" s="4"/>
      <c r="AS10" s="28"/>
      <c r="AT10" s="4"/>
      <c r="AU10" s="4"/>
      <c r="AV10" s="28"/>
      <c r="AX10" s="4"/>
      <c r="AY10" s="28"/>
      <c r="AZ10" s="4"/>
      <c r="BA10" s="4"/>
      <c r="BB10" s="28"/>
      <c r="BD10" s="4"/>
      <c r="BE10" s="28"/>
      <c r="BG10" s="4"/>
      <c r="BH10" s="28"/>
      <c r="BJ10" s="4"/>
      <c r="BK10" s="28"/>
      <c r="BM10" s="4"/>
      <c r="BN10" s="28"/>
      <c r="BO10" s="4"/>
      <c r="BP10" s="4"/>
      <c r="BQ10" s="28"/>
      <c r="BS10" s="4"/>
      <c r="BT10" s="28"/>
      <c r="BV10" s="4"/>
      <c r="BW10" s="28"/>
      <c r="BY10" s="4"/>
      <c r="BZ10" s="28"/>
      <c r="CB10" s="4"/>
      <c r="CC10" s="28"/>
      <c r="CD10" s="4"/>
      <c r="CE10" s="4"/>
      <c r="CF10" s="28"/>
      <c r="CH10" s="4"/>
      <c r="CI10" s="28"/>
      <c r="CK10" s="4"/>
      <c r="CL10" s="28"/>
      <c r="CN10" s="4"/>
      <c r="CO10" s="28"/>
      <c r="CQ10" s="4"/>
      <c r="CR10" s="28"/>
      <c r="CS10" s="4"/>
      <c r="CT10" s="4"/>
      <c r="CU10" s="28"/>
      <c r="CW10" s="4"/>
      <c r="CX10" s="28"/>
      <c r="CZ10" s="4"/>
      <c r="DA10" s="28"/>
      <c r="DC10" s="4"/>
      <c r="DD10" s="28"/>
      <c r="DF10" s="4"/>
      <c r="DG10" s="28"/>
      <c r="DH10" s="4"/>
      <c r="DI10" s="4"/>
      <c r="DJ10" s="28"/>
      <c r="DK10" s="4"/>
      <c r="DL10" s="4"/>
      <c r="DM10" s="28"/>
      <c r="DO10" s="4"/>
      <c r="DP10" s="28"/>
      <c r="DR10" s="4"/>
      <c r="DS10" s="28"/>
    </row>
    <row r="11" spans="1:123" x14ac:dyDescent="0.2">
      <c r="C11" s="1" t="s">
        <v>122</v>
      </c>
      <c r="E11" s="4">
        <v>41368</v>
      </c>
      <c r="F11" s="28"/>
      <c r="G11" s="4"/>
      <c r="H11" s="4">
        <v>45507</v>
      </c>
      <c r="I11" s="28"/>
      <c r="J11" s="4"/>
      <c r="K11" s="4">
        <v>39680</v>
      </c>
      <c r="L11" s="28"/>
      <c r="M11" s="4"/>
      <c r="N11" s="4">
        <v>47278</v>
      </c>
      <c r="O11" s="28"/>
      <c r="P11" s="4"/>
      <c r="Q11" s="4">
        <v>173833</v>
      </c>
      <c r="R11" s="28"/>
      <c r="T11" s="4">
        <v>46338</v>
      </c>
      <c r="U11" s="28"/>
      <c r="V11" s="4"/>
      <c r="W11" s="4">
        <v>44941</v>
      </c>
      <c r="X11" s="28"/>
      <c r="Y11" s="4"/>
      <c r="Z11" s="4">
        <v>39760</v>
      </c>
      <c r="AA11" s="28"/>
      <c r="AB11" s="4"/>
      <c r="AC11" s="4">
        <v>48561</v>
      </c>
      <c r="AD11" s="28"/>
      <c r="AE11" s="4"/>
      <c r="AF11" s="4">
        <v>179600</v>
      </c>
      <c r="AG11" s="28"/>
      <c r="AI11" s="4">
        <v>51277</v>
      </c>
      <c r="AJ11" s="28"/>
      <c r="AK11" s="4"/>
      <c r="AL11" s="4">
        <v>52879</v>
      </c>
      <c r="AM11" s="28"/>
      <c r="AN11" s="4"/>
      <c r="AO11" s="4">
        <v>48592</v>
      </c>
      <c r="AP11" s="28"/>
      <c r="AQ11" s="4"/>
      <c r="AR11" s="4">
        <v>50132</v>
      </c>
      <c r="AS11" s="28"/>
      <c r="AT11" s="4"/>
      <c r="AU11" s="4">
        <v>202880</v>
      </c>
      <c r="AV11" s="28"/>
      <c r="AX11" s="4">
        <v>64624</v>
      </c>
      <c r="AY11" s="28"/>
      <c r="AZ11" s="4"/>
      <c r="BA11" s="4">
        <v>65012</v>
      </c>
      <c r="BB11" s="28"/>
      <c r="BD11" s="4">
        <v>48754</v>
      </c>
      <c r="BE11" s="28"/>
      <c r="BG11" s="4">
        <v>30515</v>
      </c>
      <c r="BH11" s="28"/>
      <c r="BJ11" s="4">
        <v>208906</v>
      </c>
      <c r="BK11" s="28"/>
      <c r="BM11" s="4">
        <v>63727</v>
      </c>
      <c r="BN11" s="28"/>
      <c r="BO11" s="4"/>
      <c r="BP11" s="4">
        <v>62961</v>
      </c>
      <c r="BQ11" s="28"/>
      <c r="BS11" s="4">
        <v>61661</v>
      </c>
      <c r="BT11" s="28"/>
      <c r="BV11" s="4">
        <v>67343</v>
      </c>
      <c r="BW11" s="28"/>
      <c r="BY11" s="4">
        <v>255693</v>
      </c>
      <c r="BZ11" s="28"/>
      <c r="CB11" s="4">
        <v>71705</v>
      </c>
      <c r="CC11" s="28"/>
      <c r="CD11" s="4"/>
      <c r="CE11" s="4">
        <v>64071</v>
      </c>
      <c r="CF11" s="28"/>
      <c r="CH11" s="4">
        <v>61600</v>
      </c>
      <c r="CI11" s="28"/>
      <c r="CK11" s="4">
        <v>70396</v>
      </c>
      <c r="CL11" s="28"/>
      <c r="CN11" s="4">
        <v>267773</v>
      </c>
      <c r="CO11" s="28"/>
      <c r="CQ11" s="4">
        <v>76248</v>
      </c>
      <c r="CR11" s="28"/>
      <c r="CS11" s="4"/>
      <c r="CT11" s="4">
        <v>75056</v>
      </c>
      <c r="CU11" s="28"/>
      <c r="CW11" s="4">
        <v>70205</v>
      </c>
      <c r="CX11" s="28"/>
      <c r="CZ11" s="4">
        <v>84003</v>
      </c>
      <c r="DA11" s="28"/>
      <c r="DC11" s="4">
        <v>305512</v>
      </c>
      <c r="DD11" s="28"/>
      <c r="DF11" s="4">
        <v>91894.683000000005</v>
      </c>
      <c r="DG11" s="28"/>
      <c r="DH11" s="4"/>
      <c r="DI11" s="4">
        <v>85524</v>
      </c>
      <c r="DJ11" s="28"/>
      <c r="DK11" s="4"/>
      <c r="DL11" s="4">
        <v>77053</v>
      </c>
      <c r="DM11" s="28"/>
      <c r="DO11" s="4"/>
      <c r="DP11" s="28"/>
      <c r="DR11" s="4"/>
      <c r="DS11" s="28"/>
    </row>
    <row r="12" spans="1:123" s="12" customFormat="1" x14ac:dyDescent="0.2">
      <c r="C12" s="12" t="s">
        <v>123</v>
      </c>
      <c r="E12" s="14">
        <v>-5251</v>
      </c>
      <c r="F12" s="39"/>
      <c r="G12" s="14"/>
      <c r="H12" s="14">
        <v>-1250</v>
      </c>
      <c r="I12" s="39"/>
      <c r="J12" s="14"/>
      <c r="K12" s="14">
        <v>-709</v>
      </c>
      <c r="L12" s="39"/>
      <c r="M12" s="14"/>
      <c r="N12" s="14">
        <v>-1928</v>
      </c>
      <c r="O12" s="39"/>
      <c r="P12" s="14"/>
      <c r="Q12" s="14">
        <v>-9138</v>
      </c>
      <c r="R12" s="39"/>
      <c r="T12" s="14">
        <v>-3304</v>
      </c>
      <c r="U12" s="39"/>
      <c r="V12" s="14"/>
      <c r="W12" s="14">
        <v>-2855</v>
      </c>
      <c r="X12" s="39"/>
      <c r="Y12" s="14"/>
      <c r="Z12" s="14">
        <v>-5648</v>
      </c>
      <c r="AA12" s="39"/>
      <c r="AB12" s="14"/>
      <c r="AC12" s="14">
        <v>-11961</v>
      </c>
      <c r="AD12" s="39"/>
      <c r="AE12" s="14"/>
      <c r="AF12" s="14">
        <v>-23768</v>
      </c>
      <c r="AG12" s="39"/>
      <c r="AI12" s="14">
        <v>-13824</v>
      </c>
      <c r="AJ12" s="39"/>
      <c r="AK12" s="14"/>
      <c r="AL12" s="14">
        <v>-12055</v>
      </c>
      <c r="AM12" s="39"/>
      <c r="AN12" s="14"/>
      <c r="AO12" s="14">
        <v>-13059</v>
      </c>
      <c r="AP12" s="39"/>
      <c r="AQ12" s="14"/>
      <c r="AR12" s="14">
        <v>-17144</v>
      </c>
      <c r="AS12" s="39"/>
      <c r="AT12" s="14"/>
      <c r="AU12" s="14">
        <v>-56082</v>
      </c>
      <c r="AV12" s="39"/>
      <c r="AX12" s="14">
        <v>-25763</v>
      </c>
      <c r="AY12" s="39"/>
      <c r="AZ12" s="14"/>
      <c r="BA12" s="14">
        <v>-21209</v>
      </c>
      <c r="BB12" s="39"/>
      <c r="BD12" s="14">
        <v>-17670</v>
      </c>
      <c r="BE12" s="39"/>
      <c r="BG12" s="14">
        <v>-18124</v>
      </c>
      <c r="BH12" s="39"/>
      <c r="BJ12" s="14">
        <v>-82767</v>
      </c>
      <c r="BK12" s="39"/>
      <c r="BM12" s="14">
        <v>-17209</v>
      </c>
      <c r="BN12" s="39"/>
      <c r="BO12" s="14"/>
      <c r="BP12" s="14">
        <v>-12742</v>
      </c>
      <c r="BQ12" s="39"/>
      <c r="BS12" s="14">
        <v>-15166</v>
      </c>
      <c r="BT12" s="39"/>
      <c r="BV12" s="14">
        <v>-18617</v>
      </c>
      <c r="BW12" s="39"/>
      <c r="BY12" s="14">
        <v>-63734</v>
      </c>
      <c r="BZ12" s="39"/>
      <c r="CB12" s="14">
        <v>-17008</v>
      </c>
      <c r="CC12" s="39"/>
      <c r="CD12" s="14"/>
      <c r="CE12" s="14">
        <v>-14539</v>
      </c>
      <c r="CF12" s="39"/>
      <c r="CH12" s="14">
        <v>-13589</v>
      </c>
      <c r="CI12" s="39"/>
      <c r="CK12" s="14">
        <v>-16379</v>
      </c>
      <c r="CL12" s="39"/>
      <c r="CN12" s="14">
        <v>-61515</v>
      </c>
      <c r="CO12" s="39"/>
      <c r="CQ12" s="14">
        <v>-11939</v>
      </c>
      <c r="CR12" s="39"/>
      <c r="CS12" s="14"/>
      <c r="CT12" s="14">
        <v>-8251</v>
      </c>
      <c r="CU12" s="39"/>
      <c r="CW12" s="14">
        <v>-9115</v>
      </c>
      <c r="CX12" s="39"/>
      <c r="CZ12" s="14">
        <v>-9111</v>
      </c>
      <c r="DA12" s="39"/>
      <c r="DC12" s="14">
        <v>-38416</v>
      </c>
      <c r="DD12" s="39"/>
      <c r="DF12" s="14">
        <v>-11442.424999999999</v>
      </c>
      <c r="DG12" s="39"/>
      <c r="DH12" s="14"/>
      <c r="DI12" s="14">
        <v>-11578</v>
      </c>
      <c r="DJ12" s="39"/>
      <c r="DK12" s="14"/>
      <c r="DL12" s="14">
        <v>-12822</v>
      </c>
      <c r="DM12" s="39"/>
      <c r="DO12" s="14"/>
      <c r="DP12" s="39"/>
      <c r="DR12" s="14"/>
      <c r="DS12" s="39"/>
    </row>
    <row r="13" spans="1:123" x14ac:dyDescent="0.2">
      <c r="C13" s="1" t="s">
        <v>186</v>
      </c>
      <c r="E13" s="5">
        <f>50898+26342</f>
        <v>77240</v>
      </c>
      <c r="F13" s="28"/>
      <c r="G13" s="4"/>
      <c r="H13" s="5">
        <f>51057+27079</f>
        <v>78136</v>
      </c>
      <c r="I13" s="28"/>
      <c r="J13" s="4"/>
      <c r="K13" s="5">
        <f>47671+23901</f>
        <v>71572</v>
      </c>
      <c r="L13" s="28"/>
      <c r="M13" s="4"/>
      <c r="N13" s="5">
        <f>48906+23285</f>
        <v>72191</v>
      </c>
      <c r="O13" s="28"/>
      <c r="P13" s="4"/>
      <c r="Q13" s="5">
        <f>198532+100607</f>
        <v>299139</v>
      </c>
      <c r="R13" s="28"/>
      <c r="T13" s="5">
        <f>61886+25163</f>
        <v>87049</v>
      </c>
      <c r="U13" s="28"/>
      <c r="V13" s="4"/>
      <c r="W13" s="5">
        <f>46853+26027</f>
        <v>72880</v>
      </c>
      <c r="X13" s="28"/>
      <c r="Y13" s="4"/>
      <c r="Z13" s="5">
        <f>45997+23453</f>
        <v>69450</v>
      </c>
      <c r="AA13" s="28"/>
      <c r="AB13" s="4"/>
      <c r="AC13" s="5">
        <f>45848+23982</f>
        <v>69830</v>
      </c>
      <c r="AD13" s="28"/>
      <c r="AE13" s="4"/>
      <c r="AF13" s="5">
        <f>200584+98625</f>
        <v>299209</v>
      </c>
      <c r="AG13" s="28"/>
      <c r="AI13" s="5">
        <f>55457+24808</f>
        <v>80265</v>
      </c>
      <c r="AJ13" s="28"/>
      <c r="AK13" s="4"/>
      <c r="AL13" s="5">
        <f>61393+26773</f>
        <v>88166</v>
      </c>
      <c r="AM13" s="28"/>
      <c r="AN13" s="4"/>
      <c r="AO13" s="5">
        <f>45693+24828</f>
        <v>70521</v>
      </c>
      <c r="AP13" s="28"/>
      <c r="AQ13" s="4"/>
      <c r="AR13" s="5">
        <f>45183+25365</f>
        <v>70548</v>
      </c>
      <c r="AS13" s="28"/>
      <c r="AT13" s="4"/>
      <c r="AU13" s="5">
        <f>207726+101774</f>
        <v>309500</v>
      </c>
      <c r="AV13" s="28"/>
      <c r="AX13" s="5">
        <f>52427+27355</f>
        <v>79782</v>
      </c>
      <c r="AY13" s="28"/>
      <c r="AZ13" s="4"/>
      <c r="BA13" s="5">
        <f>60002+27317</f>
        <v>87319</v>
      </c>
      <c r="BB13" s="28"/>
      <c r="BC13" s="4"/>
      <c r="BD13" s="5">
        <f>50073+26138</f>
        <v>76211</v>
      </c>
      <c r="BE13" s="28"/>
      <c r="BF13" s="4"/>
      <c r="BG13" s="5">
        <f>49534+25633</f>
        <v>75167</v>
      </c>
      <c r="BH13" s="28"/>
      <c r="BI13" s="4"/>
      <c r="BJ13" s="5">
        <f>212036+106443</f>
        <v>318479</v>
      </c>
      <c r="BK13" s="28"/>
      <c r="BM13" s="5">
        <f>69789+28303</f>
        <v>98092</v>
      </c>
      <c r="BN13" s="28"/>
      <c r="BO13" s="4"/>
      <c r="BP13" s="5">
        <f>69944+28596</f>
        <v>98540</v>
      </c>
      <c r="BQ13" s="28"/>
      <c r="BR13" s="4"/>
      <c r="BS13" s="5">
        <f>54561+27987</f>
        <v>82548</v>
      </c>
      <c r="BT13" s="28"/>
      <c r="BU13" s="4"/>
      <c r="BV13" s="5">
        <f>45710+28215</f>
        <v>73925</v>
      </c>
      <c r="BW13" s="28"/>
      <c r="BX13" s="4"/>
      <c r="BY13" s="5">
        <f>240004+113101</f>
        <v>353105</v>
      </c>
      <c r="BZ13" s="28"/>
      <c r="CB13" s="5">
        <f>60048+30860</f>
        <v>90908</v>
      </c>
      <c r="CC13" s="28"/>
      <c r="CD13" s="4"/>
      <c r="CE13" s="5">
        <f>60493+32894</f>
        <v>93387</v>
      </c>
      <c r="CF13" s="28"/>
      <c r="CG13" s="4"/>
      <c r="CH13" s="5">
        <f>42291+31008</f>
        <v>73299</v>
      </c>
      <c r="CI13" s="28"/>
      <c r="CJ13" s="4"/>
      <c r="CK13" s="5">
        <v>58156</v>
      </c>
      <c r="CL13" s="28"/>
      <c r="CM13" s="4"/>
      <c r="CN13" s="5">
        <v>315749</v>
      </c>
      <c r="CO13" s="28"/>
      <c r="CQ13" s="5">
        <v>65362</v>
      </c>
      <c r="CR13" s="28"/>
      <c r="CS13" s="4"/>
      <c r="CT13" s="5">
        <v>69227</v>
      </c>
      <c r="CU13" s="28"/>
      <c r="CV13" s="4"/>
      <c r="CW13" s="5">
        <v>61436</v>
      </c>
      <c r="CX13" s="28"/>
      <c r="CY13" s="4"/>
      <c r="CZ13" s="5">
        <v>58871</v>
      </c>
      <c r="DA13" s="28"/>
      <c r="DB13" s="4"/>
      <c r="DC13" s="5">
        <v>254896</v>
      </c>
      <c r="DD13" s="28"/>
      <c r="DF13" s="5">
        <v>65117.800999999999</v>
      </c>
      <c r="DG13" s="28"/>
      <c r="DH13" s="4"/>
      <c r="DI13" s="5">
        <v>70727</v>
      </c>
      <c r="DJ13" s="28"/>
      <c r="DK13" s="4"/>
      <c r="DL13" s="5">
        <v>64491</v>
      </c>
      <c r="DM13" s="28"/>
      <c r="DN13" s="4"/>
      <c r="DO13" s="5"/>
      <c r="DP13" s="28"/>
      <c r="DQ13" s="4"/>
      <c r="DR13" s="5"/>
      <c r="DS13" s="28"/>
    </row>
    <row r="14" spans="1:123" x14ac:dyDescent="0.2">
      <c r="C14" s="1" t="s">
        <v>124</v>
      </c>
      <c r="E14" s="4">
        <f>SUM(E11:E13)</f>
        <v>113357</v>
      </c>
      <c r="F14" s="28">
        <f>E14/E16</f>
        <v>5.0115565945978449E-2</v>
      </c>
      <c r="G14" s="4"/>
      <c r="H14" s="4">
        <f>SUM(H11:H13)</f>
        <v>122393</v>
      </c>
      <c r="I14" s="28">
        <f>H14/H16</f>
        <v>5.2262712009155041E-2</v>
      </c>
      <c r="J14" s="4"/>
      <c r="K14" s="4">
        <f>SUM(K11:K13)</f>
        <v>110543</v>
      </c>
      <c r="L14" s="28">
        <f>K14/K16</f>
        <v>5.216435620483699E-2</v>
      </c>
      <c r="M14" s="4"/>
      <c r="N14" s="4">
        <f>SUM(N11:N13)</f>
        <v>117541</v>
      </c>
      <c r="O14" s="28">
        <f>N14/N16</f>
        <v>5.2179382970949997E-2</v>
      </c>
      <c r="P14" s="4"/>
      <c r="Q14" s="4">
        <f>SUM(Q11:Q13)</f>
        <v>463834</v>
      </c>
      <c r="R14" s="28">
        <f>Q14/Q16</f>
        <v>5.1677478626946036E-2</v>
      </c>
      <c r="T14" s="4">
        <f>SUM(T11:T13)</f>
        <v>130083</v>
      </c>
      <c r="U14" s="28">
        <f>T14/T16</f>
        <v>4.8548994053557171E-2</v>
      </c>
      <c r="V14" s="4"/>
      <c r="W14" s="4">
        <f>SUM(W11:W13)</f>
        <v>114966</v>
      </c>
      <c r="X14" s="28">
        <f>W14/W16</f>
        <v>4.4425827308633252E-2</v>
      </c>
      <c r="Y14" s="4"/>
      <c r="Z14" s="4">
        <f>SUM(Z11:Z13)</f>
        <v>103562</v>
      </c>
      <c r="AA14" s="28">
        <f>Z14/Z16</f>
        <v>4.5813474280628208E-2</v>
      </c>
      <c r="AB14" s="4"/>
      <c r="AC14" s="4">
        <f>SUM(AC11:AC13)</f>
        <v>106430</v>
      </c>
      <c r="AD14" s="28">
        <f>AC14/AC16</f>
        <v>4.298727426430287E-2</v>
      </c>
      <c r="AE14" s="4"/>
      <c r="AF14" s="4">
        <f>SUM(AF11:AF13)</f>
        <v>455041</v>
      </c>
      <c r="AG14" s="28">
        <f>AF14/AF16</f>
        <v>4.5487728966345009E-2</v>
      </c>
      <c r="AI14" s="4">
        <f>SUM(AI11:AI13)</f>
        <v>117718</v>
      </c>
      <c r="AJ14" s="28">
        <f>AI14/AI16</f>
        <v>4.2429769104893995E-2</v>
      </c>
      <c r="AK14" s="4"/>
      <c r="AL14" s="4">
        <f>SUM(AL11:AL13)</f>
        <v>128990</v>
      </c>
      <c r="AM14" s="28">
        <f>AL14/AL16</f>
        <v>4.6769330283784938E-2</v>
      </c>
      <c r="AN14" s="4"/>
      <c r="AO14" s="4">
        <f>SUM(AO11:AO13)</f>
        <v>106054</v>
      </c>
      <c r="AP14" s="28">
        <f>AO14/AO16</f>
        <v>4.0751662090202832E-2</v>
      </c>
      <c r="AQ14" s="4"/>
      <c r="AR14" s="4">
        <f>SUM(AR11:AR13)</f>
        <v>103536</v>
      </c>
      <c r="AS14" s="28">
        <f>AR14/AR16</f>
        <v>3.661170573150567E-2</v>
      </c>
      <c r="AT14" s="4"/>
      <c r="AU14" s="4">
        <f>SUM(AU11:AU13)</f>
        <v>456298</v>
      </c>
      <c r="AV14" s="28">
        <f>AU14/AU16</f>
        <v>4.1622327397937281E-2</v>
      </c>
      <c r="AX14" s="4">
        <f>SUM(AX11:AX13)</f>
        <v>118643</v>
      </c>
      <c r="AY14" s="28">
        <f>AX14/AX16</f>
        <v>3.5832364106084549E-2</v>
      </c>
      <c r="AZ14" s="4"/>
      <c r="BA14" s="4">
        <f>SUM(BA11:BA13)</f>
        <v>131122</v>
      </c>
      <c r="BB14" s="28">
        <f>BA14/BA16</f>
        <v>4.0400523547304126E-2</v>
      </c>
      <c r="BD14" s="4">
        <f>SUM(BD11:BD13)</f>
        <v>107295</v>
      </c>
      <c r="BE14" s="28">
        <f>BD14/BD16</f>
        <v>3.6477440898182403E-2</v>
      </c>
      <c r="BG14" s="4">
        <f>SUM(BG11:BG13)</f>
        <v>87558</v>
      </c>
      <c r="BH14" s="28">
        <f>BG14/BG16</f>
        <v>2.8462270863896463E-2</v>
      </c>
      <c r="BJ14" s="4">
        <f>SUM(BJ11:BJ13)</f>
        <v>444618</v>
      </c>
      <c r="BK14" s="28">
        <f>BJ14/BJ16</f>
        <v>3.5359267343650726E-2</v>
      </c>
      <c r="BM14" s="4">
        <f>SUM(BM11:BM13)</f>
        <v>144610</v>
      </c>
      <c r="BN14" s="28">
        <f>BM14/BM16</f>
        <v>3.8560651229962384E-2</v>
      </c>
      <c r="BO14" s="4"/>
      <c r="BP14" s="4">
        <f>SUM(BP11:BP13)</f>
        <v>148759</v>
      </c>
      <c r="BQ14" s="28">
        <f>BP14/BP16</f>
        <v>4.1331198040450171E-2</v>
      </c>
      <c r="BS14" s="4">
        <f>SUM(BS11:BS13)</f>
        <v>129043</v>
      </c>
      <c r="BT14" s="28">
        <f>BS14/BS16</f>
        <v>3.789548677124685E-2</v>
      </c>
      <c r="BV14" s="4">
        <f>SUM(BV11:BV13)</f>
        <v>122651</v>
      </c>
      <c r="BW14" s="28">
        <f>BV14/BV16</f>
        <v>3.490261495714967E-2</v>
      </c>
      <c r="BY14" s="4">
        <f>SUM(BY11:BY13)-1</f>
        <v>545063</v>
      </c>
      <c r="BZ14" s="28">
        <f>BY14/BY16</f>
        <v>3.8199863253287822E-2</v>
      </c>
      <c r="CB14" s="4">
        <f>SUM(CB11:CB13)</f>
        <v>145605</v>
      </c>
      <c r="CC14" s="28">
        <f>CB14/CB16</f>
        <v>3.6266266954395741E-2</v>
      </c>
      <c r="CD14" s="4"/>
      <c r="CE14" s="4">
        <f>SUM(CE11:CE13)</f>
        <v>142919</v>
      </c>
      <c r="CF14" s="28">
        <f>CE14/CE16</f>
        <v>3.6788211216055543E-2</v>
      </c>
      <c r="CH14" s="4">
        <f>SUM(CH11:CH13)</f>
        <v>121310</v>
      </c>
      <c r="CI14" s="28">
        <f>CH14/CH16</f>
        <v>3.4229017550166205E-2</v>
      </c>
      <c r="CK14" s="4">
        <f>SUM(CK11:CK13)</f>
        <v>112173</v>
      </c>
      <c r="CL14" s="28">
        <f>CK14/CK16</f>
        <v>3.0269536578422233E-2</v>
      </c>
      <c r="CN14" s="4">
        <f>SUM(CN11:CN13)</f>
        <v>522007</v>
      </c>
      <c r="CO14" s="28">
        <f>CN14/CN16</f>
        <v>3.4456646759748973E-2</v>
      </c>
      <c r="CQ14" s="4">
        <f>SUM(CQ11:CQ13)</f>
        <v>129671</v>
      </c>
      <c r="CR14" s="28">
        <f>CQ14/CQ16</f>
        <v>3.1424835194768498E-2</v>
      </c>
      <c r="CS14" s="4"/>
      <c r="CT14" s="4">
        <f>SUM(CT11:CT13)</f>
        <v>136032</v>
      </c>
      <c r="CU14" s="28">
        <f>CT14/CT16</f>
        <v>3.4031413612565446E-2</v>
      </c>
      <c r="CW14" s="4">
        <f>SUM(CW11:CW13)</f>
        <v>122526</v>
      </c>
      <c r="CX14" s="28">
        <f>CW14/CW16</f>
        <v>3.3101500895306904E-2</v>
      </c>
      <c r="CZ14" s="4">
        <f>SUM(CZ11:CZ13)</f>
        <v>133763</v>
      </c>
      <c r="DA14" s="28">
        <f>CZ14/CZ16</f>
        <v>3.3028227439283353E-2</v>
      </c>
      <c r="DC14" s="4">
        <f>SUM(DC11:DC13)</f>
        <v>521992</v>
      </c>
      <c r="DD14" s="28">
        <f>DC14/DC16</f>
        <v>3.2881141418917327E-2</v>
      </c>
      <c r="DF14" s="4">
        <f>SUM(DF11:DF13)</f>
        <v>145570.05900000001</v>
      </c>
      <c r="DG14" s="28">
        <f>DF14/DF16</f>
        <v>3.2047417105771074E-2</v>
      </c>
      <c r="DH14" s="4"/>
      <c r="DI14" s="4">
        <f>SUM(DI11:DI13)</f>
        <v>144673</v>
      </c>
      <c r="DJ14" s="28">
        <f>DI14/DI16</f>
        <v>3.2980367661809493E-2</v>
      </c>
      <c r="DK14" s="4"/>
      <c r="DL14" s="4">
        <f>SUM(DL11:DL13)</f>
        <v>128722</v>
      </c>
      <c r="DM14" s="28">
        <f>DL14/DL16</f>
        <v>3.1341969122601634E-2</v>
      </c>
      <c r="DO14" s="4"/>
      <c r="DP14" s="28"/>
      <c r="DR14" s="4"/>
      <c r="DS14" s="28"/>
    </row>
    <row r="15" spans="1:123" x14ac:dyDescent="0.2">
      <c r="E15" s="5"/>
      <c r="F15" s="29"/>
      <c r="G15" s="5"/>
      <c r="H15" s="5"/>
      <c r="I15" s="29"/>
      <c r="J15" s="5"/>
      <c r="K15" s="5"/>
      <c r="L15" s="29"/>
      <c r="M15" s="5"/>
      <c r="N15" s="5"/>
      <c r="O15" s="29"/>
      <c r="P15" s="5"/>
      <c r="Q15" s="5"/>
      <c r="R15" s="29"/>
      <c r="T15" s="5"/>
      <c r="U15" s="29"/>
      <c r="V15" s="5"/>
      <c r="W15" s="5"/>
      <c r="X15" s="29"/>
      <c r="Y15" s="5"/>
      <c r="Z15" s="5"/>
      <c r="AA15" s="29"/>
      <c r="AB15" s="5"/>
      <c r="AC15" s="5"/>
      <c r="AD15" s="29"/>
      <c r="AE15" s="5"/>
      <c r="AF15" s="5"/>
      <c r="AG15" s="29"/>
      <c r="AI15" s="5"/>
      <c r="AJ15" s="29"/>
      <c r="AK15" s="5"/>
      <c r="AL15" s="5"/>
      <c r="AM15" s="29"/>
      <c r="AN15" s="5"/>
      <c r="AO15" s="5"/>
      <c r="AP15" s="29"/>
      <c r="AQ15" s="5"/>
      <c r="AR15" s="5"/>
      <c r="AS15" s="29"/>
      <c r="AT15" s="5"/>
      <c r="AU15" s="5"/>
      <c r="AV15" s="29"/>
      <c r="AX15" s="5"/>
      <c r="AY15" s="29"/>
      <c r="AZ15" s="14"/>
      <c r="BA15" s="5"/>
      <c r="BB15" s="29"/>
      <c r="BD15" s="5"/>
      <c r="BE15" s="29"/>
      <c r="BG15" s="5"/>
      <c r="BH15" s="29"/>
      <c r="BJ15" s="5"/>
      <c r="BK15" s="29"/>
      <c r="BM15" s="5"/>
      <c r="BN15" s="29"/>
      <c r="BO15" s="14"/>
      <c r="BP15" s="5"/>
      <c r="BQ15" s="29"/>
      <c r="BS15" s="5"/>
      <c r="BT15" s="29"/>
      <c r="BV15" s="5"/>
      <c r="BW15" s="29"/>
      <c r="BY15" s="5"/>
      <c r="BZ15" s="29"/>
      <c r="CB15" s="5"/>
      <c r="CC15" s="29"/>
      <c r="CD15" s="14"/>
      <c r="CE15" s="5"/>
      <c r="CF15" s="29"/>
      <c r="CH15" s="5"/>
      <c r="CI15" s="29"/>
      <c r="CK15" s="5"/>
      <c r="CL15" s="29"/>
      <c r="CN15" s="5"/>
      <c r="CO15" s="29"/>
      <c r="CQ15" s="5"/>
      <c r="CR15" s="29"/>
      <c r="CS15" s="14"/>
      <c r="CT15" s="5"/>
      <c r="CU15" s="29"/>
      <c r="CW15" s="5"/>
      <c r="CX15" s="29"/>
      <c r="CZ15" s="5"/>
      <c r="DA15" s="29"/>
      <c r="DC15" s="5"/>
      <c r="DD15" s="29"/>
      <c r="DF15" s="5"/>
      <c r="DG15" s="29"/>
      <c r="DH15" s="14"/>
      <c r="DI15" s="5"/>
      <c r="DJ15" s="29"/>
      <c r="DK15" s="14"/>
      <c r="DL15" s="5"/>
      <c r="DM15" s="29"/>
      <c r="DO15" s="5"/>
      <c r="DP15" s="29"/>
      <c r="DR15" s="5"/>
      <c r="DS15" s="29"/>
    </row>
    <row r="16" spans="1:123" x14ac:dyDescent="0.2">
      <c r="A16" s="1" t="s">
        <v>64</v>
      </c>
      <c r="E16" s="4">
        <f>+E8+E9+E14</f>
        <v>2261912</v>
      </c>
      <c r="F16" s="28">
        <f>E16/E16</f>
        <v>1</v>
      </c>
      <c r="G16" s="4"/>
      <c r="H16" s="4">
        <f>+H8+H9+H14</f>
        <v>2341880</v>
      </c>
      <c r="I16" s="28">
        <f>H16/H16</f>
        <v>1</v>
      </c>
      <c r="J16" s="4"/>
      <c r="K16" s="4">
        <f>+K8+K9+K14</f>
        <v>2119129</v>
      </c>
      <c r="L16" s="28">
        <f>K16/K16</f>
        <v>1</v>
      </c>
      <c r="M16" s="4"/>
      <c r="N16" s="4">
        <f>+N8+N9+N14</f>
        <v>2252633</v>
      </c>
      <c r="O16" s="28">
        <f>N16/N16</f>
        <v>1</v>
      </c>
      <c r="P16" s="4"/>
      <c r="Q16" s="4">
        <f>+Q8+Q9+Q14</f>
        <v>8975554</v>
      </c>
      <c r="R16" s="28">
        <f>Q16/Q16</f>
        <v>1</v>
      </c>
      <c r="T16" s="4">
        <f>+T8+T9+T14</f>
        <v>2679417</v>
      </c>
      <c r="U16" s="28">
        <f>T16/T16</f>
        <v>1</v>
      </c>
      <c r="V16" s="4"/>
      <c r="W16" s="4">
        <f>+W8+W9+W14</f>
        <v>2587819</v>
      </c>
      <c r="X16" s="28">
        <f>W16/W16</f>
        <v>1</v>
      </c>
      <c r="Y16" s="4"/>
      <c r="Z16" s="4">
        <f>+Z8+Z9+Z14</f>
        <v>2260514</v>
      </c>
      <c r="AA16" s="28">
        <f>Z16/Z16</f>
        <v>1</v>
      </c>
      <c r="AB16" s="4"/>
      <c r="AC16" s="4">
        <f>+AC8+AC9+AC14</f>
        <v>2475849</v>
      </c>
      <c r="AD16" s="28">
        <f>AC16/AC16</f>
        <v>1</v>
      </c>
      <c r="AE16" s="4"/>
      <c r="AF16" s="4">
        <f>+AF8+AF9+AF14</f>
        <v>10003599</v>
      </c>
      <c r="AG16" s="28">
        <f>AF16/AF16</f>
        <v>1</v>
      </c>
      <c r="AI16" s="4">
        <f>+AI8+AI9+AI14</f>
        <v>2774420</v>
      </c>
      <c r="AJ16" s="28">
        <f>AI16/AI16</f>
        <v>1</v>
      </c>
      <c r="AK16" s="4"/>
      <c r="AL16" s="4">
        <f>+AL8+AL9+AL14</f>
        <v>2758004</v>
      </c>
      <c r="AM16" s="28">
        <f>AL16/AL16</f>
        <v>1</v>
      </c>
      <c r="AN16" s="4"/>
      <c r="AO16" s="4">
        <f>+AO8+AO9+AO14</f>
        <v>2602446</v>
      </c>
      <c r="AP16" s="28">
        <f>AO16/AO16</f>
        <v>1</v>
      </c>
      <c r="AQ16" s="4"/>
      <c r="AR16" s="4">
        <f>+AR8+AR9+AR14</f>
        <v>2827948</v>
      </c>
      <c r="AS16" s="28">
        <f>AR16/AR16</f>
        <v>1</v>
      </c>
      <c r="AT16" s="4"/>
      <c r="AU16" s="4">
        <f>+AU8+AU9+AU14</f>
        <v>10962818</v>
      </c>
      <c r="AV16" s="28">
        <f>AU16/AU16</f>
        <v>1</v>
      </c>
      <c r="AX16" s="4">
        <f>+AX8+AX9+AX14</f>
        <v>3311057</v>
      </c>
      <c r="AY16" s="28">
        <f>AX16/AX16</f>
        <v>1</v>
      </c>
      <c r="AZ16" s="4"/>
      <c r="BA16" s="4">
        <f>+BA8+BA9+BA14</f>
        <v>3245552</v>
      </c>
      <c r="BB16" s="28">
        <f>BA16/BA16</f>
        <v>1</v>
      </c>
      <c r="BD16" s="4">
        <f>+BD8+BD9+BD14</f>
        <v>2941407</v>
      </c>
      <c r="BE16" s="28">
        <f>BD16/BD16</f>
        <v>1</v>
      </c>
      <c r="BG16" s="4">
        <f>+BG8+BG9+BG14</f>
        <v>3076283</v>
      </c>
      <c r="BH16" s="28">
        <f>BG16/BG16</f>
        <v>1</v>
      </c>
      <c r="BJ16" s="4">
        <f>+BJ8+BJ9+BJ14</f>
        <v>12574299</v>
      </c>
      <c r="BK16" s="28">
        <f>BJ16/BJ16</f>
        <v>1</v>
      </c>
      <c r="BM16" s="4">
        <f>+BM8+BM9+BM14</f>
        <v>3750196</v>
      </c>
      <c r="BN16" s="28">
        <f>BM16/BM16</f>
        <v>1</v>
      </c>
      <c r="BO16" s="4"/>
      <c r="BP16" s="4">
        <f>+BP8+BP9+BP14</f>
        <v>3599194</v>
      </c>
      <c r="BQ16" s="28">
        <f>BP16/BP16</f>
        <v>1</v>
      </c>
      <c r="BS16" s="4">
        <f>+BS8+BS9+BS14</f>
        <v>3405234</v>
      </c>
      <c r="BT16" s="28">
        <f>BS16/BS16</f>
        <v>1</v>
      </c>
      <c r="BV16" s="4">
        <f>+BV8+BV9+BV14</f>
        <v>3514092</v>
      </c>
      <c r="BW16" s="28">
        <f>BV16/BV16</f>
        <v>1</v>
      </c>
      <c r="BY16" s="4">
        <f>+BY8+BY9+BY14</f>
        <v>14268716</v>
      </c>
      <c r="BZ16" s="28">
        <f>BY16/BY16</f>
        <v>1</v>
      </c>
      <c r="CB16" s="4">
        <f>+CB8+CB9+CB14</f>
        <v>4014888</v>
      </c>
      <c r="CC16" s="28">
        <f>CB16/CB16</f>
        <v>1</v>
      </c>
      <c r="CD16" s="4"/>
      <c r="CE16" s="4">
        <f>+CE8+CE9+CE14</f>
        <v>3884913</v>
      </c>
      <c r="CF16" s="28">
        <f>CE16/CE16</f>
        <v>1</v>
      </c>
      <c r="CH16" s="4">
        <f>+CH8+CH9+CH14</f>
        <v>3544069</v>
      </c>
      <c r="CI16" s="28">
        <f>CH16/CH16</f>
        <v>1</v>
      </c>
      <c r="CK16" s="4">
        <f>+CK8+CK9+CK14</f>
        <v>3705805</v>
      </c>
      <c r="CL16" s="28">
        <f>CK16/CK16</f>
        <v>1</v>
      </c>
      <c r="CN16" s="4">
        <f>+CN8+CN9+CN14</f>
        <v>15149675</v>
      </c>
      <c r="CO16" s="28">
        <f>CN16/CN16</f>
        <v>1</v>
      </c>
      <c r="CQ16" s="4">
        <f>+CQ8+CQ9+CQ14</f>
        <v>4126386</v>
      </c>
      <c r="CR16" s="28">
        <f>CQ16/CQ16</f>
        <v>1</v>
      </c>
      <c r="CS16" s="4"/>
      <c r="CT16" s="4">
        <f>+CT8+CT9+CT14</f>
        <v>3997248</v>
      </c>
      <c r="CU16" s="28">
        <f>CT16/CT16</f>
        <v>1</v>
      </c>
      <c r="CW16" s="4">
        <f>+CW8+CW9+CW14</f>
        <v>3701524</v>
      </c>
      <c r="CX16" s="28">
        <f>CW16/CW16</f>
        <v>1</v>
      </c>
      <c r="CZ16" s="4">
        <f>+CZ8+CZ9+CZ14</f>
        <v>4049960</v>
      </c>
      <c r="DA16" s="28">
        <f>CZ16/CZ16</f>
        <v>1</v>
      </c>
      <c r="DC16" s="4">
        <f>+DC8+DC9+DC14</f>
        <v>15875118</v>
      </c>
      <c r="DD16" s="28">
        <f>DC16/DC16</f>
        <v>1</v>
      </c>
      <c r="DF16" s="4">
        <f>+DF8+DF9+DF14</f>
        <v>4542333.5839999998</v>
      </c>
      <c r="DG16" s="28">
        <f>DF16/DF16</f>
        <v>1</v>
      </c>
      <c r="DH16" s="4"/>
      <c r="DI16" s="4">
        <f>+DI8+DI9+DI14</f>
        <v>4386640</v>
      </c>
      <c r="DJ16" s="28">
        <f>DI16/DI16</f>
        <v>1</v>
      </c>
      <c r="DK16" s="4"/>
      <c r="DL16" s="4">
        <f>+DL8+DL9+DL14</f>
        <v>4107017</v>
      </c>
      <c r="DM16" s="28">
        <f>DL16/DL16</f>
        <v>1</v>
      </c>
      <c r="DO16" s="4"/>
      <c r="DP16" s="28"/>
      <c r="DR16" s="4"/>
      <c r="DS16" s="28"/>
    </row>
    <row r="17" spans="1:123" x14ac:dyDescent="0.2">
      <c r="E17" s="4"/>
      <c r="F17" s="28"/>
      <c r="G17" s="4"/>
      <c r="H17" s="4"/>
      <c r="I17" s="28"/>
      <c r="J17" s="4"/>
      <c r="K17" s="4"/>
      <c r="L17" s="28"/>
      <c r="M17" s="4"/>
      <c r="N17" s="4"/>
      <c r="O17" s="28"/>
      <c r="P17" s="4"/>
      <c r="Q17" s="4"/>
      <c r="R17" s="28"/>
      <c r="T17" s="4"/>
      <c r="U17" s="28"/>
      <c r="V17" s="4"/>
      <c r="W17" s="4"/>
      <c r="X17" s="28"/>
      <c r="Y17" s="4"/>
      <c r="Z17" s="4"/>
      <c r="AA17" s="28"/>
      <c r="AB17" s="4"/>
      <c r="AC17" s="4"/>
      <c r="AD17" s="28"/>
      <c r="AE17" s="4"/>
      <c r="AF17" s="4"/>
      <c r="AG17" s="28"/>
      <c r="AI17" s="4"/>
      <c r="AJ17" s="28"/>
      <c r="AK17" s="4"/>
      <c r="AL17" s="4"/>
      <c r="AM17" s="28"/>
      <c r="AN17" s="4"/>
      <c r="AO17" s="4"/>
      <c r="AP17" s="28"/>
      <c r="AQ17" s="4"/>
      <c r="AR17" s="4"/>
      <c r="AS17" s="28"/>
      <c r="AT17" s="4"/>
      <c r="AU17" s="4"/>
      <c r="AV17" s="28"/>
      <c r="AX17" s="4"/>
      <c r="AY17" s="28"/>
      <c r="AZ17" s="4"/>
      <c r="BA17" s="4"/>
      <c r="BB17" s="28"/>
      <c r="BD17" s="4"/>
      <c r="BE17" s="28"/>
      <c r="BG17" s="4"/>
      <c r="BH17" s="28"/>
      <c r="BJ17" s="4"/>
      <c r="BK17" s="28"/>
      <c r="BM17" s="4"/>
      <c r="BN17" s="28"/>
      <c r="BO17" s="4"/>
      <c r="BP17" s="4"/>
      <c r="BQ17" s="28"/>
      <c r="BS17" s="4"/>
      <c r="BT17" s="28"/>
      <c r="BV17" s="4"/>
      <c r="BW17" s="28"/>
      <c r="BY17" s="4"/>
      <c r="BZ17" s="28"/>
      <c r="CB17" s="4"/>
      <c r="CC17" s="28"/>
      <c r="CD17" s="4"/>
      <c r="CE17" s="4"/>
      <c r="CF17" s="28"/>
      <c r="CH17" s="4"/>
      <c r="CI17" s="28"/>
      <c r="CK17" s="4"/>
      <c r="CL17" s="28"/>
      <c r="CN17" s="4"/>
      <c r="CO17" s="28"/>
      <c r="CQ17" s="4"/>
      <c r="CR17" s="28"/>
      <c r="CS17" s="4"/>
      <c r="CT17" s="4"/>
      <c r="CU17" s="28"/>
      <c r="CW17" s="4"/>
      <c r="CX17" s="28"/>
      <c r="CZ17" s="4"/>
      <c r="DA17" s="28"/>
      <c r="DC17" s="4"/>
      <c r="DD17" s="28"/>
      <c r="DF17" s="4"/>
      <c r="DG17" s="28"/>
      <c r="DH17" s="4"/>
      <c r="DI17" s="4"/>
      <c r="DJ17" s="28"/>
      <c r="DK17" s="4"/>
      <c r="DL17" s="4"/>
      <c r="DM17" s="28"/>
      <c r="DO17" s="4"/>
      <c r="DP17" s="28"/>
      <c r="DR17" s="4"/>
      <c r="DS17" s="28"/>
    </row>
    <row r="18" spans="1:123" x14ac:dyDescent="0.2">
      <c r="A18" s="1" t="s">
        <v>0</v>
      </c>
      <c r="E18" s="5">
        <v>-1928364</v>
      </c>
      <c r="F18" s="29">
        <f>E18/E16</f>
        <v>-0.85253714556534477</v>
      </c>
      <c r="G18" s="5"/>
      <c r="H18" s="5">
        <v>-1992762</v>
      </c>
      <c r="I18" s="29">
        <f>H18/H16</f>
        <v>-0.85092404393051735</v>
      </c>
      <c r="J18" s="5"/>
      <c r="K18" s="5">
        <v>-1821219</v>
      </c>
      <c r="L18" s="29">
        <f>K18/K16</f>
        <v>-0.85941865738234902</v>
      </c>
      <c r="M18" s="5"/>
      <c r="N18" s="5">
        <v>-1931981</v>
      </c>
      <c r="O18" s="29">
        <f>N18/N16</f>
        <v>-0.85765457577865545</v>
      </c>
      <c r="P18" s="5"/>
      <c r="Q18" s="5">
        <v>-7674326</v>
      </c>
      <c r="R18" s="29">
        <f>Q18/Q16</f>
        <v>-0.85502532768450834</v>
      </c>
      <c r="T18" s="5">
        <v>-2296322</v>
      </c>
      <c r="U18" s="29">
        <f>T18/T16</f>
        <v>-0.85702300164550727</v>
      </c>
      <c r="V18" s="5"/>
      <c r="W18" s="5">
        <v>-2233544</v>
      </c>
      <c r="X18" s="29">
        <f>W18/W16</f>
        <v>-0.86309900344653157</v>
      </c>
      <c r="Y18" s="5"/>
      <c r="Z18" s="5">
        <v>-1957295</v>
      </c>
      <c r="AA18" s="29">
        <f>Z18/Z16</f>
        <v>-0.86586280819318084</v>
      </c>
      <c r="AB18" s="5"/>
      <c r="AC18" s="5">
        <v>-2137677</v>
      </c>
      <c r="AD18" s="29">
        <f>AC18/AC16</f>
        <v>-0.86341170240996123</v>
      </c>
      <c r="AE18" s="5"/>
      <c r="AF18" s="5">
        <v>-8624838</v>
      </c>
      <c r="AG18" s="29">
        <f>AF18/AF16</f>
        <v>-0.86217350375599822</v>
      </c>
      <c r="AI18" s="5">
        <v>-2392505</v>
      </c>
      <c r="AJ18" s="29">
        <f>AI18/AI16</f>
        <v>-0.86234420167097992</v>
      </c>
      <c r="AK18" s="5"/>
      <c r="AL18" s="5">
        <v>-2390011</v>
      </c>
      <c r="AM18" s="29">
        <f>AL18/AL16</f>
        <v>-0.86657270982928236</v>
      </c>
      <c r="AN18" s="5"/>
      <c r="AO18" s="5">
        <v>-2257227</v>
      </c>
      <c r="AP18" s="29">
        <f>AO18/AO16</f>
        <v>-0.86734825621742007</v>
      </c>
      <c r="AQ18" s="5"/>
      <c r="AR18" s="5">
        <v>-2458713</v>
      </c>
      <c r="AS18" s="29">
        <f>AR18/AR16</f>
        <v>-0.86943359637447359</v>
      </c>
      <c r="AT18" s="5"/>
      <c r="AU18" s="5">
        <v>-9498456</v>
      </c>
      <c r="AV18" s="29">
        <f>AU18/AU16</f>
        <v>-0.86642467292624947</v>
      </c>
      <c r="AX18" s="5">
        <v>-2862961</v>
      </c>
      <c r="AY18" s="29">
        <f>AX18/AX16</f>
        <v>-0.86466678163498845</v>
      </c>
      <c r="AZ18" s="14"/>
      <c r="BA18" s="5">
        <v>-2810809</v>
      </c>
      <c r="BB18" s="29">
        <f>BA18/BA16</f>
        <v>-0.86604959649390922</v>
      </c>
      <c r="BD18" s="5">
        <v>-2559686</v>
      </c>
      <c r="BE18" s="29">
        <f>BD18/BD16</f>
        <v>-0.87022503176201049</v>
      </c>
      <c r="BG18" s="5">
        <v>-2692142</v>
      </c>
      <c r="BH18" s="29">
        <f>BG18/BG16</f>
        <v>-0.87512819854350199</v>
      </c>
      <c r="BJ18" s="5">
        <v>-10925598</v>
      </c>
      <c r="BK18" s="29">
        <f>BJ18/BJ16</f>
        <v>-0.86888326736941757</v>
      </c>
      <c r="BM18" s="5">
        <v>-3248465</v>
      </c>
      <c r="BN18" s="29">
        <f>BM18/BM16</f>
        <v>-0.86621205931636636</v>
      </c>
      <c r="BO18" s="14"/>
      <c r="BP18" s="5">
        <v>-3135855</v>
      </c>
      <c r="BQ18" s="29">
        <f>BP18/BP16</f>
        <v>-0.87126590008763072</v>
      </c>
      <c r="BS18" s="5">
        <v>-2958614</v>
      </c>
      <c r="BT18" s="29">
        <f>BS18/BS16</f>
        <v>-0.86884308097475826</v>
      </c>
      <c r="BV18" s="5">
        <v>-3038255</v>
      </c>
      <c r="BW18" s="29">
        <f>BV18/BV16</f>
        <v>-0.86459176367607904</v>
      </c>
      <c r="BY18" s="5">
        <v>-12381189</v>
      </c>
      <c r="BZ18" s="29">
        <f>BY18/BY16</f>
        <v>-0.86771570756611882</v>
      </c>
      <c r="CB18" s="5">
        <v>-3471094</v>
      </c>
      <c r="CC18" s="29">
        <f>CB18/CB16</f>
        <v>-0.86455562396759267</v>
      </c>
      <c r="CD18" s="14"/>
      <c r="CE18" s="5">
        <v>-3363543</v>
      </c>
      <c r="CF18" s="29">
        <f>CE18/CE16</f>
        <v>-0.86579622246366905</v>
      </c>
      <c r="CH18" s="5">
        <v>-3079738</v>
      </c>
      <c r="CI18" s="29">
        <f>CH18/CH16</f>
        <v>-0.86898364563443886</v>
      </c>
      <c r="CK18" s="5">
        <v>-3216540</v>
      </c>
      <c r="CL18" s="29">
        <f>CK18/CK16</f>
        <v>-0.86797335531686093</v>
      </c>
      <c r="CN18" s="5">
        <v>-13130915</v>
      </c>
      <c r="CO18" s="29">
        <f>CN18/CN16</f>
        <v>-0.86674565625995281</v>
      </c>
      <c r="CQ18" s="5">
        <v>-3553749</v>
      </c>
      <c r="CR18" s="29">
        <f>CQ18/CQ16</f>
        <v>-0.86122553731037277</v>
      </c>
      <c r="CS18" s="14"/>
      <c r="CT18" s="5">
        <v>-3451886</v>
      </c>
      <c r="CU18" s="29">
        <f>CT18/CT16</f>
        <v>-0.86356563315561108</v>
      </c>
      <c r="CW18" s="5">
        <v>-3198389</v>
      </c>
      <c r="CX18" s="29">
        <f>CW18/CW16</f>
        <v>-0.86407355456833457</v>
      </c>
      <c r="CZ18" s="5">
        <v>-3487800</v>
      </c>
      <c r="DA18" s="29">
        <f>CZ18/CZ16</f>
        <v>-0.86119369080188446</v>
      </c>
      <c r="DC18" s="5">
        <v>-13691824</v>
      </c>
      <c r="DD18" s="29">
        <f>DC18/DC16</f>
        <v>-0.86247069155643441</v>
      </c>
      <c r="DF18" s="5">
        <v>-3893396.0660000001</v>
      </c>
      <c r="DG18" s="29">
        <f>DF18/DF16</f>
        <v>-0.85713565373405665</v>
      </c>
      <c r="DH18" s="14"/>
      <c r="DI18" s="5">
        <v>-3782635</v>
      </c>
      <c r="DJ18" s="29">
        <f>DI18/DI16</f>
        <v>-0.86230805354439843</v>
      </c>
      <c r="DK18" s="14"/>
      <c r="DL18" s="5">
        <v>-3567830</v>
      </c>
      <c r="DM18" s="29">
        <f>DL18/DL16</f>
        <v>-0.86871566394782396</v>
      </c>
      <c r="DO18" s="5"/>
      <c r="DP18" s="29"/>
      <c r="DR18" s="5"/>
      <c r="DS18" s="29"/>
    </row>
    <row r="19" spans="1:123" x14ac:dyDescent="0.2">
      <c r="B19" s="1" t="s">
        <v>129</v>
      </c>
      <c r="E19" s="4">
        <f>+E16+E18</f>
        <v>333548</v>
      </c>
      <c r="F19" s="28">
        <f>E19/E16</f>
        <v>0.14746285443465529</v>
      </c>
      <c r="G19" s="4"/>
      <c r="H19" s="4">
        <f>+H16+H18</f>
        <v>349118</v>
      </c>
      <c r="I19" s="28">
        <f>H19/H16</f>
        <v>0.14907595606948265</v>
      </c>
      <c r="J19" s="4"/>
      <c r="K19" s="4">
        <f>+K16+K18</f>
        <v>297910</v>
      </c>
      <c r="L19" s="28">
        <f>K19/K16</f>
        <v>0.14058134261765093</v>
      </c>
      <c r="M19" s="4"/>
      <c r="N19" s="4">
        <f>+N16+N18</f>
        <v>320652</v>
      </c>
      <c r="O19" s="28">
        <f>N19/N16</f>
        <v>0.14234542422134452</v>
      </c>
      <c r="P19" s="4"/>
      <c r="Q19" s="4">
        <f>+Q16+Q18</f>
        <v>1301228</v>
      </c>
      <c r="R19" s="28">
        <f>Q19/Q16</f>
        <v>0.1449746723154916</v>
      </c>
      <c r="T19" s="4">
        <f>+T16+T18</f>
        <v>383095</v>
      </c>
      <c r="U19" s="28">
        <f>T19/T16</f>
        <v>0.14297699835449279</v>
      </c>
      <c r="V19" s="4"/>
      <c r="W19" s="4">
        <f>+W16+W18</f>
        <v>354275</v>
      </c>
      <c r="X19" s="28">
        <f>W19/W16</f>
        <v>0.13690099655346838</v>
      </c>
      <c r="Y19" s="4"/>
      <c r="Z19" s="4">
        <f>+Z16+Z18</f>
        <v>303219</v>
      </c>
      <c r="AA19" s="28">
        <f>Z19/Z16</f>
        <v>0.13413719180681916</v>
      </c>
      <c r="AB19" s="4"/>
      <c r="AC19" s="4">
        <f>+AC16+AC18</f>
        <v>338172</v>
      </c>
      <c r="AD19" s="28">
        <f>AC19/AC16</f>
        <v>0.13658829759003882</v>
      </c>
      <c r="AE19" s="4"/>
      <c r="AF19" s="4">
        <f>+AF16+AF18</f>
        <v>1378761</v>
      </c>
      <c r="AG19" s="28">
        <f>AF19/AF16</f>
        <v>0.13782649624400178</v>
      </c>
      <c r="AI19" s="4">
        <f>+AI16+AI18</f>
        <v>381915</v>
      </c>
      <c r="AJ19" s="28">
        <f>AI19/AI16</f>
        <v>0.13765579832902011</v>
      </c>
      <c r="AK19" s="4"/>
      <c r="AL19" s="4">
        <f>+AL16+AL18</f>
        <v>367993</v>
      </c>
      <c r="AM19" s="28">
        <f>AL19/AL16</f>
        <v>0.13342729017071767</v>
      </c>
      <c r="AN19" s="4"/>
      <c r="AO19" s="4">
        <f>+AO16+AO18</f>
        <v>345219</v>
      </c>
      <c r="AP19" s="28">
        <f>AO19/AO16</f>
        <v>0.13265174378257993</v>
      </c>
      <c r="AQ19" s="4"/>
      <c r="AR19" s="4">
        <f>+AR16+AR18</f>
        <v>369235</v>
      </c>
      <c r="AS19" s="28">
        <f>AR19/AR16</f>
        <v>0.13056640362552635</v>
      </c>
      <c r="AT19" s="4"/>
      <c r="AU19" s="4">
        <f>+AU16+AU18</f>
        <v>1464362</v>
      </c>
      <c r="AV19" s="28">
        <f>AU19/AU16</f>
        <v>0.13357532707375055</v>
      </c>
      <c r="AX19" s="4">
        <f>+AX16+AX18</f>
        <v>448096</v>
      </c>
      <c r="AY19" s="28">
        <f>AX19/AX16</f>
        <v>0.13533321836501153</v>
      </c>
      <c r="AZ19" s="4"/>
      <c r="BA19" s="4">
        <f>+BA16+BA18</f>
        <v>434743</v>
      </c>
      <c r="BB19" s="28">
        <f>BA19/BA16</f>
        <v>0.1339504035060908</v>
      </c>
      <c r="BD19" s="4">
        <f>+BD16+BD18</f>
        <v>381721</v>
      </c>
      <c r="BE19" s="28">
        <f>BD19/BD16</f>
        <v>0.12977496823798951</v>
      </c>
      <c r="BG19" s="4">
        <f>+BG16+BG18</f>
        <v>384141</v>
      </c>
      <c r="BH19" s="28">
        <f>BG19/BG16</f>
        <v>0.12487180145649798</v>
      </c>
      <c r="BJ19" s="4">
        <f>+BJ16+BJ18</f>
        <v>1648701</v>
      </c>
      <c r="BK19" s="28">
        <f>BJ19/BJ16</f>
        <v>0.13111673263058243</v>
      </c>
      <c r="BM19" s="4">
        <f>+BM16+BM18</f>
        <v>501731</v>
      </c>
      <c r="BN19" s="28">
        <f>BM19/BM16</f>
        <v>0.13378794068363359</v>
      </c>
      <c r="BO19" s="4"/>
      <c r="BP19" s="4">
        <f>+BP16+BP18</f>
        <v>463339</v>
      </c>
      <c r="BQ19" s="28">
        <f>BP19/BP16</f>
        <v>0.12873409991236928</v>
      </c>
      <c r="BS19" s="4">
        <f>+BS16+BS18</f>
        <v>446620</v>
      </c>
      <c r="BT19" s="28">
        <f>BS19/BS16</f>
        <v>0.13115691902524174</v>
      </c>
      <c r="BV19" s="4">
        <f>+BV16+BV18</f>
        <v>475837</v>
      </c>
      <c r="BW19" s="28">
        <f>BV19/BV16</f>
        <v>0.13540823632392093</v>
      </c>
      <c r="BY19" s="4">
        <f>+BY16+BY18</f>
        <v>1887527</v>
      </c>
      <c r="BZ19" s="28">
        <f>BY19/BY16</f>
        <v>0.13228429243388123</v>
      </c>
      <c r="CB19" s="4">
        <f>+CB16+CB18</f>
        <v>543794</v>
      </c>
      <c r="CC19" s="28">
        <f>CB19/CB16</f>
        <v>0.13544437603240739</v>
      </c>
      <c r="CD19" s="4"/>
      <c r="CE19" s="4">
        <f>+CE16+CE18</f>
        <v>521370</v>
      </c>
      <c r="CF19" s="28">
        <f>CE19/CE16</f>
        <v>0.13420377753633092</v>
      </c>
      <c r="CH19" s="4">
        <f>+CH16+CH18</f>
        <v>464331</v>
      </c>
      <c r="CI19" s="28">
        <f>CH19/CH16</f>
        <v>0.13101635436556117</v>
      </c>
      <c r="CK19" s="4">
        <f>+CK16+CK18</f>
        <v>489265</v>
      </c>
      <c r="CL19" s="28">
        <f>CK19/CK16</f>
        <v>0.13202664468313902</v>
      </c>
      <c r="CN19" s="4">
        <f>+CN16+CN18</f>
        <v>2018760</v>
      </c>
      <c r="CO19" s="28">
        <f>CN19/CN16</f>
        <v>0.13325434374004722</v>
      </c>
      <c r="CQ19" s="4">
        <f>+CQ16+CQ18</f>
        <v>572637</v>
      </c>
      <c r="CR19" s="28">
        <f>CQ19/CQ16</f>
        <v>0.1387744626896272</v>
      </c>
      <c r="CS19" s="4"/>
      <c r="CT19" s="4">
        <f>+CT16+CT18</f>
        <v>545362</v>
      </c>
      <c r="CU19" s="28">
        <f>CT19/CT16</f>
        <v>0.13643436684438895</v>
      </c>
      <c r="CW19" s="4">
        <f>+CW16+CW18</f>
        <v>503135</v>
      </c>
      <c r="CX19" s="28">
        <f>CW19/CW16</f>
        <v>0.13592644543166543</v>
      </c>
      <c r="CZ19" s="4">
        <f>+CZ16+CZ18</f>
        <v>562160</v>
      </c>
      <c r="DA19" s="28">
        <f>CZ19/CZ16</f>
        <v>0.13880630919811554</v>
      </c>
      <c r="DC19" s="4">
        <f>+DC16+DC18</f>
        <v>2183294</v>
      </c>
      <c r="DD19" s="28">
        <f>DC19/DC16</f>
        <v>0.13752930844356559</v>
      </c>
      <c r="DF19" s="4">
        <f>+DF16+DF18</f>
        <v>648937.51799999969</v>
      </c>
      <c r="DG19" s="28">
        <f>DF19/DF16</f>
        <v>0.14286434626594341</v>
      </c>
      <c r="DH19" s="4"/>
      <c r="DI19" s="4">
        <f>+DI16+DI18</f>
        <v>604005</v>
      </c>
      <c r="DJ19" s="28">
        <f>DI19/DI16</f>
        <v>0.13769194645560157</v>
      </c>
      <c r="DK19" s="4"/>
      <c r="DL19" s="4">
        <f>+DL16+DL18</f>
        <v>539187</v>
      </c>
      <c r="DM19" s="28">
        <f>DL19/DL16</f>
        <v>0.13128433605217607</v>
      </c>
      <c r="DO19" s="4"/>
      <c r="DP19" s="28"/>
      <c r="DR19" s="4"/>
      <c r="DS19" s="28"/>
    </row>
    <row r="20" spans="1:123" x14ac:dyDescent="0.2">
      <c r="E20" s="4"/>
      <c r="F20" s="28"/>
      <c r="G20" s="4"/>
      <c r="H20" s="4"/>
      <c r="I20" s="28"/>
      <c r="J20" s="4"/>
      <c r="K20" s="4"/>
      <c r="L20" s="28"/>
      <c r="M20" s="4"/>
      <c r="N20" s="4"/>
      <c r="O20" s="28"/>
      <c r="P20" s="4"/>
      <c r="Q20" s="4"/>
      <c r="R20" s="28"/>
      <c r="T20" s="4"/>
      <c r="U20" s="28"/>
      <c r="V20" s="4"/>
      <c r="W20" s="4"/>
      <c r="X20" s="28"/>
      <c r="Y20" s="4"/>
      <c r="Z20" s="4"/>
      <c r="AA20" s="28"/>
      <c r="AB20" s="4"/>
      <c r="AC20" s="4"/>
      <c r="AD20" s="28"/>
      <c r="AE20" s="4"/>
      <c r="AF20" s="4"/>
      <c r="AG20" s="28"/>
      <c r="AI20" s="4"/>
      <c r="AJ20" s="28"/>
      <c r="AK20" s="4"/>
      <c r="AL20" s="4"/>
      <c r="AM20" s="28"/>
      <c r="AN20" s="4"/>
      <c r="AO20" s="4"/>
      <c r="AP20" s="28"/>
      <c r="AQ20" s="4"/>
      <c r="AR20" s="4"/>
      <c r="AS20" s="28"/>
      <c r="AT20" s="4"/>
      <c r="AU20" s="4"/>
      <c r="AV20" s="28"/>
      <c r="AX20" s="4"/>
      <c r="AY20" s="28"/>
      <c r="AZ20" s="4"/>
      <c r="BA20" s="4"/>
      <c r="BB20" s="28"/>
      <c r="BD20" s="4"/>
      <c r="BE20" s="28"/>
      <c r="BG20" s="4"/>
      <c r="BH20" s="28"/>
      <c r="BJ20" s="4"/>
      <c r="BK20" s="28"/>
      <c r="BM20" s="4"/>
      <c r="BN20" s="28"/>
      <c r="BO20" s="4"/>
      <c r="BP20" s="4"/>
      <c r="BQ20" s="28"/>
      <c r="BS20" s="4"/>
      <c r="BT20" s="28"/>
      <c r="BV20" s="4"/>
      <c r="BW20" s="28"/>
      <c r="BY20" s="4"/>
      <c r="BZ20" s="28"/>
      <c r="CB20" s="4"/>
      <c r="CC20" s="28"/>
      <c r="CD20" s="4"/>
      <c r="CE20" s="4"/>
      <c r="CF20" s="28"/>
      <c r="CH20" s="4"/>
      <c r="CI20" s="28"/>
      <c r="CK20" s="4"/>
      <c r="CL20" s="28"/>
      <c r="CN20" s="4"/>
      <c r="CO20" s="28"/>
      <c r="CQ20" s="4"/>
      <c r="CR20" s="28"/>
      <c r="CS20" s="4"/>
      <c r="CT20" s="4"/>
      <c r="CU20" s="28"/>
      <c r="CW20" s="4"/>
      <c r="CX20" s="28"/>
      <c r="CZ20" s="4"/>
      <c r="DA20" s="28"/>
      <c r="DC20" s="4"/>
      <c r="DD20" s="28"/>
      <c r="DF20" s="4"/>
      <c r="DG20" s="28"/>
      <c r="DH20" s="4"/>
      <c r="DI20" s="4"/>
      <c r="DJ20" s="28"/>
      <c r="DK20" s="4"/>
      <c r="DL20" s="4"/>
      <c r="DM20" s="28"/>
      <c r="DO20" s="4"/>
      <c r="DP20" s="28"/>
      <c r="DR20" s="4"/>
      <c r="DS20" s="28"/>
    </row>
    <row r="21" spans="1:123" x14ac:dyDescent="0.2">
      <c r="A21" s="1" t="s">
        <v>65</v>
      </c>
      <c r="E21" s="4"/>
      <c r="F21" s="28"/>
      <c r="G21" s="4"/>
      <c r="H21" s="4"/>
      <c r="I21" s="28"/>
      <c r="J21" s="4"/>
      <c r="K21" s="4"/>
      <c r="L21" s="28"/>
      <c r="M21" s="4"/>
      <c r="N21" s="4"/>
      <c r="O21" s="28"/>
      <c r="P21" s="4"/>
      <c r="Q21" s="4"/>
      <c r="R21" s="28"/>
      <c r="T21" s="4"/>
      <c r="U21" s="28"/>
      <c r="V21" s="4"/>
      <c r="W21" s="4"/>
      <c r="X21" s="28"/>
      <c r="Y21" s="4"/>
      <c r="Z21" s="4"/>
      <c r="AA21" s="28"/>
      <c r="AB21" s="4"/>
      <c r="AC21" s="4"/>
      <c r="AD21" s="28"/>
      <c r="AE21" s="4"/>
      <c r="AF21" s="4"/>
      <c r="AG21" s="28"/>
      <c r="AI21" s="4"/>
      <c r="AJ21" s="28"/>
      <c r="AK21" s="4"/>
      <c r="AL21" s="4"/>
      <c r="AM21" s="28"/>
      <c r="AN21" s="4"/>
      <c r="AO21" s="4"/>
      <c r="AP21" s="28"/>
      <c r="AQ21" s="4"/>
      <c r="AR21" s="4"/>
      <c r="AS21" s="28"/>
      <c r="AT21" s="4"/>
      <c r="AU21" s="4"/>
      <c r="AV21" s="28"/>
      <c r="AX21" s="4"/>
      <c r="AY21" s="28"/>
      <c r="AZ21" s="4"/>
      <c r="BA21" s="4"/>
      <c r="BB21" s="28"/>
      <c r="BD21" s="4"/>
      <c r="BE21" s="28"/>
      <c r="BG21" s="4"/>
      <c r="BH21" s="28"/>
      <c r="BJ21" s="4"/>
      <c r="BK21" s="28"/>
      <c r="BM21" s="4"/>
      <c r="BN21" s="28"/>
      <c r="BO21" s="4"/>
      <c r="BP21" s="4"/>
      <c r="BQ21" s="28"/>
      <c r="BS21" s="4"/>
      <c r="BT21" s="28"/>
      <c r="BV21" s="4"/>
      <c r="BW21" s="28"/>
      <c r="BY21" s="4"/>
      <c r="BZ21" s="28"/>
      <c r="CB21" s="4"/>
      <c r="CC21" s="28"/>
      <c r="CD21" s="4"/>
      <c r="CE21" s="4"/>
      <c r="CF21" s="28"/>
      <c r="CH21" s="4"/>
      <c r="CI21" s="28"/>
      <c r="CK21" s="4"/>
      <c r="CL21" s="28"/>
      <c r="CN21" s="4"/>
      <c r="CO21" s="28"/>
      <c r="CQ21" s="4"/>
      <c r="CR21" s="28"/>
      <c r="CS21" s="4"/>
      <c r="CT21" s="4"/>
      <c r="CU21" s="28"/>
      <c r="CW21" s="4"/>
      <c r="CX21" s="28"/>
      <c r="CZ21" s="4"/>
      <c r="DA21" s="28"/>
      <c r="DC21" s="4"/>
      <c r="DD21" s="28"/>
      <c r="DF21" s="4"/>
      <c r="DG21" s="28"/>
      <c r="DH21" s="4"/>
      <c r="DI21" s="4"/>
      <c r="DJ21" s="28"/>
      <c r="DK21" s="4"/>
      <c r="DL21" s="4"/>
      <c r="DM21" s="28"/>
      <c r="DO21" s="4"/>
      <c r="DP21" s="28"/>
      <c r="DR21" s="4"/>
      <c r="DS21" s="28"/>
    </row>
    <row r="22" spans="1:123" x14ac:dyDescent="0.2">
      <c r="B22" s="1" t="s">
        <v>125</v>
      </c>
      <c r="E22" s="4">
        <v>223243</v>
      </c>
      <c r="F22" s="28">
        <f>E22/E8</f>
        <v>0.1218531428452905</v>
      </c>
      <c r="G22" s="4"/>
      <c r="H22" s="4">
        <v>228078</v>
      </c>
      <c r="I22" s="28">
        <f>H22/H8</f>
        <v>0.12070186357098177</v>
      </c>
      <c r="J22" s="4"/>
      <c r="K22" s="4">
        <v>193175</v>
      </c>
      <c r="L22" s="28">
        <f>K22/K8</f>
        <v>0.11440837824087975</v>
      </c>
      <c r="M22" s="4"/>
      <c r="N22" s="4">
        <v>209546</v>
      </c>
      <c r="O22" s="28">
        <f>N22/N8</f>
        <v>0.11642194719215239</v>
      </c>
      <c r="P22" s="4"/>
      <c r="Q22" s="4">
        <v>854041</v>
      </c>
      <c r="R22" s="28">
        <f>Q22/Q8</f>
        <v>0.11845200919775917</v>
      </c>
      <c r="T22" s="4">
        <v>241278</v>
      </c>
      <c r="U22" s="28">
        <f>T22/T8</f>
        <v>0.11647276905104414</v>
      </c>
      <c r="V22" s="4"/>
      <c r="W22" s="4">
        <v>223963</v>
      </c>
      <c r="X22" s="28">
        <f>W22/W8</f>
        <v>0.11114882855091085</v>
      </c>
      <c r="Y22" s="4"/>
      <c r="Z22" s="4">
        <v>197476</v>
      </c>
      <c r="AA22" s="28">
        <f>Z22/Z8</f>
        <v>0.11177739161935597</v>
      </c>
      <c r="AB22" s="4"/>
      <c r="AC22" s="4">
        <v>225845</v>
      </c>
      <c r="AD22" s="28">
        <f>AC22/AC8</f>
        <v>0.11442733386769405</v>
      </c>
      <c r="AE22" s="4"/>
      <c r="AF22" s="4">
        <v>888561</v>
      </c>
      <c r="AG22" s="28">
        <f>AF22/AF8</f>
        <v>0.11352639630117169</v>
      </c>
      <c r="AI22" s="4">
        <v>249352</v>
      </c>
      <c r="AJ22" s="28">
        <f>AI22/AI8</f>
        <v>0.11391621480492319</v>
      </c>
      <c r="AK22" s="4"/>
      <c r="AL22" s="4">
        <v>241822</v>
      </c>
      <c r="AM22" s="28">
        <f>AL22/AL8</f>
        <v>0.11032206733322263</v>
      </c>
      <c r="AN22" s="4"/>
      <c r="AO22" s="4">
        <v>227038</v>
      </c>
      <c r="AP22" s="28">
        <f>AO22/AO8</f>
        <v>0.1097468896556458</v>
      </c>
      <c r="AQ22" s="4"/>
      <c r="AR22" s="4">
        <v>253328</v>
      </c>
      <c r="AS22" s="28">
        <f>AR22/AR8</f>
        <v>0.11026956252241711</v>
      </c>
      <c r="AT22" s="4"/>
      <c r="AU22" s="4">
        <v>971539</v>
      </c>
      <c r="AV22" s="28">
        <f>AU22/AU8</f>
        <v>0.11107155453348676</v>
      </c>
      <c r="AX22" s="4">
        <v>303929</v>
      </c>
      <c r="AY22" s="28">
        <f>AX22/AX8</f>
        <v>0.11249317573207045</v>
      </c>
      <c r="AZ22" s="4"/>
      <c r="BA22" s="4">
        <v>293162</v>
      </c>
      <c r="BB22" s="28">
        <f>BA22/BA8</f>
        <v>0.1110662797785812</v>
      </c>
      <c r="BD22" s="4">
        <v>262369</v>
      </c>
      <c r="BE22" s="28">
        <f>BD22/BD8</f>
        <v>0.10946454498422924</v>
      </c>
      <c r="BG22" s="4">
        <v>284436</v>
      </c>
      <c r="BH22" s="28">
        <f>BG22/BG8</f>
        <v>0.11075573041635613</v>
      </c>
      <c r="BJ22" s="4">
        <v>1143896</v>
      </c>
      <c r="BK22" s="28">
        <f>BJ22/BJ8</f>
        <v>0.11099045084849435</v>
      </c>
      <c r="BM22" s="4">
        <v>334136</v>
      </c>
      <c r="BN22" s="28">
        <f>BM22/BM8</f>
        <v>0.10918260416077816</v>
      </c>
      <c r="BO22" s="4"/>
      <c r="BP22" s="4">
        <v>311455</v>
      </c>
      <c r="BQ22" s="28">
        <f>BP22/BP8</f>
        <v>0.10665664440194304</v>
      </c>
      <c r="BS22" s="4">
        <v>302242</v>
      </c>
      <c r="BT22" s="28">
        <f>BS22/BS8</f>
        <v>0.10815544021055531</v>
      </c>
      <c r="BV22" s="4">
        <v>320690</v>
      </c>
      <c r="BW22" s="28">
        <f>BV22/BV8</f>
        <v>0.11060186604651355</v>
      </c>
      <c r="BY22" s="4">
        <v>1268524</v>
      </c>
      <c r="BZ22" s="28">
        <f>BY22/BY8</f>
        <v>0.10865748656047529</v>
      </c>
      <c r="CB22" s="4">
        <v>361894</v>
      </c>
      <c r="CC22" s="28">
        <f>CB22/CB8</f>
        <v>0.10990938020286346</v>
      </c>
      <c r="CD22" s="4"/>
      <c r="CE22" s="4">
        <v>338942</v>
      </c>
      <c r="CF22" s="28">
        <f>CE22/CE8</f>
        <v>0.10759312048047438</v>
      </c>
      <c r="CH22" s="4">
        <v>310400</v>
      </c>
      <c r="CI22" s="28">
        <f>CH22/CH8</f>
        <v>0.10670469167191195</v>
      </c>
      <c r="CK22" s="4">
        <v>327402</v>
      </c>
      <c r="CL22" s="28">
        <f>CK22/CK8</f>
        <v>0.10603907292489863</v>
      </c>
      <c r="CN22" s="4">
        <v>1338638</v>
      </c>
      <c r="CO22" s="28">
        <f>CN22/CN8</f>
        <v>0.10761273794453607</v>
      </c>
      <c r="CQ22" s="4">
        <v>376640</v>
      </c>
      <c r="CR22" s="28">
        <f>CQ22/CQ8</f>
        <v>0.10984043623544536</v>
      </c>
      <c r="CS22" s="4"/>
      <c r="CT22" s="4">
        <v>361682</v>
      </c>
      <c r="CU22" s="28">
        <f>CT22/CT8</f>
        <v>0.10957357791138791</v>
      </c>
      <c r="CW22" s="4">
        <v>337804</v>
      </c>
      <c r="CX22" s="28">
        <f>CW22/CW8</f>
        <v>0.10929999970879563</v>
      </c>
      <c r="CZ22" s="4">
        <v>375584</v>
      </c>
      <c r="DA22" s="28">
        <f>CZ22/CZ8</f>
        <v>0.1088566922908151</v>
      </c>
      <c r="DC22" s="4">
        <v>1451711</v>
      </c>
      <c r="DD22" s="28">
        <f>DC22/DC8</f>
        <v>0.10939250807533189</v>
      </c>
      <c r="DF22" s="4">
        <v>431927.73499999999</v>
      </c>
      <c r="DG22" s="28">
        <f>DF22/DF8</f>
        <v>0.11238245510994029</v>
      </c>
      <c r="DH22" s="4"/>
      <c r="DI22" s="4">
        <v>405148</v>
      </c>
      <c r="DJ22" s="28">
        <f>DI22/DI8</f>
        <v>0.10967137675274755</v>
      </c>
      <c r="DK22" s="4"/>
      <c r="DL22" s="4">
        <v>364348</v>
      </c>
      <c r="DM22" s="28">
        <f>DL22/DL8</f>
        <v>0.10636220858609154</v>
      </c>
      <c r="DO22" s="4"/>
      <c r="DP22" s="28"/>
      <c r="DR22" s="4"/>
      <c r="DS22" s="28"/>
    </row>
    <row r="23" spans="1:123" x14ac:dyDescent="0.2">
      <c r="B23" s="1" t="s">
        <v>126</v>
      </c>
      <c r="E23" s="4">
        <v>60651</v>
      </c>
      <c r="F23" s="28">
        <f>E23/E9</f>
        <v>0.19163699212294899</v>
      </c>
      <c r="G23" s="4"/>
      <c r="H23" s="4">
        <v>59319</v>
      </c>
      <c r="I23" s="28">
        <f>H23/H9</f>
        <v>0.17981502869146895</v>
      </c>
      <c r="J23" s="4"/>
      <c r="K23" s="4">
        <v>56481</v>
      </c>
      <c r="L23" s="28">
        <f>K23/K9</f>
        <v>0.17643861463152535</v>
      </c>
      <c r="M23" s="4"/>
      <c r="N23" s="4">
        <v>62355</v>
      </c>
      <c r="O23" s="28">
        <f>N23/N9</f>
        <v>0.1860188300995203</v>
      </c>
      <c r="P23" s="4"/>
      <c r="Q23" s="4">
        <v>238806</v>
      </c>
      <c r="R23" s="28">
        <f>Q23/Q9</f>
        <v>0.18345659493755487</v>
      </c>
      <c r="T23" s="4">
        <v>86183</v>
      </c>
      <c r="U23" s="28">
        <f>T23/T9</f>
        <v>0.1803768988308769</v>
      </c>
      <c r="V23" s="4"/>
      <c r="W23" s="4">
        <v>78841</v>
      </c>
      <c r="X23" s="28">
        <f>W23/W9</f>
        <v>0.17219079651429445</v>
      </c>
      <c r="Y23" s="4"/>
      <c r="Z23" s="4">
        <v>66538</v>
      </c>
      <c r="AA23" s="28">
        <f>Z23/Z9</f>
        <v>0.17049571826106563</v>
      </c>
      <c r="AB23" s="4"/>
      <c r="AC23" s="4">
        <v>70200</v>
      </c>
      <c r="AD23" s="28">
        <f>AC23/AC9</f>
        <v>0.17739771202438082</v>
      </c>
      <c r="AE23" s="4"/>
      <c r="AF23" s="4">
        <v>301761</v>
      </c>
      <c r="AG23" s="28">
        <f>AF23/AF9</f>
        <v>0.17527460623461139</v>
      </c>
      <c r="AI23" s="4">
        <v>81889</v>
      </c>
      <c r="AJ23" s="28">
        <f>AI23/AI9</f>
        <v>0.17505317500187048</v>
      </c>
      <c r="AK23" s="4"/>
      <c r="AL23" s="4">
        <v>75064</v>
      </c>
      <c r="AM23" s="28">
        <f>AL23/AL9</f>
        <v>0.171751515844869</v>
      </c>
      <c r="AN23" s="4"/>
      <c r="AO23" s="4">
        <v>73576</v>
      </c>
      <c r="AP23" s="28">
        <f>AO23/AO9</f>
        <v>0.17204723488834328</v>
      </c>
      <c r="AQ23" s="4"/>
      <c r="AR23" s="4">
        <v>77572</v>
      </c>
      <c r="AS23" s="28">
        <f>AR23/AR9</f>
        <v>0.18164192385144945</v>
      </c>
      <c r="AT23" s="4"/>
      <c r="AU23" s="4">
        <v>308100</v>
      </c>
      <c r="AV23" s="28">
        <f>AU23/AU9</f>
        <v>0.17510109090082435</v>
      </c>
      <c r="AX23" s="4">
        <v>86466</v>
      </c>
      <c r="AY23" s="28">
        <f>AX23/AX9</f>
        <v>0.17622422089475584</v>
      </c>
      <c r="AZ23" s="4"/>
      <c r="BA23" s="4">
        <v>77506</v>
      </c>
      <c r="BB23" s="28">
        <f>BA23/BA9</f>
        <v>0.1632024796433828</v>
      </c>
      <c r="BD23" s="4">
        <v>73418</v>
      </c>
      <c r="BE23" s="28">
        <f>BD23/BD9</f>
        <v>0.16790007135147003</v>
      </c>
      <c r="BG23" s="4">
        <v>76480</v>
      </c>
      <c r="BH23" s="28">
        <f>BG23/BG9</f>
        <v>0.18184109351929564</v>
      </c>
      <c r="BJ23" s="4">
        <v>313870</v>
      </c>
      <c r="BK23" s="28">
        <f>BJ23/BJ9</f>
        <v>0.17213211401620576</v>
      </c>
      <c r="BM23" s="4">
        <v>101562</v>
      </c>
      <c r="BN23" s="28">
        <f>BM23/BM9</f>
        <v>0.18626855817109739</v>
      </c>
      <c r="BO23" s="4"/>
      <c r="BP23" s="4">
        <v>85667</v>
      </c>
      <c r="BQ23" s="28">
        <f>BP23/BP9</f>
        <v>0.16155354819243029</v>
      </c>
      <c r="BS23" s="4">
        <v>84315</v>
      </c>
      <c r="BT23" s="28">
        <f>BS23/BS9</f>
        <v>0.17504505103015305</v>
      </c>
      <c r="BV23" s="4">
        <v>93343</v>
      </c>
      <c r="BW23" s="28">
        <f>BV23/BV9</f>
        <v>0.18974391290030126</v>
      </c>
      <c r="BY23" s="4">
        <v>364886</v>
      </c>
      <c r="BZ23" s="28">
        <f>BY23/BY9</f>
        <v>0.17806848066962955</v>
      </c>
      <c r="CB23" s="4">
        <v>104888</v>
      </c>
      <c r="CC23" s="28">
        <f>CB23/CB9</f>
        <v>0.18189984825493172</v>
      </c>
      <c r="CD23" s="4"/>
      <c r="CE23" s="4">
        <v>101263</v>
      </c>
      <c r="CF23" s="28">
        <f>CE23/CE9</f>
        <v>0.17111769019929907</v>
      </c>
      <c r="CH23" s="4">
        <v>89260</v>
      </c>
      <c r="CI23" s="28">
        <f>CH23/CH9</f>
        <v>0.17372653738059463</v>
      </c>
      <c r="CK23" s="4">
        <v>92690</v>
      </c>
      <c r="CL23" s="28">
        <f>CK23/CK9</f>
        <v>0.18315575649314722</v>
      </c>
      <c r="CN23" s="4">
        <v>388101</v>
      </c>
      <c r="CO23" s="28">
        <f>CN23/CN9</f>
        <v>0.17735541412451039</v>
      </c>
      <c r="CQ23" s="4">
        <v>102900</v>
      </c>
      <c r="CR23" s="28">
        <f>CQ23/CQ9</f>
        <v>0.18124461682351636</v>
      </c>
      <c r="CS23" s="4"/>
      <c r="CT23" s="4">
        <v>91485</v>
      </c>
      <c r="CU23" s="28">
        <f>CT23/CT9</f>
        <v>0.16324888205252658</v>
      </c>
      <c r="CW23" s="4">
        <v>82755</v>
      </c>
      <c r="CX23" s="28">
        <f>CW23/CW9</f>
        <v>0.16944623606376116</v>
      </c>
      <c r="CZ23" s="4">
        <v>85504</v>
      </c>
      <c r="DA23" s="28">
        <f>CZ23/CZ9</f>
        <v>0.18351018165584973</v>
      </c>
      <c r="DC23" s="4">
        <v>362642</v>
      </c>
      <c r="DD23" s="28">
        <f>DC23/DC9</f>
        <v>0.17414082548365781</v>
      </c>
      <c r="DF23" s="4">
        <v>104671.80100000001</v>
      </c>
      <c r="DG23" s="28">
        <f>DF23/DF9</f>
        <v>0.18914648133143433</v>
      </c>
      <c r="DH23" s="4"/>
      <c r="DI23" s="4">
        <v>100277</v>
      </c>
      <c r="DJ23" s="28">
        <f>DI23/DI9</f>
        <v>0.18306506233489786</v>
      </c>
      <c r="DK23" s="4"/>
      <c r="DL23" s="4">
        <v>93601</v>
      </c>
      <c r="DM23" s="28">
        <f>DL23/DL9</f>
        <v>0.16933541985147127</v>
      </c>
      <c r="DO23" s="4"/>
      <c r="DP23" s="28"/>
      <c r="DR23" s="4"/>
      <c r="DS23" s="28"/>
    </row>
    <row r="24" spans="1:123" x14ac:dyDescent="0.2">
      <c r="B24" s="1" t="s">
        <v>127</v>
      </c>
      <c r="E24" s="5">
        <f>48109+1545</f>
        <v>49654</v>
      </c>
      <c r="F24" s="29">
        <f>E24/E14</f>
        <v>0.43803205801141526</v>
      </c>
      <c r="G24" s="5"/>
      <c r="H24" s="5">
        <f>60566+1155</f>
        <v>61721</v>
      </c>
      <c r="I24" s="29">
        <f>H24/H14</f>
        <v>0.50428537579763544</v>
      </c>
      <c r="J24" s="5"/>
      <c r="K24" s="5">
        <f>46660+1594</f>
        <v>48254</v>
      </c>
      <c r="L24" s="29">
        <f>K24/K14</f>
        <v>0.43651791610504509</v>
      </c>
      <c r="M24" s="5"/>
      <c r="N24" s="5">
        <f>47622+1129</f>
        <v>48751</v>
      </c>
      <c r="O24" s="29">
        <f>N24/N14</f>
        <v>0.41475740379952525</v>
      </c>
      <c r="P24" s="5"/>
      <c r="Q24" s="5">
        <f>202957+5424</f>
        <v>208381</v>
      </c>
      <c r="R24" s="29">
        <f>Q24/Q14</f>
        <v>0.44925770857677533</v>
      </c>
      <c r="T24" s="5">
        <f>54191+1443</f>
        <v>55634</v>
      </c>
      <c r="U24" s="29">
        <f>T24/T14</f>
        <v>0.42768078841970125</v>
      </c>
      <c r="V24" s="5"/>
      <c r="W24" s="5">
        <f>49767+1704</f>
        <v>51471</v>
      </c>
      <c r="X24" s="29">
        <f>W24/W14</f>
        <v>0.44770627837795524</v>
      </c>
      <c r="Y24" s="5"/>
      <c r="Z24" s="5">
        <f>37204+2001</f>
        <v>39205</v>
      </c>
      <c r="AA24" s="29">
        <f>Z24/Z14</f>
        <v>0.37856549699696801</v>
      </c>
      <c r="AB24" s="5"/>
      <c r="AC24" s="5">
        <f>40774+1353</f>
        <v>42127</v>
      </c>
      <c r="AD24" s="29">
        <f>AC24/AC14</f>
        <v>0.39581884806915346</v>
      </c>
      <c r="AE24" s="5"/>
      <c r="AF24" s="5">
        <f>181937+6502</f>
        <v>188439</v>
      </c>
      <c r="AG24" s="29">
        <f>AF24/AF14</f>
        <v>0.41411433255464891</v>
      </c>
      <c r="AI24" s="5">
        <f>49083+1591</f>
        <v>50674</v>
      </c>
      <c r="AJ24" s="29">
        <f>AI24/AI14</f>
        <v>0.43046942693555784</v>
      </c>
      <c r="AK24" s="5"/>
      <c r="AL24" s="5">
        <f>49518+1589</f>
        <v>51107</v>
      </c>
      <c r="AM24" s="29">
        <f>AL24/AL14</f>
        <v>0.39620900845026746</v>
      </c>
      <c r="AN24" s="5"/>
      <c r="AO24" s="5">
        <f>43722+883</f>
        <v>44605</v>
      </c>
      <c r="AP24" s="29">
        <f>AO24/AO14</f>
        <v>0.42058762517208215</v>
      </c>
      <c r="AQ24" s="5"/>
      <c r="AR24" s="5">
        <f>37447+888</f>
        <v>38335</v>
      </c>
      <c r="AS24" s="29">
        <f>AR24/AR14</f>
        <v>0.3702576881471179</v>
      </c>
      <c r="AT24" s="5"/>
      <c r="AU24" s="5">
        <f>179771+4952</f>
        <v>184723</v>
      </c>
      <c r="AV24" s="29">
        <f>AU24/AU14</f>
        <v>0.40482973846039211</v>
      </c>
      <c r="AX24" s="5">
        <f>56626+1075</f>
        <v>57701</v>
      </c>
      <c r="AY24" s="29">
        <f>AX24/AX14</f>
        <v>0.48634137707239367</v>
      </c>
      <c r="AZ24" s="14"/>
      <c r="BA24" s="5">
        <f>62863+1212</f>
        <v>64075</v>
      </c>
      <c r="BB24" s="29">
        <f>BA24/BA14</f>
        <v>0.48866704290660606</v>
      </c>
      <c r="BD24" s="5">
        <f>44778+1156</f>
        <v>45934</v>
      </c>
      <c r="BE24" s="29">
        <f>BD24/BD14</f>
        <v>0.42810941795983037</v>
      </c>
      <c r="BG24" s="5">
        <f>22188+1037</f>
        <v>23225</v>
      </c>
      <c r="BH24" s="29">
        <f>BG24/BG14</f>
        <v>0.26525274675072524</v>
      </c>
      <c r="BJ24" s="5">
        <f>186456+4479</f>
        <v>190935</v>
      </c>
      <c r="BK24" s="29">
        <f>BJ24/BJ14</f>
        <v>0.42943605522043643</v>
      </c>
      <c r="BM24" s="5">
        <f>64192+1841</f>
        <v>66033</v>
      </c>
      <c r="BN24" s="29">
        <f>BM24/BM14</f>
        <v>0.4566281723255653</v>
      </c>
      <c r="BO24" s="14"/>
      <c r="BP24" s="5">
        <f>64145+2072</f>
        <v>66217</v>
      </c>
      <c r="BQ24" s="29">
        <f>BP24/BP14</f>
        <v>0.44512937032381233</v>
      </c>
      <c r="BS24" s="5">
        <f>58609+1454</f>
        <v>60063</v>
      </c>
      <c r="BT24" s="29">
        <f>BS24/BS14</f>
        <v>0.46544950132901436</v>
      </c>
      <c r="BV24" s="5">
        <f>61179+625</f>
        <v>61804</v>
      </c>
      <c r="BW24" s="29">
        <f>BV24/BV14</f>
        <v>0.50390131348297196</v>
      </c>
      <c r="BY24" s="5">
        <f>248126+5992</f>
        <v>254118</v>
      </c>
      <c r="BZ24" s="29">
        <f>BY24/BY14</f>
        <v>0.46621766658166119</v>
      </c>
      <c r="CB24" s="5">
        <f>76190+822</f>
        <v>77012</v>
      </c>
      <c r="CC24" s="29">
        <f>CB24/CB14</f>
        <v>0.52891040829641844</v>
      </c>
      <c r="CD24" s="14"/>
      <c r="CE24" s="5">
        <f>80023+1142</f>
        <v>81165</v>
      </c>
      <c r="CF24" s="29">
        <f>CE24/CE14</f>
        <v>0.56790909536170842</v>
      </c>
      <c r="CH24" s="5">
        <f>63978+693</f>
        <v>64671</v>
      </c>
      <c r="CI24" s="29">
        <f>CH24/CH14</f>
        <v>0.53310526749649656</v>
      </c>
      <c r="CK24" s="5">
        <v>69173</v>
      </c>
      <c r="CL24" s="29">
        <f>CK24/CK14</f>
        <v>0.61666354648623112</v>
      </c>
      <c r="CN24" s="5">
        <v>292021</v>
      </c>
      <c r="CO24" s="29">
        <f>CN24/CN14</f>
        <v>0.55941970126837381</v>
      </c>
      <c r="CQ24" s="5">
        <v>93097</v>
      </c>
      <c r="CR24" s="29">
        <f>CQ24/CQ14</f>
        <v>0.717947729253264</v>
      </c>
      <c r="CS24" s="14"/>
      <c r="CT24" s="5">
        <v>92195</v>
      </c>
      <c r="CU24" s="29">
        <f>CT24/CT14</f>
        <v>0.67774494236650196</v>
      </c>
      <c r="CW24" s="5">
        <v>82576</v>
      </c>
      <c r="CX24" s="29">
        <f>CW24/CW14</f>
        <v>0.67394675415830108</v>
      </c>
      <c r="CZ24" s="5">
        <v>101072</v>
      </c>
      <c r="DA24" s="29">
        <f>CZ24/CZ14</f>
        <v>0.75560506268549599</v>
      </c>
      <c r="DC24" s="5">
        <v>368941</v>
      </c>
      <c r="DD24" s="29">
        <f>DC24/DC14</f>
        <v>0.70679435700163984</v>
      </c>
      <c r="DF24" s="5">
        <v>112337.981</v>
      </c>
      <c r="DG24" s="29">
        <f>DF24/DF14</f>
        <v>0.77171076093333169</v>
      </c>
      <c r="DH24" s="14"/>
      <c r="DI24" s="5">
        <v>98580</v>
      </c>
      <c r="DJ24" s="29">
        <f>DI24/DI14</f>
        <v>0.6813987406081301</v>
      </c>
      <c r="DK24" s="14"/>
      <c r="DL24" s="5">
        <v>81239</v>
      </c>
      <c r="DM24" s="29">
        <f>DL24/DL14</f>
        <v>0.6311197775050108</v>
      </c>
      <c r="DO24" s="5"/>
      <c r="DP24" s="29"/>
      <c r="DR24" s="5"/>
      <c r="DS24" s="29"/>
    </row>
    <row r="25" spans="1:123" x14ac:dyDescent="0.2">
      <c r="C25" s="1" t="s">
        <v>128</v>
      </c>
      <c r="E25" s="4">
        <f>SUM(E22:E24)</f>
        <v>333548</v>
      </c>
      <c r="F25" s="28">
        <f>E25/E16</f>
        <v>0.14746285443465529</v>
      </c>
      <c r="G25" s="4"/>
      <c r="H25" s="4">
        <f>SUM(H22:H24)</f>
        <v>349118</v>
      </c>
      <c r="I25" s="28">
        <f>H25/H16</f>
        <v>0.14907595606948265</v>
      </c>
      <c r="J25" s="4"/>
      <c r="K25" s="4">
        <f>SUM(K22:K24)</f>
        <v>297910</v>
      </c>
      <c r="L25" s="28">
        <f>K25/K16</f>
        <v>0.14058134261765093</v>
      </c>
      <c r="M25" s="4"/>
      <c r="N25" s="4">
        <f>SUM(N22:N24)</f>
        <v>320652</v>
      </c>
      <c r="O25" s="28">
        <f>N25/N16</f>
        <v>0.14234542422134452</v>
      </c>
      <c r="P25" s="4"/>
      <c r="Q25" s="4">
        <f>SUM(Q22:Q24)</f>
        <v>1301228</v>
      </c>
      <c r="R25" s="28">
        <f>Q25/Q16</f>
        <v>0.1449746723154916</v>
      </c>
      <c r="T25" s="4">
        <f>SUM(T22:T24)</f>
        <v>383095</v>
      </c>
      <c r="U25" s="28">
        <f>T25/T16</f>
        <v>0.14297699835449279</v>
      </c>
      <c r="V25" s="4"/>
      <c r="W25" s="4">
        <f>SUM(W22:W24)</f>
        <v>354275</v>
      </c>
      <c r="X25" s="28">
        <f>W25/W16</f>
        <v>0.13690099655346838</v>
      </c>
      <c r="Y25" s="4"/>
      <c r="Z25" s="4">
        <f>SUM(Z22:Z24)</f>
        <v>303219</v>
      </c>
      <c r="AA25" s="28">
        <f>Z25/Z16</f>
        <v>0.13413719180681916</v>
      </c>
      <c r="AB25" s="4"/>
      <c r="AC25" s="4">
        <f>SUM(AC22:AC24)</f>
        <v>338172</v>
      </c>
      <c r="AD25" s="28">
        <f>AC25/AC16</f>
        <v>0.13658829759003882</v>
      </c>
      <c r="AE25" s="4"/>
      <c r="AF25" s="4">
        <f>SUM(AF22:AF24)</f>
        <v>1378761</v>
      </c>
      <c r="AG25" s="28">
        <f>AF25/AF16</f>
        <v>0.13782649624400178</v>
      </c>
      <c r="AI25" s="4">
        <f>SUM(AI22:AI24)</f>
        <v>381915</v>
      </c>
      <c r="AJ25" s="28">
        <f>AI25/AI16</f>
        <v>0.13765579832902011</v>
      </c>
      <c r="AK25" s="4"/>
      <c r="AL25" s="4">
        <f>SUM(AL22:AL24)</f>
        <v>367993</v>
      </c>
      <c r="AM25" s="28">
        <f>AL25/AL16</f>
        <v>0.13342729017071767</v>
      </c>
      <c r="AN25" s="4"/>
      <c r="AO25" s="4">
        <f>SUM(AO22:AO24)</f>
        <v>345219</v>
      </c>
      <c r="AP25" s="28">
        <f>AO25/AO16</f>
        <v>0.13265174378257993</v>
      </c>
      <c r="AQ25" s="4"/>
      <c r="AR25" s="4">
        <f>SUM(AR22:AR24)</f>
        <v>369235</v>
      </c>
      <c r="AS25" s="28">
        <f>AR25/AR16</f>
        <v>0.13056640362552635</v>
      </c>
      <c r="AT25" s="4"/>
      <c r="AU25" s="4">
        <f>SUM(AU22:AU24)</f>
        <v>1464362</v>
      </c>
      <c r="AV25" s="28">
        <f>AU25/AU16</f>
        <v>0.13357532707375055</v>
      </c>
      <c r="AX25" s="4">
        <f>SUM(AX22:AX24)</f>
        <v>448096</v>
      </c>
      <c r="AY25" s="28">
        <f>AX25/AX16</f>
        <v>0.13533321836501153</v>
      </c>
      <c r="AZ25" s="4"/>
      <c r="BA25" s="4">
        <f>SUM(BA22:BA24)</f>
        <v>434743</v>
      </c>
      <c r="BB25" s="28">
        <f>BA25/BA16</f>
        <v>0.1339504035060908</v>
      </c>
      <c r="BC25" s="4"/>
      <c r="BD25" s="4">
        <f>SUM(BD22:BD24)</f>
        <v>381721</v>
      </c>
      <c r="BE25" s="28">
        <f>BD25/BD16</f>
        <v>0.12977496823798951</v>
      </c>
      <c r="BF25" s="4"/>
      <c r="BG25" s="4">
        <f>SUM(BG22:BG24)</f>
        <v>384141</v>
      </c>
      <c r="BH25" s="28">
        <f>BG25/BG16</f>
        <v>0.12487180145649798</v>
      </c>
      <c r="BI25" s="4"/>
      <c r="BJ25" s="4">
        <f>SUM(BJ22:BJ24)</f>
        <v>1648701</v>
      </c>
      <c r="BK25" s="28">
        <f>BJ25/BJ16</f>
        <v>0.13111673263058243</v>
      </c>
      <c r="BM25" s="4">
        <f>SUM(BM22:BM24)</f>
        <v>501731</v>
      </c>
      <c r="BN25" s="28">
        <f>BM25/BM16</f>
        <v>0.13378794068363359</v>
      </c>
      <c r="BO25" s="4"/>
      <c r="BP25" s="4">
        <f>SUM(BP22:BP24)</f>
        <v>463339</v>
      </c>
      <c r="BQ25" s="28">
        <f>BP25/BP16</f>
        <v>0.12873409991236928</v>
      </c>
      <c r="BR25" s="4"/>
      <c r="BS25" s="4">
        <f>SUM(BS22:BS24)</f>
        <v>446620</v>
      </c>
      <c r="BT25" s="28">
        <f>BS25/BS16</f>
        <v>0.13115691902524174</v>
      </c>
      <c r="BU25" s="4"/>
      <c r="BV25" s="4">
        <f>SUM(BV22:BV24)</f>
        <v>475837</v>
      </c>
      <c r="BW25" s="28">
        <f>BV25/BV16</f>
        <v>0.13540823632392093</v>
      </c>
      <c r="BX25" s="4"/>
      <c r="BY25" s="4">
        <f>SUM(BY22:BY24)</f>
        <v>1887528</v>
      </c>
      <c r="BZ25" s="28">
        <f>BY25/BY16</f>
        <v>0.13228436251727205</v>
      </c>
      <c r="CB25" s="4">
        <f>SUM(CB22:CB24)</f>
        <v>543794</v>
      </c>
      <c r="CC25" s="28">
        <f>CB25/CB16</f>
        <v>0.13544437603240739</v>
      </c>
      <c r="CD25" s="4"/>
      <c r="CE25" s="4">
        <f>SUM(CE22:CE24)</f>
        <v>521370</v>
      </c>
      <c r="CF25" s="28">
        <f>CE25/CE16</f>
        <v>0.13420377753633092</v>
      </c>
      <c r="CG25" s="4"/>
      <c r="CH25" s="4">
        <f>SUM(CH22:CH24)</f>
        <v>464331</v>
      </c>
      <c r="CI25" s="28">
        <f>CH25/CH16</f>
        <v>0.13101635436556117</v>
      </c>
      <c r="CJ25" s="4"/>
      <c r="CK25" s="4">
        <f>SUM(CK22:CK24)</f>
        <v>489265</v>
      </c>
      <c r="CL25" s="28">
        <f>CK25/CK16</f>
        <v>0.13202664468313902</v>
      </c>
      <c r="CM25" s="4"/>
      <c r="CN25" s="4">
        <f>SUM(CN22:CN24)</f>
        <v>2018760</v>
      </c>
      <c r="CO25" s="28">
        <f>CN25/CN16</f>
        <v>0.13325434374004722</v>
      </c>
      <c r="CQ25" s="4">
        <f>SUM(CQ22:CQ24)</f>
        <v>572637</v>
      </c>
      <c r="CR25" s="28">
        <f>CQ25/CQ16</f>
        <v>0.1387744626896272</v>
      </c>
      <c r="CS25" s="4"/>
      <c r="CT25" s="4">
        <f>SUM(CT22:CT24)</f>
        <v>545362</v>
      </c>
      <c r="CU25" s="28">
        <f>CT25/CT16</f>
        <v>0.13643436684438895</v>
      </c>
      <c r="CV25" s="4"/>
      <c r="CW25" s="4">
        <f>SUM(CW22:CW24)</f>
        <v>503135</v>
      </c>
      <c r="CX25" s="28">
        <f>CW25/CW16</f>
        <v>0.13592644543166543</v>
      </c>
      <c r="CY25" s="4"/>
      <c r="CZ25" s="4">
        <f>SUM(CZ22:CZ24)</f>
        <v>562160</v>
      </c>
      <c r="DA25" s="28">
        <f>CZ25/CZ16</f>
        <v>0.13880630919811554</v>
      </c>
      <c r="DB25" s="4"/>
      <c r="DC25" s="4">
        <f>SUM(DC22:DC24)</f>
        <v>2183294</v>
      </c>
      <c r="DD25" s="28">
        <f>DC25/DC16</f>
        <v>0.13752930844356559</v>
      </c>
      <c r="DF25" s="4">
        <f>SUM(DF22:DF24)</f>
        <v>648937.51699999999</v>
      </c>
      <c r="DG25" s="28">
        <f>DF25/DF16</f>
        <v>0.14286434604579232</v>
      </c>
      <c r="DH25" s="4"/>
      <c r="DI25" s="4">
        <f>SUM(DI22:DI24)</f>
        <v>604005</v>
      </c>
      <c r="DJ25" s="28">
        <f>DI25/DI16</f>
        <v>0.13769194645560157</v>
      </c>
      <c r="DK25" s="4"/>
      <c r="DL25" s="4">
        <f>SUM(DL22:DL24)</f>
        <v>539188</v>
      </c>
      <c r="DM25" s="28">
        <f>DL25/DL16</f>
        <v>0.13128457953789818</v>
      </c>
      <c r="DN25" s="4"/>
      <c r="DO25" s="4"/>
      <c r="DP25" s="28"/>
      <c r="DQ25" s="4"/>
      <c r="DR25" s="4"/>
      <c r="DS25" s="28"/>
    </row>
    <row r="26" spans="1:123" x14ac:dyDescent="0.2">
      <c r="E26" s="4"/>
      <c r="F26" s="28"/>
      <c r="G26" s="4"/>
      <c r="H26" s="4"/>
      <c r="I26" s="28"/>
      <c r="J26" s="4"/>
      <c r="K26" s="4"/>
      <c r="L26" s="28"/>
      <c r="M26" s="4"/>
      <c r="N26" s="4"/>
      <c r="O26" s="28"/>
      <c r="P26" s="4"/>
      <c r="Q26" s="4"/>
      <c r="R26" s="28"/>
      <c r="T26" s="4"/>
      <c r="U26" s="28"/>
      <c r="V26" s="4"/>
      <c r="W26" s="4"/>
      <c r="X26" s="28"/>
      <c r="Y26" s="4"/>
      <c r="Z26" s="4"/>
      <c r="AA26" s="28"/>
      <c r="AB26" s="4"/>
      <c r="AC26" s="4"/>
      <c r="AD26" s="28"/>
      <c r="AE26" s="4"/>
      <c r="AF26" s="4"/>
      <c r="AG26" s="28"/>
      <c r="AI26" s="4"/>
      <c r="AJ26" s="28"/>
      <c r="AK26" s="4"/>
      <c r="AL26" s="4"/>
      <c r="AM26" s="28"/>
      <c r="AN26" s="4"/>
      <c r="AO26" s="4"/>
      <c r="AP26" s="28"/>
      <c r="AQ26" s="4"/>
      <c r="AR26" s="4"/>
      <c r="AS26" s="28"/>
      <c r="AT26" s="4"/>
      <c r="AU26" s="4"/>
      <c r="AV26" s="28"/>
      <c r="AX26" s="4"/>
      <c r="AY26" s="28"/>
      <c r="AZ26" s="4"/>
      <c r="BA26" s="4"/>
      <c r="BB26" s="28"/>
      <c r="BD26" s="4"/>
      <c r="BE26" s="28"/>
      <c r="BG26" s="4"/>
      <c r="BH26" s="28"/>
      <c r="BJ26" s="4"/>
      <c r="BK26" s="28"/>
      <c r="BM26" s="4"/>
      <c r="BN26" s="28"/>
      <c r="BO26" s="4"/>
      <c r="BP26" s="4"/>
      <c r="BQ26" s="28"/>
      <c r="BS26" s="4"/>
      <c r="BT26" s="28"/>
      <c r="BV26" s="4"/>
      <c r="BW26" s="28"/>
      <c r="BY26" s="4"/>
      <c r="BZ26" s="28"/>
      <c r="CB26" s="4"/>
      <c r="CC26" s="28"/>
      <c r="CD26" s="4"/>
      <c r="CE26" s="4"/>
      <c r="CF26" s="28"/>
      <c r="CH26" s="4"/>
      <c r="CI26" s="28"/>
      <c r="CK26" s="4"/>
      <c r="CL26" s="28"/>
      <c r="CN26" s="4"/>
      <c r="CO26" s="28"/>
      <c r="CQ26" s="4"/>
      <c r="CR26" s="28"/>
      <c r="CS26" s="4"/>
      <c r="CT26" s="4"/>
      <c r="CU26" s="28"/>
      <c r="CW26" s="4"/>
      <c r="CX26" s="28"/>
      <c r="CZ26" s="4"/>
      <c r="DA26" s="28"/>
      <c r="DC26" s="4"/>
      <c r="DD26" s="28"/>
      <c r="DF26" s="4"/>
      <c r="DG26" s="28"/>
      <c r="DH26" s="4"/>
      <c r="DI26" s="4"/>
      <c r="DJ26" s="28"/>
      <c r="DK26" s="4"/>
      <c r="DL26" s="4"/>
      <c r="DM26" s="28"/>
      <c r="DO26" s="4"/>
      <c r="DP26" s="28"/>
      <c r="DR26" s="4"/>
      <c r="DS26" s="28"/>
    </row>
    <row r="27" spans="1:123" x14ac:dyDescent="0.2">
      <c r="A27" s="1" t="s">
        <v>187</v>
      </c>
      <c r="E27" s="4">
        <v>57495</v>
      </c>
      <c r="F27" s="28">
        <f>E27/E16</f>
        <v>2.5418760765228709E-2</v>
      </c>
      <c r="G27" s="4"/>
      <c r="H27" s="4">
        <v>52604</v>
      </c>
      <c r="I27" s="28">
        <f>H27/H16</f>
        <v>2.2462295249970111E-2</v>
      </c>
      <c r="J27" s="4"/>
      <c r="K27" s="4">
        <v>55745</v>
      </c>
      <c r="L27" s="28">
        <f>K27/K16</f>
        <v>2.63056189594876E-2</v>
      </c>
      <c r="M27" s="4"/>
      <c r="N27" s="4">
        <v>54139</v>
      </c>
      <c r="O27" s="28">
        <f>N27/N16</f>
        <v>2.4033653062882413E-2</v>
      </c>
      <c r="P27" s="4"/>
      <c r="Q27" s="4">
        <v>219983</v>
      </c>
      <c r="R27" s="28">
        <f>Q27/Q16</f>
        <v>2.4509127793114496E-2</v>
      </c>
      <c r="T27" s="4">
        <v>69661</v>
      </c>
      <c r="U27" s="28">
        <f>T27/T16</f>
        <v>2.5998566105984996E-2</v>
      </c>
      <c r="V27" s="4"/>
      <c r="W27" s="4">
        <v>63826</v>
      </c>
      <c r="X27" s="28">
        <f>W27/W16</f>
        <v>2.4664012436727608E-2</v>
      </c>
      <c r="Y27" s="4"/>
      <c r="Z27" s="4">
        <v>62625</v>
      </c>
      <c r="AA27" s="28">
        <f>Z27/Z16</f>
        <v>2.7703876198068227E-2</v>
      </c>
      <c r="AB27" s="4"/>
      <c r="AC27" s="4">
        <v>66073</v>
      </c>
      <c r="AD27" s="28">
        <f>AC27/AC16</f>
        <v>2.6687007164007175E-2</v>
      </c>
      <c r="AE27" s="4"/>
      <c r="AF27" s="4">
        <v>262185</v>
      </c>
      <c r="AG27" s="28">
        <f>AF27/AF16</f>
        <v>2.6209067356658337E-2</v>
      </c>
      <c r="AI27" s="4">
        <v>75179</v>
      </c>
      <c r="AJ27" s="28">
        <f>AI27/AI16</f>
        <v>2.7097195089424094E-2</v>
      </c>
      <c r="AK27" s="4"/>
      <c r="AL27" s="4">
        <v>75676</v>
      </c>
      <c r="AM27" s="28">
        <f>AL27/AL16</f>
        <v>2.7438683917789822E-2</v>
      </c>
      <c r="AN27" s="4"/>
      <c r="AO27" s="4">
        <v>72454</v>
      </c>
      <c r="AP27" s="28">
        <f>AO27/AO16</f>
        <v>2.7840731373484792E-2</v>
      </c>
      <c r="AQ27" s="4"/>
      <c r="AR27" s="4">
        <v>75958</v>
      </c>
      <c r="AS27" s="28">
        <f>AR27/AR16</f>
        <v>2.6859758383110298E-2</v>
      </c>
      <c r="AT27" s="4"/>
      <c r="AU27" s="4">
        <v>299267</v>
      </c>
      <c r="AV27" s="28">
        <f>AU27/AU16</f>
        <v>2.7298364343912303E-2</v>
      </c>
      <c r="AX27" s="4">
        <v>87019</v>
      </c>
      <c r="AY27" s="28">
        <f>AX27/AX16</f>
        <v>2.6281335537261967E-2</v>
      </c>
      <c r="AZ27" s="4"/>
      <c r="BA27" s="4">
        <v>84422</v>
      </c>
      <c r="BB27" s="28">
        <f>BA27/BA16</f>
        <v>2.6011599875768437E-2</v>
      </c>
      <c r="BD27" s="4">
        <v>83905</v>
      </c>
      <c r="BE27" s="28">
        <f>BD27/BD16</f>
        <v>2.8525464174118033E-2</v>
      </c>
      <c r="BG27" s="4">
        <v>80821</v>
      </c>
      <c r="BH27" s="28">
        <f>BG27/BG16</f>
        <v>2.6272290293188241E-2</v>
      </c>
      <c r="BJ27" s="4">
        <v>336167</v>
      </c>
      <c r="BK27" s="28">
        <f>BJ27/BJ16</f>
        <v>2.6734452552782464E-2</v>
      </c>
      <c r="BM27" s="4">
        <v>94615</v>
      </c>
      <c r="BN27" s="28">
        <f>BM27/BM16</f>
        <v>2.5229348012743867E-2</v>
      </c>
      <c r="BO27" s="4"/>
      <c r="BP27" s="4">
        <v>92574</v>
      </c>
      <c r="BQ27" s="28">
        <f>BP27/BP16</f>
        <v>2.5720758592062555E-2</v>
      </c>
      <c r="BS27" s="4">
        <v>89722</v>
      </c>
      <c r="BT27" s="28">
        <f>BS27/BS16</f>
        <v>2.6348262703825932E-2</v>
      </c>
      <c r="BV27" s="4">
        <v>90383</v>
      </c>
      <c r="BW27" s="28">
        <f>BV27/BV16</f>
        <v>2.5720157582670003E-2</v>
      </c>
      <c r="BY27" s="4">
        <v>367294</v>
      </c>
      <c r="BZ27" s="28">
        <f>BY27/BY16</f>
        <v>2.5741208949705077E-2</v>
      </c>
      <c r="CB27" s="4">
        <v>109108</v>
      </c>
      <c r="CC27" s="28">
        <f>CB27/CB16</f>
        <v>2.7175851480788504E-2</v>
      </c>
      <c r="CD27" s="4"/>
      <c r="CE27" s="4">
        <v>98279</v>
      </c>
      <c r="CF27" s="28">
        <f>CE27/CE16</f>
        <v>2.5297606407144766E-2</v>
      </c>
      <c r="CH27" s="4">
        <v>92316</v>
      </c>
      <c r="CI27" s="28">
        <f>CH27/CH16</f>
        <v>2.6048025588666587E-2</v>
      </c>
      <c r="CK27" s="4">
        <v>92333</v>
      </c>
      <c r="CL27" s="28">
        <f>CK27/CK16</f>
        <v>2.4915774035600902E-2</v>
      </c>
      <c r="CN27" s="4">
        <v>392036</v>
      </c>
      <c r="CO27" s="28">
        <f>CN27/CN16</f>
        <v>2.5877518824661255E-2</v>
      </c>
      <c r="CQ27" s="4">
        <v>100758</v>
      </c>
      <c r="CR27" s="28">
        <f>CQ27/CQ16</f>
        <v>2.4417977377782882E-2</v>
      </c>
      <c r="CS27" s="4"/>
      <c r="CT27" s="4">
        <v>95969</v>
      </c>
      <c r="CU27" s="28">
        <f>CT27/CT16</f>
        <v>2.4008768032406296E-2</v>
      </c>
      <c r="CW27" s="4">
        <v>89359</v>
      </c>
      <c r="CX27" s="28">
        <f>CW27/CW16</f>
        <v>2.4141137542266374E-2</v>
      </c>
      <c r="CZ27" s="4">
        <v>82898</v>
      </c>
      <c r="DA27" s="28">
        <f>CZ27/CZ16</f>
        <v>2.0468844136732216E-2</v>
      </c>
      <c r="DC27" s="4">
        <v>368984</v>
      </c>
      <c r="DD27" s="28">
        <f>DC27/DC16</f>
        <v>2.3242913847947459E-2</v>
      </c>
      <c r="DF27" s="4">
        <v>109362.936</v>
      </c>
      <c r="DG27" s="28">
        <f>DF27/DF16</f>
        <v>2.4076377037834041E-2</v>
      </c>
      <c r="DH27" s="4"/>
      <c r="DI27" s="4">
        <v>107936</v>
      </c>
      <c r="DJ27" s="28">
        <f>DI27/DI16</f>
        <v>2.4605620702861417E-2</v>
      </c>
      <c r="DK27" s="4"/>
      <c r="DL27" s="4">
        <v>102810</v>
      </c>
      <c r="DM27" s="28">
        <f>DL27/DL16</f>
        <v>2.5032767091054165E-2</v>
      </c>
      <c r="DO27" s="4"/>
      <c r="DP27" s="28"/>
      <c r="DR27" s="4"/>
      <c r="DS27" s="28"/>
    </row>
    <row r="28" spans="1:123" x14ac:dyDescent="0.2">
      <c r="D28" s="12"/>
      <c r="E28" s="14"/>
      <c r="F28" s="39"/>
      <c r="G28" s="14"/>
      <c r="H28" s="14"/>
      <c r="I28" s="39"/>
      <c r="J28" s="14"/>
      <c r="K28" s="14"/>
      <c r="L28" s="39"/>
      <c r="M28" s="14"/>
      <c r="N28" s="14"/>
      <c r="O28" s="39"/>
      <c r="P28" s="14"/>
      <c r="Q28" s="14"/>
      <c r="R28" s="39"/>
      <c r="S28" s="12"/>
      <c r="T28" s="14"/>
      <c r="U28" s="39"/>
      <c r="V28" s="14"/>
      <c r="W28" s="14"/>
      <c r="X28" s="39"/>
      <c r="Y28" s="14"/>
      <c r="Z28" s="14"/>
      <c r="AA28" s="39"/>
      <c r="AB28" s="14"/>
      <c r="AC28" s="14"/>
      <c r="AD28" s="39"/>
      <c r="AE28" s="14"/>
      <c r="AF28" s="14"/>
      <c r="AG28" s="39"/>
      <c r="AH28" s="12"/>
      <c r="AI28" s="14"/>
      <c r="AJ28" s="39"/>
      <c r="AK28" s="14"/>
      <c r="AL28" s="14"/>
      <c r="AM28" s="39"/>
      <c r="AN28" s="14"/>
      <c r="AO28" s="14"/>
      <c r="AP28" s="39"/>
      <c r="AQ28" s="14"/>
      <c r="AR28" s="14"/>
      <c r="AS28" s="39"/>
      <c r="AT28" s="14"/>
      <c r="AU28" s="14"/>
      <c r="AV28" s="39"/>
      <c r="AW28" s="12"/>
      <c r="AX28" s="14"/>
      <c r="AY28" s="39"/>
      <c r="AZ28" s="14"/>
      <c r="BA28" s="14"/>
      <c r="BB28" s="39"/>
      <c r="BC28" s="12"/>
      <c r="BD28" s="14"/>
      <c r="BE28" s="39"/>
      <c r="BG28" s="14"/>
      <c r="BH28" s="39"/>
      <c r="BJ28" s="14"/>
      <c r="BK28" s="39"/>
      <c r="BM28" s="14"/>
      <c r="BN28" s="39"/>
      <c r="BO28" s="14"/>
      <c r="BP28" s="14"/>
      <c r="BQ28" s="39"/>
      <c r="BR28" s="12"/>
      <c r="BS28" s="14"/>
      <c r="BT28" s="39"/>
      <c r="BV28" s="14"/>
      <c r="BW28" s="39"/>
      <c r="BY28" s="14"/>
      <c r="BZ28" s="39"/>
      <c r="CB28" s="14"/>
      <c r="CC28" s="39"/>
      <c r="CD28" s="14"/>
      <c r="CE28" s="14"/>
      <c r="CF28" s="39"/>
      <c r="CG28" s="12"/>
      <c r="CH28" s="14"/>
      <c r="CI28" s="39"/>
      <c r="CK28" s="14"/>
      <c r="CL28" s="39"/>
      <c r="CN28" s="14"/>
      <c r="CO28" s="39"/>
      <c r="CQ28" s="14"/>
      <c r="CR28" s="39"/>
      <c r="CS28" s="14"/>
      <c r="CT28" s="14"/>
      <c r="CU28" s="39"/>
      <c r="CV28" s="12"/>
      <c r="CW28" s="14"/>
      <c r="CX28" s="39"/>
      <c r="CZ28" s="14"/>
      <c r="DA28" s="39"/>
      <c r="DC28" s="14"/>
      <c r="DD28" s="39"/>
      <c r="DF28" s="14"/>
      <c r="DG28" s="39"/>
      <c r="DH28" s="14"/>
      <c r="DI28" s="14"/>
      <c r="DJ28" s="39"/>
      <c r="DK28" s="14"/>
      <c r="DL28" s="14"/>
      <c r="DM28" s="39"/>
      <c r="DO28" s="14"/>
      <c r="DP28" s="39"/>
      <c r="DR28" s="14"/>
      <c r="DS28" s="39"/>
    </row>
    <row r="29" spans="1:123" x14ac:dyDescent="0.2">
      <c r="A29" s="1" t="s">
        <v>66</v>
      </c>
      <c r="E29" s="4">
        <v>-220079</v>
      </c>
      <c r="F29" s="28">
        <f>E29/E16</f>
        <v>-9.7297772857653175E-2</v>
      </c>
      <c r="G29" s="4"/>
      <c r="H29" s="4">
        <v>-218664</v>
      </c>
      <c r="I29" s="28">
        <f>H29/H16</f>
        <v>-9.3371137718414265E-2</v>
      </c>
      <c r="J29" s="4"/>
      <c r="K29" s="4">
        <v>-213156</v>
      </c>
      <c r="L29" s="28">
        <f>K29/K16</f>
        <v>-0.10058660893225471</v>
      </c>
      <c r="M29" s="4"/>
      <c r="N29" s="4">
        <v>-226906</v>
      </c>
      <c r="O29" s="28">
        <f>N29/N16</f>
        <v>-0.10072923552127666</v>
      </c>
      <c r="P29" s="4"/>
      <c r="Q29" s="4">
        <v>-878805</v>
      </c>
      <c r="R29" s="28">
        <f>Q29/Q16</f>
        <v>-9.7910947892464351E-2</v>
      </c>
      <c r="T29" s="4">
        <v>-241655</v>
      </c>
      <c r="U29" s="28">
        <f>T29/T16</f>
        <v>-9.0189395678238957E-2</v>
      </c>
      <c r="V29" s="4"/>
      <c r="W29" s="4">
        <v>-229887</v>
      </c>
      <c r="X29" s="28">
        <f>W29/W16</f>
        <v>-8.8834265456741765E-2</v>
      </c>
      <c r="Y29" s="4"/>
      <c r="Z29" s="4">
        <v>-225765</v>
      </c>
      <c r="AA29" s="28">
        <f>Z29/Z16</f>
        <v>-9.9873303151407161E-2</v>
      </c>
      <c r="AB29" s="4"/>
      <c r="AC29" s="4">
        <v>-243479</v>
      </c>
      <c r="AD29" s="28">
        <f>AC29/AC16</f>
        <v>-9.8341619379857179E-2</v>
      </c>
      <c r="AE29" s="4"/>
      <c r="AF29" s="4">
        <v>-940786</v>
      </c>
      <c r="AG29" s="28">
        <f>AF29/AF16</f>
        <v>-9.4044753293289748E-2</v>
      </c>
      <c r="AI29" s="4">
        <v>-253603</v>
      </c>
      <c r="AJ29" s="28">
        <f>AI29/AI16</f>
        <v>-9.1407573474816359E-2</v>
      </c>
      <c r="AK29" s="4"/>
      <c r="AL29" s="4">
        <v>-254674</v>
      </c>
      <c r="AM29" s="28">
        <f>AL29/AL16</f>
        <v>-9.233996759975692E-2</v>
      </c>
      <c r="AN29" s="4"/>
      <c r="AO29" s="4">
        <v>-257282</v>
      </c>
      <c r="AP29" s="28">
        <f>AO29/AO16</f>
        <v>-9.8861609424364616E-2</v>
      </c>
      <c r="AQ29" s="4"/>
      <c r="AR29" s="4">
        <v>-265475</v>
      </c>
      <c r="AS29" s="28">
        <f>AR29/AR16</f>
        <v>-9.3875488516761973E-2</v>
      </c>
      <c r="AT29" s="4"/>
      <c r="AU29" s="4">
        <v>-1031034</v>
      </c>
      <c r="AV29" s="28">
        <f>AU29/AU16</f>
        <v>-9.4048263867921547E-2</v>
      </c>
      <c r="AX29" s="4">
        <v>-290189</v>
      </c>
      <c r="AY29" s="28">
        <f>AX29/AX16</f>
        <v>-8.7642405431256551E-2</v>
      </c>
      <c r="AZ29" s="4"/>
      <c r="BA29" s="4">
        <v>-283206</v>
      </c>
      <c r="BB29" s="28">
        <f>BA29/BA16</f>
        <v>-8.7259732704945109E-2</v>
      </c>
      <c r="BD29" s="4">
        <v>-284366</v>
      </c>
      <c r="BE29" s="28">
        <f>BD29/BD16</f>
        <v>-9.6676862467519789E-2</v>
      </c>
      <c r="BG29" s="4">
        <v>-297454</v>
      </c>
      <c r="BH29" s="28">
        <f>BG29/BG16</f>
        <v>-9.6692664491530855E-2</v>
      </c>
      <c r="BJ29" s="4">
        <v>-1155215</v>
      </c>
      <c r="BK29" s="28">
        <f>BJ29/BJ16</f>
        <v>-9.1871125380428756E-2</v>
      </c>
      <c r="BM29" s="4">
        <v>-313446</v>
      </c>
      <c r="BN29" s="28">
        <f>BM29/BM16</f>
        <v>-8.3581231487634244E-2</v>
      </c>
      <c r="BO29" s="4"/>
      <c r="BP29" s="4">
        <v>-297638</v>
      </c>
      <c r="BQ29" s="28">
        <f>BP29/BP16</f>
        <v>-8.2695736878867873E-2</v>
      </c>
      <c r="BS29" s="4">
        <v>-316632</v>
      </c>
      <c r="BT29" s="28">
        <f>BS29/BS16</f>
        <v>-9.298391828579182E-2</v>
      </c>
      <c r="BV29" s="4">
        <v>-330009</v>
      </c>
      <c r="BW29" s="28">
        <f>BV29/BV16</f>
        <v>-9.3910176512168722E-2</v>
      </c>
      <c r="BY29" s="4">
        <v>-1257725</v>
      </c>
      <c r="BZ29" s="28">
        <f>BY29/BY16</f>
        <v>-8.8145632725467382E-2</v>
      </c>
      <c r="CB29" s="4">
        <v>-349779</v>
      </c>
      <c r="CC29" s="28">
        <f>CB29/CB16</f>
        <v>-8.7120487545356187E-2</v>
      </c>
      <c r="CD29" s="4"/>
      <c r="CE29" s="4">
        <v>-330784</v>
      </c>
      <c r="CF29" s="28">
        <f>CE29/CE16</f>
        <v>-8.5145793483663593E-2</v>
      </c>
      <c r="CH29" s="4">
        <v>-337512</v>
      </c>
      <c r="CI29" s="28">
        <f>CH29/CH16</f>
        <v>-9.5232908840093125E-2</v>
      </c>
      <c r="CK29" s="4">
        <v>-333860</v>
      </c>
      <c r="CL29" s="28">
        <f>CK29/CK16</f>
        <v>-9.0091086821891597E-2</v>
      </c>
      <c r="CN29" s="4">
        <v>-1351935</v>
      </c>
      <c r="CO29" s="28">
        <f>CN29/CN16</f>
        <v>-8.9238548021657232E-2</v>
      </c>
      <c r="CQ29" s="4">
        <v>-380230</v>
      </c>
      <c r="CR29" s="28">
        <f>CQ29/CQ16</f>
        <v>-9.2146008638067309E-2</v>
      </c>
      <c r="CS29" s="4"/>
      <c r="CT29" s="4">
        <v>-366126</v>
      </c>
      <c r="CU29" s="28">
        <f>CT29/CT16</f>
        <v>-9.1594517027715067E-2</v>
      </c>
      <c r="CW29" s="4">
        <v>-356735</v>
      </c>
      <c r="CX29" s="28">
        <f>CW29/CW16</f>
        <v>-9.6375168714291734E-2</v>
      </c>
      <c r="CZ29" s="4">
        <v>-385413</v>
      </c>
      <c r="DA29" s="28">
        <f>CZ29/CZ16</f>
        <v>-9.5164643601418283E-2</v>
      </c>
      <c r="DC29" s="4">
        <v>-1488504</v>
      </c>
      <c r="DD29" s="28">
        <f>DC29/DC16</f>
        <v>-9.3763334546552668E-2</v>
      </c>
      <c r="DF29" s="4">
        <v>-403501.58600000001</v>
      </c>
      <c r="DG29" s="28">
        <f>DF29/DF16</f>
        <v>-8.8831341542440101E-2</v>
      </c>
      <c r="DH29" s="4"/>
      <c r="DI29" s="4">
        <v>-405062</v>
      </c>
      <c r="DJ29" s="28">
        <f>DI29/DI16</f>
        <v>-9.2339923039045826E-2</v>
      </c>
      <c r="DK29" s="4"/>
      <c r="DL29" s="4">
        <v>-399672</v>
      </c>
      <c r="DM29" s="28">
        <f>DL29/DL16</f>
        <v>-9.7314425530744084E-2</v>
      </c>
      <c r="DO29" s="4"/>
      <c r="DP29" s="28"/>
      <c r="DR29" s="4"/>
      <c r="DS29" s="28"/>
    </row>
    <row r="30" spans="1:123" x14ac:dyDescent="0.2">
      <c r="E30" s="4"/>
      <c r="F30" s="28"/>
      <c r="G30" s="4"/>
      <c r="H30" s="4"/>
      <c r="I30" s="28"/>
      <c r="J30" s="4"/>
      <c r="K30" s="4"/>
      <c r="L30" s="28"/>
      <c r="M30" s="4"/>
      <c r="N30" s="4"/>
      <c r="O30" s="28"/>
      <c r="P30" s="4"/>
      <c r="Q30" s="4"/>
      <c r="R30" s="28"/>
      <c r="T30" s="4"/>
      <c r="U30" s="28"/>
      <c r="V30" s="4"/>
      <c r="W30" s="4"/>
      <c r="X30" s="28"/>
      <c r="Y30" s="4"/>
      <c r="Z30" s="4"/>
      <c r="AA30" s="28"/>
      <c r="AB30" s="4"/>
      <c r="AC30" s="4"/>
      <c r="AD30" s="28"/>
      <c r="AE30" s="4"/>
      <c r="AF30" s="4"/>
      <c r="AG30" s="28"/>
      <c r="AI30" s="4"/>
      <c r="AJ30" s="28"/>
      <c r="AK30" s="4"/>
      <c r="AL30" s="4"/>
      <c r="AM30" s="28"/>
      <c r="AN30" s="4"/>
      <c r="AO30" s="4"/>
      <c r="AP30" s="28"/>
      <c r="AQ30" s="4"/>
      <c r="AR30" s="4"/>
      <c r="AS30" s="28"/>
      <c r="AT30" s="4"/>
      <c r="AU30" s="4"/>
      <c r="AV30" s="28"/>
      <c r="AX30" s="4"/>
      <c r="AY30" s="28"/>
      <c r="AZ30" s="4"/>
      <c r="BA30" s="4"/>
      <c r="BB30" s="28"/>
      <c r="BD30" s="4"/>
      <c r="BE30" s="28"/>
      <c r="BG30" s="4"/>
      <c r="BH30" s="28"/>
      <c r="BJ30" s="4"/>
      <c r="BK30" s="28"/>
      <c r="BM30" s="4"/>
      <c r="BN30" s="28"/>
      <c r="BO30" s="4"/>
      <c r="BP30" s="4"/>
      <c r="BQ30" s="28"/>
      <c r="BS30" s="4"/>
      <c r="BT30" s="28"/>
      <c r="BV30" s="4"/>
      <c r="BW30" s="28"/>
      <c r="BY30" s="4"/>
      <c r="BZ30" s="28"/>
      <c r="CB30" s="4"/>
      <c r="CC30" s="28"/>
      <c r="CD30" s="4"/>
      <c r="CE30" s="4"/>
      <c r="CF30" s="28"/>
      <c r="CH30" s="4"/>
      <c r="CI30" s="28"/>
      <c r="CK30" s="4"/>
      <c r="CL30" s="28"/>
      <c r="CN30" s="4"/>
      <c r="CO30" s="28"/>
      <c r="CQ30" s="4"/>
      <c r="CR30" s="28"/>
      <c r="CS30" s="4"/>
      <c r="CT30" s="4"/>
      <c r="CU30" s="28"/>
      <c r="CW30" s="4"/>
      <c r="CX30" s="28"/>
      <c r="CZ30" s="4"/>
      <c r="DA30" s="28"/>
      <c r="DC30" s="4"/>
      <c r="DD30" s="28"/>
      <c r="DF30" s="4"/>
      <c r="DG30" s="28"/>
      <c r="DH30" s="4"/>
      <c r="DI30" s="4"/>
      <c r="DJ30" s="28"/>
      <c r="DK30" s="4"/>
      <c r="DL30" s="4"/>
      <c r="DM30" s="28"/>
      <c r="DO30" s="4"/>
      <c r="DP30" s="28"/>
      <c r="DR30" s="4"/>
      <c r="DS30" s="28"/>
    </row>
    <row r="31" spans="1:123" x14ac:dyDescent="0.2">
      <c r="A31" s="1" t="s">
        <v>1</v>
      </c>
      <c r="E31" s="4">
        <v>-8081</v>
      </c>
      <c r="F31" s="28">
        <f>E31/E16</f>
        <v>-3.5726411991271103E-3</v>
      </c>
      <c r="G31" s="4"/>
      <c r="H31" s="4">
        <v>-9361</v>
      </c>
      <c r="I31" s="28">
        <f>H31/H16</f>
        <v>-3.9972159120023228E-3</v>
      </c>
      <c r="J31" s="4"/>
      <c r="K31" s="4">
        <v>-8684</v>
      </c>
      <c r="L31" s="28">
        <f>K31/K16</f>
        <v>-4.0979100375673214E-3</v>
      </c>
      <c r="M31" s="4"/>
      <c r="N31" s="4">
        <v>-8554</v>
      </c>
      <c r="O31" s="28">
        <f>N31/N16</f>
        <v>-3.797334053083658E-3</v>
      </c>
      <c r="P31" s="4"/>
      <c r="Q31" s="4">
        <v>-34680</v>
      </c>
      <c r="R31" s="28">
        <f>Q31/Q16</f>
        <v>-3.8638283497598033E-3</v>
      </c>
      <c r="T31" s="4">
        <v>-8540</v>
      </c>
      <c r="U31" s="28">
        <f>T31/T16</f>
        <v>-3.187260512268154E-3</v>
      </c>
      <c r="V31" s="4"/>
      <c r="W31" s="4">
        <v>-8464</v>
      </c>
      <c r="X31" s="28">
        <f>W31/W16</f>
        <v>-3.2707078818108993E-3</v>
      </c>
      <c r="Y31" s="4"/>
      <c r="Z31" s="4">
        <v>-8359</v>
      </c>
      <c r="AA31" s="28">
        <f>Z31/Z16</f>
        <v>-3.6978315551241888E-3</v>
      </c>
      <c r="AB31" s="4"/>
      <c r="AC31" s="4">
        <v>-8351</v>
      </c>
      <c r="AD31" s="28">
        <f>AC31/AC16</f>
        <v>-3.3729843782880136E-3</v>
      </c>
      <c r="AE31" s="4"/>
      <c r="AF31" s="4">
        <v>-33714</v>
      </c>
      <c r="AG31" s="28">
        <f>AF31/AF16</f>
        <v>-3.3701870696736243E-3</v>
      </c>
      <c r="AI31" s="4">
        <v>-8143</v>
      </c>
      <c r="AJ31" s="28">
        <f>AI31/AI16</f>
        <v>-2.9350278616791978E-3</v>
      </c>
      <c r="AK31" s="4"/>
      <c r="AL31" s="4">
        <v>-8152</v>
      </c>
      <c r="AM31" s="28">
        <f>AL31/AL16</f>
        <v>-2.9557607603179692E-3</v>
      </c>
      <c r="AN31" s="4"/>
      <c r="AO31" s="4">
        <v>-8065</v>
      </c>
      <c r="AP31" s="28">
        <f>AO31/AO16</f>
        <v>-3.0990076259027085E-3</v>
      </c>
      <c r="AQ31" s="4"/>
      <c r="AR31" s="4">
        <v>-7997</v>
      </c>
      <c r="AS31" s="28">
        <f>AR31/AR16</f>
        <v>-2.8278454907940316E-3</v>
      </c>
      <c r="AT31" s="4"/>
      <c r="AU31" s="4">
        <v>-32357</v>
      </c>
      <c r="AV31" s="28">
        <f>AU31/AU16</f>
        <v>-2.9515221360055417E-3</v>
      </c>
      <c r="AX31" s="4">
        <v>-7878</v>
      </c>
      <c r="AY31" s="28">
        <f>AX31/AX16</f>
        <v>-2.3793006281679838E-3</v>
      </c>
      <c r="AZ31" s="4"/>
      <c r="BA31" s="4">
        <v>-7761</v>
      </c>
      <c r="BB31" s="28">
        <f>BA31/BA16</f>
        <v>-2.3912727326507168E-3</v>
      </c>
      <c r="BD31" s="4">
        <v>-7649</v>
      </c>
      <c r="BE31" s="28">
        <f>BD31/BD16</f>
        <v>-2.6004561762449059E-3</v>
      </c>
      <c r="BG31" s="4">
        <v>-7546</v>
      </c>
      <c r="BH31" s="28">
        <f>BG31/BG16</f>
        <v>-2.4529602770616359E-3</v>
      </c>
      <c r="BJ31" s="4">
        <v>-30834</v>
      </c>
      <c r="BK31" s="28">
        <f>BJ31/BJ16</f>
        <v>-2.4521446483815918E-3</v>
      </c>
      <c r="BM31" s="4">
        <v>-7601</v>
      </c>
      <c r="BN31" s="28">
        <f>BM31/BM16</f>
        <v>-2.0268273978213407E-3</v>
      </c>
      <c r="BO31" s="4"/>
      <c r="BP31" s="4">
        <v>-7351</v>
      </c>
      <c r="BQ31" s="28">
        <f>BP31/BP16</f>
        <v>-2.0424017154951914E-3</v>
      </c>
      <c r="BS31" s="4">
        <v>-7338</v>
      </c>
      <c r="BT31" s="28">
        <f>BS31/BS16</f>
        <v>-2.1549179880149204E-3</v>
      </c>
      <c r="BV31" s="4">
        <v>-2184</v>
      </c>
      <c r="BW31" s="28">
        <f>BV31/BV16</f>
        <v>-6.2149767279854934E-4</v>
      </c>
      <c r="BY31" s="4">
        <v>-24473</v>
      </c>
      <c r="BZ31" s="28">
        <f>BY31/BY16</f>
        <v>-1.7151508236620591E-3</v>
      </c>
      <c r="CB31" s="4">
        <v>-7103</v>
      </c>
      <c r="CC31" s="28">
        <f>CB31/CB16</f>
        <v>-1.7691651672475048E-3</v>
      </c>
      <c r="CD31" s="4"/>
      <c r="CE31" s="4">
        <v>-7450</v>
      </c>
      <c r="CF31" s="28">
        <f>CE31/CE16</f>
        <v>-1.9176748617021797E-3</v>
      </c>
      <c r="CH31" s="4">
        <v>-10021</v>
      </c>
      <c r="CI31" s="28">
        <f>CH31/CH16</f>
        <v>-2.8275408859139029E-3</v>
      </c>
      <c r="CK31" s="4">
        <v>-11784</v>
      </c>
      <c r="CL31" s="28">
        <f>CK31/CK16</f>
        <v>-3.1798758974096045E-3</v>
      </c>
      <c r="CN31" s="4">
        <v>-36358</v>
      </c>
      <c r="CO31" s="28">
        <f>CN31/CN16</f>
        <v>-2.3999194702196583E-3</v>
      </c>
      <c r="CQ31" s="4">
        <v>-11088</v>
      </c>
      <c r="CR31" s="28">
        <f>CQ31/CQ16</f>
        <v>-2.6870971353625183E-3</v>
      </c>
      <c r="CS31" s="4"/>
      <c r="CT31" s="4">
        <v>-13904</v>
      </c>
      <c r="CU31" s="28">
        <f>CT31/CT16</f>
        <v>-3.47839313447652E-3</v>
      </c>
      <c r="CW31" s="4">
        <v>-15071</v>
      </c>
      <c r="CX31" s="28">
        <f>CW31/CW16</f>
        <v>-4.0715661981389284E-3</v>
      </c>
      <c r="CZ31" s="4">
        <v>-16353</v>
      </c>
      <c r="DA31" s="28">
        <f>CZ31/CZ16</f>
        <v>-4.0378176574583455E-3</v>
      </c>
      <c r="DC31" s="4">
        <v>-56416</v>
      </c>
      <c r="DD31" s="28">
        <f>DC31/DC16</f>
        <v>-3.5537373643458902E-3</v>
      </c>
      <c r="DF31" s="4">
        <v>-16838.315999999999</v>
      </c>
      <c r="DG31" s="28">
        <f>DF31/DF16</f>
        <v>-3.706974771582518E-3</v>
      </c>
      <c r="DH31" s="4"/>
      <c r="DI31" s="4">
        <v>-16836</v>
      </c>
      <c r="DJ31" s="28">
        <f>DI31/DI16</f>
        <v>-3.838017252384513E-3</v>
      </c>
      <c r="DK31" s="4"/>
      <c r="DL31" s="4">
        <v>-17405</v>
      </c>
      <c r="DM31" s="28">
        <f>DL31/DL16</f>
        <v>-4.2378689934811564E-3</v>
      </c>
      <c r="DO31" s="4"/>
      <c r="DP31" s="28"/>
      <c r="DR31" s="4"/>
      <c r="DS31" s="28"/>
    </row>
    <row r="32" spans="1:123" x14ac:dyDescent="0.2">
      <c r="A32" s="1" t="s">
        <v>143</v>
      </c>
      <c r="E32" s="4">
        <v>80</v>
      </c>
      <c r="F32" s="28"/>
      <c r="G32" s="4"/>
      <c r="H32" s="4">
        <v>102</v>
      </c>
      <c r="I32" s="28"/>
      <c r="J32" s="4"/>
      <c r="K32" s="4">
        <v>198</v>
      </c>
      <c r="L32" s="28"/>
      <c r="M32" s="4"/>
      <c r="N32" s="4">
        <v>100</v>
      </c>
      <c r="O32" s="28"/>
      <c r="P32" s="4"/>
      <c r="Q32" s="4">
        <v>480</v>
      </c>
      <c r="R32" s="28"/>
      <c r="T32" s="4">
        <v>103</v>
      </c>
      <c r="U32" s="28"/>
      <c r="V32" s="4"/>
      <c r="W32" s="4">
        <v>110</v>
      </c>
      <c r="X32" s="28"/>
      <c r="Y32" s="4"/>
      <c r="Z32" s="4">
        <v>-94</v>
      </c>
      <c r="AA32" s="28"/>
      <c r="AB32" s="4"/>
      <c r="AC32" s="4">
        <v>345</v>
      </c>
      <c r="AD32" s="28"/>
      <c r="AE32" s="4"/>
      <c r="AF32" s="4">
        <v>464</v>
      </c>
      <c r="AG32" s="28"/>
      <c r="AI32" s="4">
        <v>285</v>
      </c>
      <c r="AJ32" s="28"/>
      <c r="AK32" s="4"/>
      <c r="AL32" s="4">
        <v>259</v>
      </c>
      <c r="AM32" s="28"/>
      <c r="AN32" s="4"/>
      <c r="AO32" s="4">
        <v>139</v>
      </c>
      <c r="AP32" s="28"/>
      <c r="AQ32" s="4"/>
      <c r="AR32" s="4">
        <v>430</v>
      </c>
      <c r="AS32" s="28"/>
      <c r="AT32" s="4"/>
      <c r="AU32" s="4">
        <v>1113</v>
      </c>
      <c r="AV32" s="28"/>
      <c r="AX32" s="4">
        <v>241</v>
      </c>
      <c r="AY32" s="28"/>
      <c r="AZ32" s="4"/>
      <c r="BA32" s="4">
        <v>-1073</v>
      </c>
      <c r="BB32" s="28"/>
      <c r="BD32" s="4">
        <v>-411</v>
      </c>
      <c r="BE32" s="28"/>
      <c r="BG32" s="4">
        <v>-254</v>
      </c>
      <c r="BH32" s="28"/>
      <c r="BJ32" s="4">
        <v>-1497</v>
      </c>
      <c r="BK32" s="28"/>
      <c r="BM32" s="4">
        <v>-277</v>
      </c>
      <c r="BN32" s="28"/>
      <c r="BO32" s="4"/>
      <c r="BP32" s="4">
        <v>-283</v>
      </c>
      <c r="BQ32" s="28"/>
      <c r="BS32" s="4">
        <v>-1536</v>
      </c>
      <c r="BT32" s="28"/>
      <c r="BV32" s="4">
        <v>-1196</v>
      </c>
      <c r="BW32" s="28"/>
      <c r="BY32" s="4">
        <v>-3292</v>
      </c>
      <c r="BZ32" s="28"/>
      <c r="CB32" s="4">
        <v>-41</v>
      </c>
      <c r="CC32" s="28"/>
      <c r="CD32" s="4"/>
      <c r="CE32" s="4">
        <v>-1593</v>
      </c>
      <c r="CF32" s="28"/>
      <c r="CH32" s="4">
        <v>-1157</v>
      </c>
      <c r="CI32" s="28"/>
      <c r="CK32" s="4">
        <v>-9768</v>
      </c>
      <c r="CL32" s="28"/>
      <c r="CN32" s="4">
        <v>-12559</v>
      </c>
      <c r="CO32" s="28"/>
      <c r="CQ32" s="4">
        <v>616</v>
      </c>
      <c r="CR32" s="28"/>
      <c r="CS32" s="4"/>
      <c r="CT32" s="4">
        <v>435</v>
      </c>
      <c r="CU32" s="28"/>
      <c r="CW32" s="4">
        <v>-1027</v>
      </c>
      <c r="CX32" s="28"/>
      <c r="CZ32" s="4">
        <v>-977</v>
      </c>
      <c r="DA32" s="28"/>
      <c r="DC32" s="4"/>
      <c r="DD32" s="28"/>
      <c r="DF32" s="4">
        <v>92.635000000000005</v>
      </c>
      <c r="DG32" s="28"/>
      <c r="DH32" s="4"/>
      <c r="DI32" s="4">
        <v>189</v>
      </c>
      <c r="DJ32" s="28"/>
      <c r="DK32" s="4"/>
      <c r="DL32" s="4">
        <v>279</v>
      </c>
      <c r="DM32" s="28"/>
      <c r="DO32" s="4"/>
      <c r="DP32" s="28"/>
      <c r="DR32" s="4"/>
      <c r="DS32" s="28"/>
    </row>
    <row r="33" spans="1:123" x14ac:dyDescent="0.2">
      <c r="E33" s="5"/>
      <c r="F33" s="29"/>
      <c r="G33" s="5"/>
      <c r="H33" s="5"/>
      <c r="I33" s="29"/>
      <c r="J33" s="5"/>
      <c r="K33" s="5"/>
      <c r="L33" s="29"/>
      <c r="M33" s="5"/>
      <c r="N33" s="5"/>
      <c r="O33" s="29"/>
      <c r="P33" s="5"/>
      <c r="Q33" s="5"/>
      <c r="R33" s="29"/>
      <c r="T33" s="5"/>
      <c r="U33" s="29"/>
      <c r="V33" s="5"/>
      <c r="W33" s="5"/>
      <c r="X33" s="29"/>
      <c r="Y33" s="5"/>
      <c r="Z33" s="5"/>
      <c r="AA33" s="29"/>
      <c r="AB33" s="5"/>
      <c r="AC33" s="5"/>
      <c r="AD33" s="29"/>
      <c r="AE33" s="5"/>
      <c r="AF33" s="5"/>
      <c r="AG33" s="29"/>
      <c r="AI33" s="5"/>
      <c r="AJ33" s="29"/>
      <c r="AK33" s="5"/>
      <c r="AL33" s="5"/>
      <c r="AM33" s="29"/>
      <c r="AN33" s="5"/>
      <c r="AO33" s="5"/>
      <c r="AP33" s="29"/>
      <c r="AQ33" s="5"/>
      <c r="AR33" s="5"/>
      <c r="AS33" s="29"/>
      <c r="AT33" s="5"/>
      <c r="AU33" s="5"/>
      <c r="AV33" s="29"/>
      <c r="AX33" s="5"/>
      <c r="AY33" s="29"/>
      <c r="AZ33" s="14"/>
      <c r="BA33" s="5"/>
      <c r="BB33" s="29"/>
      <c r="BD33" s="5"/>
      <c r="BE33" s="29"/>
      <c r="BG33" s="5"/>
      <c r="BH33" s="29"/>
      <c r="BJ33" s="5"/>
      <c r="BK33" s="29"/>
      <c r="BM33" s="5"/>
      <c r="BN33" s="29"/>
      <c r="BO33" s="14"/>
      <c r="BP33" s="5"/>
      <c r="BQ33" s="29"/>
      <c r="BS33" s="5"/>
      <c r="BT33" s="29"/>
      <c r="BV33" s="5"/>
      <c r="BW33" s="29"/>
      <c r="BY33" s="5"/>
      <c r="BZ33" s="29"/>
      <c r="CB33" s="5"/>
      <c r="CC33" s="29"/>
      <c r="CD33" s="14"/>
      <c r="CE33" s="5"/>
      <c r="CF33" s="29"/>
      <c r="CH33" s="5"/>
      <c r="CI33" s="29"/>
      <c r="CK33" s="5"/>
      <c r="CL33" s="29"/>
      <c r="CN33" s="5"/>
      <c r="CO33" s="29"/>
      <c r="CQ33" s="5"/>
      <c r="CR33" s="29"/>
      <c r="CS33" s="14"/>
      <c r="CT33" s="5"/>
      <c r="CU33" s="29"/>
      <c r="CW33" s="5"/>
      <c r="CX33" s="29"/>
      <c r="CZ33" s="5"/>
      <c r="DA33" s="29"/>
      <c r="DC33" s="5">
        <v>-953</v>
      </c>
      <c r="DD33" s="29"/>
      <c r="DF33" s="5"/>
      <c r="DG33" s="29"/>
      <c r="DH33" s="14"/>
      <c r="DI33" s="5"/>
      <c r="DJ33" s="29"/>
      <c r="DK33" s="14"/>
      <c r="DL33" s="5"/>
      <c r="DM33" s="29"/>
      <c r="DO33" s="5"/>
      <c r="DP33" s="29"/>
      <c r="DR33" s="5"/>
      <c r="DS33" s="29"/>
    </row>
    <row r="34" spans="1:123" x14ac:dyDescent="0.2">
      <c r="B34" s="1" t="s">
        <v>130</v>
      </c>
      <c r="E34" s="4">
        <f>SUM(E25:E33)</f>
        <v>162963</v>
      </c>
      <c r="F34" s="28">
        <f>E34/E16</f>
        <v>7.204656945097776E-2</v>
      </c>
      <c r="G34" s="4"/>
      <c r="H34" s="4">
        <f>SUM(H25:H33)</f>
        <v>173799</v>
      </c>
      <c r="I34" s="28">
        <f>H34/H16</f>
        <v>7.4213452439920058E-2</v>
      </c>
      <c r="J34" s="4"/>
      <c r="K34" s="4">
        <f>SUM(K25:K33)</f>
        <v>132013</v>
      </c>
      <c r="L34" s="28">
        <f>K34/K16</f>
        <v>6.2295877221254584E-2</v>
      </c>
      <c r="M34" s="4"/>
      <c r="N34" s="4">
        <f>SUM(N25:N33)</f>
        <v>139431</v>
      </c>
      <c r="O34" s="28">
        <f>N34/N16</f>
        <v>6.1896900205226507E-2</v>
      </c>
      <c r="P34" s="4"/>
      <c r="Q34" s="4">
        <f>SUM(Q25:Q33)</f>
        <v>608206</v>
      </c>
      <c r="R34" s="28">
        <f>Q34/Q16</f>
        <v>6.776250245945821E-2</v>
      </c>
      <c r="T34" s="4">
        <f>SUM(T25:T33)</f>
        <v>202664</v>
      </c>
      <c r="U34" s="28">
        <f>T34/T16</f>
        <v>7.5637349468186552E-2</v>
      </c>
      <c r="V34" s="4"/>
      <c r="W34" s="4">
        <f>SUM(W25:W33)</f>
        <v>179860</v>
      </c>
      <c r="X34" s="28">
        <f>W34/W16</f>
        <v>6.9502542488481617E-2</v>
      </c>
      <c r="Y34" s="4"/>
      <c r="Z34" s="4">
        <f>SUM(Z25:Z33)</f>
        <v>131626</v>
      </c>
      <c r="AA34" s="28">
        <f>Z34/Z16</f>
        <v>5.8228349835479892E-2</v>
      </c>
      <c r="AB34" s="4"/>
      <c r="AC34" s="4">
        <f>SUM(AC25:AC33)</f>
        <v>152760</v>
      </c>
      <c r="AD34" s="28">
        <f>AC34/AC16</f>
        <v>6.1700047135346298E-2</v>
      </c>
      <c r="AE34" s="4"/>
      <c r="AF34" s="4">
        <f>SUM(AF25:AF33)</f>
        <v>666910</v>
      </c>
      <c r="AG34" s="28">
        <f>AF34/AF16</f>
        <v>6.6667006544344695E-2</v>
      </c>
      <c r="AI34" s="4">
        <f>SUM(AI25:AI33)</f>
        <v>195633</v>
      </c>
      <c r="AJ34" s="28">
        <f>AI34/AI16</f>
        <v>7.0513116254928954E-2</v>
      </c>
      <c r="AK34" s="4"/>
      <c r="AL34" s="4">
        <f>SUM(AL25:AL33)</f>
        <v>181102</v>
      </c>
      <c r="AM34" s="28">
        <f>AL34/AL16</f>
        <v>6.5664154221676249E-2</v>
      </c>
      <c r="AN34" s="4"/>
      <c r="AO34" s="4">
        <f>SUM(AO25:AO33)</f>
        <v>152465</v>
      </c>
      <c r="AP34" s="28">
        <f>AO34/AO16</f>
        <v>5.8585269396560002E-2</v>
      </c>
      <c r="AQ34" s="4"/>
      <c r="AR34" s="4">
        <f>SUM(AR25:AR33)</f>
        <v>172151</v>
      </c>
      <c r="AS34" s="28">
        <f>AR34/AR16</f>
        <v>6.0874881716354051E-2</v>
      </c>
      <c r="AT34" s="4"/>
      <c r="AU34" s="4">
        <f>SUM(AU25:AU33)</f>
        <v>701351</v>
      </c>
      <c r="AV34" s="28">
        <f>AU34/AU16</f>
        <v>6.3975430404846642E-2</v>
      </c>
      <c r="AX34" s="4">
        <f>SUM(AX25:AX33)</f>
        <v>237289</v>
      </c>
      <c r="AY34" s="28">
        <f>AX34/AX16</f>
        <v>7.1665634267244566E-2</v>
      </c>
      <c r="AZ34" s="4"/>
      <c r="BA34" s="4">
        <f>SUM(BA25:BA33)</f>
        <v>227125</v>
      </c>
      <c r="BB34" s="28">
        <f>BA34/BA16</f>
        <v>6.9980391625215063E-2</v>
      </c>
      <c r="BD34" s="4">
        <f>SUM(BD25:BD33)</f>
        <v>173200</v>
      </c>
      <c r="BE34" s="28">
        <f>BD34/BD16</f>
        <v>5.8883384720305625E-2</v>
      </c>
      <c r="BG34" s="4">
        <f>SUM(BG25:BG33)</f>
        <v>159708</v>
      </c>
      <c r="BH34" s="28">
        <f>BG34/BG16</f>
        <v>5.1915899805056946E-2</v>
      </c>
      <c r="BJ34" s="4">
        <f>SUM(BJ25:BJ33)</f>
        <v>797322</v>
      </c>
      <c r="BK34" s="28">
        <f>BJ34/BJ16</f>
        <v>6.3408862792271758E-2</v>
      </c>
      <c r="BM34" s="4">
        <f>SUM(BM25:BM33)</f>
        <v>275022</v>
      </c>
      <c r="BN34" s="28">
        <f>BM34/BM16</f>
        <v>7.3335367004817881E-2</v>
      </c>
      <c r="BO34" s="4"/>
      <c r="BP34" s="4">
        <f>SUM(BP25:BP33)</f>
        <v>250641</v>
      </c>
      <c r="BQ34" s="28">
        <f>BP34/BP16</f>
        <v>6.9638091194861959E-2</v>
      </c>
      <c r="BS34" s="4">
        <f>SUM(BS25:BS33)</f>
        <v>210836</v>
      </c>
      <c r="BT34" s="28">
        <f>BS34/BS16</f>
        <v>6.1915275132340394E-2</v>
      </c>
      <c r="BV34" s="4">
        <f>SUM(BV25:BV33)</f>
        <v>232831</v>
      </c>
      <c r="BW34" s="28">
        <f>BV34/BV16</f>
        <v>6.625637575794828E-2</v>
      </c>
      <c r="BY34" s="4">
        <f>SUM(BY25:BY33)</f>
        <v>969332</v>
      </c>
      <c r="BZ34" s="28">
        <f>BY34/BY16</f>
        <v>6.7934073395251537E-2</v>
      </c>
      <c r="CB34" s="4">
        <f>SUM(CB25:CB33)</f>
        <v>295979</v>
      </c>
      <c r="CC34" s="28">
        <f>CB34/CB16</f>
        <v>7.3720362809622589E-2</v>
      </c>
      <c r="CD34" s="4"/>
      <c r="CE34" s="4">
        <f>SUM(CE25:CE33)</f>
        <v>279822</v>
      </c>
      <c r="CF34" s="28">
        <f>CE34/CE16</f>
        <v>7.2027867805533871E-2</v>
      </c>
      <c r="CH34" s="4">
        <f>SUM(CH25:CH33)</f>
        <v>207957</v>
      </c>
      <c r="CI34" s="28">
        <f>CH34/CH16</f>
        <v>5.8677469315636915E-2</v>
      </c>
      <c r="CK34" s="4">
        <f>SUM(CK25:CK33)</f>
        <v>226186</v>
      </c>
      <c r="CL34" s="28">
        <f>CK34/CK16</f>
        <v>6.1035591457186768E-2</v>
      </c>
      <c r="CN34" s="4">
        <f>SUM(CN25:CN33)</f>
        <v>1009944</v>
      </c>
      <c r="CO34" s="28">
        <f>CN34/CN16</f>
        <v>6.6664400391427542E-2</v>
      </c>
      <c r="CQ34" s="4">
        <f>SUM(CQ25:CQ33)</f>
        <v>282693</v>
      </c>
      <c r="CR34" s="28">
        <f>CQ34/CQ16</f>
        <v>6.8508617468167055E-2</v>
      </c>
      <c r="CS34" s="4"/>
      <c r="CT34" s="4">
        <f>SUM(CT25:CT33)</f>
        <v>261736</v>
      </c>
      <c r="CU34" s="28">
        <f>CT34/CT16</f>
        <v>6.5479049586115251E-2</v>
      </c>
      <c r="CW34" s="4">
        <f>SUM(CW25:CW33)</f>
        <v>219661</v>
      </c>
      <c r="CX34" s="28">
        <f>CW34/CW16</f>
        <v>5.9343394774692804E-2</v>
      </c>
      <c r="CZ34" s="4">
        <f>SUM(CZ25:CZ33)</f>
        <v>242315</v>
      </c>
      <c r="DA34" s="28">
        <f>CZ34/CZ16</f>
        <v>5.983145512548272E-2</v>
      </c>
      <c r="DC34" s="4">
        <f>SUM(DC25:DC33)</f>
        <v>1006405</v>
      </c>
      <c r="DD34" s="28">
        <f>DC34/DC16</f>
        <v>6.3395119330766553E-2</v>
      </c>
      <c r="DF34" s="4">
        <f>SUM(DF25:DF33)</f>
        <v>338053.18599999999</v>
      </c>
      <c r="DG34" s="28">
        <f>DF34/DF16</f>
        <v>7.442280047215484E-2</v>
      </c>
      <c r="DH34" s="4"/>
      <c r="DI34" s="4">
        <f>SUM(DI25:DI33)</f>
        <v>290232</v>
      </c>
      <c r="DJ34" s="28">
        <f>DI34/DI16</f>
        <v>6.6162712235332738E-2</v>
      </c>
      <c r="DK34" s="4"/>
      <c r="DL34" s="4">
        <f>SUM(DL25:DL33)</f>
        <v>225200</v>
      </c>
      <c r="DM34" s="28">
        <f>DL34/DL16</f>
        <v>5.4832984621198302E-2</v>
      </c>
      <c r="DO34" s="4"/>
      <c r="DP34" s="28"/>
      <c r="DR34" s="4"/>
      <c r="DS34" s="28"/>
    </row>
    <row r="35" spans="1:123" x14ac:dyDescent="0.2">
      <c r="E35" s="4"/>
      <c r="F35" s="28"/>
      <c r="G35" s="4"/>
      <c r="H35" s="4"/>
      <c r="I35" s="28"/>
      <c r="J35" s="4"/>
      <c r="K35" s="4"/>
      <c r="L35" s="28"/>
      <c r="M35" s="4"/>
      <c r="N35" s="4"/>
      <c r="O35" s="28"/>
      <c r="P35" s="4"/>
      <c r="Q35" s="4"/>
      <c r="R35" s="28"/>
      <c r="T35" s="4"/>
      <c r="U35" s="28"/>
      <c r="V35" s="4"/>
      <c r="W35" s="4"/>
      <c r="X35" s="28"/>
      <c r="Y35" s="4"/>
      <c r="Z35" s="4"/>
      <c r="AA35" s="28"/>
      <c r="AB35" s="4"/>
      <c r="AC35" s="4"/>
      <c r="AD35" s="28"/>
      <c r="AE35" s="4"/>
      <c r="AF35" s="4"/>
      <c r="AG35" s="28"/>
      <c r="AI35" s="4"/>
      <c r="AJ35" s="28"/>
      <c r="AK35" s="4"/>
      <c r="AL35" s="4"/>
      <c r="AM35" s="28"/>
      <c r="AN35" s="4"/>
      <c r="AO35" s="4"/>
      <c r="AP35" s="28"/>
      <c r="AQ35" s="4"/>
      <c r="AR35" s="4"/>
      <c r="AS35" s="28"/>
      <c r="AT35" s="4"/>
      <c r="AU35" s="4"/>
      <c r="AV35" s="28"/>
      <c r="AX35" s="4"/>
      <c r="AY35" s="28"/>
      <c r="AZ35" s="4"/>
      <c r="BA35" s="4"/>
      <c r="BB35" s="28"/>
      <c r="BD35" s="4"/>
      <c r="BE35" s="28"/>
      <c r="BG35" s="4"/>
      <c r="BH35" s="28"/>
      <c r="BJ35" s="4"/>
      <c r="BK35" s="28"/>
      <c r="BM35" s="4"/>
      <c r="BN35" s="28"/>
      <c r="BO35" s="4"/>
      <c r="BP35" s="4"/>
      <c r="BQ35" s="28"/>
      <c r="BS35" s="4"/>
      <c r="BT35" s="28"/>
      <c r="BV35" s="4"/>
      <c r="BW35" s="28"/>
      <c r="BY35" s="4"/>
      <c r="BZ35" s="28"/>
      <c r="CB35" s="4"/>
      <c r="CC35" s="28"/>
      <c r="CD35" s="4"/>
      <c r="CE35" s="4"/>
      <c r="CF35" s="28"/>
      <c r="CH35" s="4"/>
      <c r="CI35" s="28"/>
      <c r="CK35" s="4"/>
      <c r="CL35" s="28"/>
      <c r="CN35" s="4"/>
      <c r="CO35" s="28"/>
      <c r="CQ35" s="4"/>
      <c r="CR35" s="28"/>
      <c r="CS35" s="4"/>
      <c r="CT35" s="4"/>
      <c r="CU35" s="28"/>
      <c r="CW35" s="4"/>
      <c r="CX35" s="28"/>
      <c r="CZ35" s="4"/>
      <c r="DA35" s="28"/>
      <c r="DC35" s="4"/>
      <c r="DD35" s="28"/>
      <c r="DF35" s="4"/>
      <c r="DG35" s="28"/>
      <c r="DH35" s="4"/>
      <c r="DI35" s="4"/>
      <c r="DJ35" s="28"/>
      <c r="DK35" s="4"/>
      <c r="DL35" s="4"/>
      <c r="DM35" s="28"/>
      <c r="DO35" s="4"/>
      <c r="DP35" s="28"/>
      <c r="DR35" s="4"/>
      <c r="DS35" s="28"/>
    </row>
    <row r="36" spans="1:123" x14ac:dyDescent="0.2">
      <c r="A36" s="1" t="s">
        <v>60</v>
      </c>
      <c r="E36" s="4">
        <v>-62738</v>
      </c>
      <c r="F36" s="28">
        <f>E36/E16</f>
        <v>-2.7736711242524022E-2</v>
      </c>
      <c r="G36" s="4"/>
      <c r="H36" s="4">
        <v>-66794</v>
      </c>
      <c r="I36" s="28">
        <f>H36/H16</f>
        <v>-2.8521529711172222E-2</v>
      </c>
      <c r="J36" s="4"/>
      <c r="K36" s="4">
        <v>-50502</v>
      </c>
      <c r="L36" s="28">
        <f>K36/K16</f>
        <v>-2.3831489258086695E-2</v>
      </c>
      <c r="M36" s="4"/>
      <c r="N36" s="4">
        <v>-50677</v>
      </c>
      <c r="O36" s="28">
        <f>N36/N16</f>
        <v>-2.2496784873523561E-2</v>
      </c>
      <c r="P36" s="4"/>
      <c r="Q36" s="4">
        <v>-230711</v>
      </c>
      <c r="R36" s="28">
        <f>Q36/Q16</f>
        <v>-2.5704374348368916E-2</v>
      </c>
      <c r="T36" s="4">
        <v>-77164</v>
      </c>
      <c r="U36" s="28">
        <f>T36/T16</f>
        <v>-2.8798802127477732E-2</v>
      </c>
      <c r="V36" s="4"/>
      <c r="W36" s="4">
        <v>-68706</v>
      </c>
      <c r="X36" s="28">
        <f>W36/W16</f>
        <v>-2.6549770289189468E-2</v>
      </c>
      <c r="Y36" s="4"/>
      <c r="Z36" s="4">
        <v>-49516</v>
      </c>
      <c r="AA36" s="28">
        <f>Z36/Z16</f>
        <v>-2.1904752635904932E-2</v>
      </c>
      <c r="AB36" s="4"/>
      <c r="AC36" s="4">
        <v>-57729</v>
      </c>
      <c r="AD36" s="28">
        <f>AC36/AC16</f>
        <v>-2.3316850098693418E-2</v>
      </c>
      <c r="AE36" s="4"/>
      <c r="AF36" s="4">
        <v>-253115</v>
      </c>
      <c r="AG36" s="28">
        <f>AF36/AF16</f>
        <v>-2.5302393668518702E-2</v>
      </c>
      <c r="AI36" s="4">
        <v>-74887</v>
      </c>
      <c r="AJ36" s="28">
        <f>AI36/AI16</f>
        <v>-2.6991947866581122E-2</v>
      </c>
      <c r="AK36" s="4"/>
      <c r="AL36" s="4">
        <v>-69466</v>
      </c>
      <c r="AM36" s="28">
        <f>AL36/AL16</f>
        <v>-2.5187055566271842E-2</v>
      </c>
      <c r="AN36" s="4"/>
      <c r="AO36" s="4">
        <v>-57784</v>
      </c>
      <c r="AP36" s="28">
        <f>AO36/AO16</f>
        <v>-2.2203726801632004E-2</v>
      </c>
      <c r="AQ36" s="4"/>
      <c r="AR36" s="4">
        <v>-64930</v>
      </c>
      <c r="AS36" s="28">
        <f>AR36/AR16</f>
        <v>-2.2960111006284416E-2</v>
      </c>
      <c r="AT36" s="4"/>
      <c r="AU36" s="4">
        <v>-267067</v>
      </c>
      <c r="AV36" s="28">
        <f>AU36/AU16</f>
        <v>-2.4361163343220693E-2</v>
      </c>
      <c r="AX36" s="4">
        <v>-90638</v>
      </c>
      <c r="AY36" s="28">
        <f>AX36/AX16</f>
        <v>-2.737433997662982E-2</v>
      </c>
      <c r="AZ36" s="4"/>
      <c r="BA36" s="4">
        <v>-86851</v>
      </c>
      <c r="BB36" s="28">
        <f>BA36/BA16</f>
        <v>-2.6760008775086642E-2</v>
      </c>
      <c r="BD36" s="4">
        <v>-66748</v>
      </c>
      <c r="BE36" s="28">
        <f>BD36/BD16</f>
        <v>-2.2692541358608313E-2</v>
      </c>
      <c r="BG36" s="4">
        <v>-60499</v>
      </c>
      <c r="BH36" s="28">
        <f>BG36/BG16</f>
        <v>-1.9666266075000251E-2</v>
      </c>
      <c r="BJ36" s="4">
        <v>-304736</v>
      </c>
      <c r="BK36" s="28">
        <f>BJ36/BJ16</f>
        <v>-2.4234830108620768E-2</v>
      </c>
      <c r="BM36" s="4">
        <v>-105369</v>
      </c>
      <c r="BN36" s="28">
        <f>BM36/BM16</f>
        <v>-2.8096931467048655E-2</v>
      </c>
      <c r="BO36" s="4"/>
      <c r="BP36" s="4">
        <v>-96123</v>
      </c>
      <c r="BQ36" s="28">
        <f>BP36/BP16</f>
        <v>-2.67068126919527E-2</v>
      </c>
      <c r="BS36" s="4">
        <v>-80787</v>
      </c>
      <c r="BT36" s="28">
        <f>BS36/BS16</f>
        <v>-2.3724360792826572E-2</v>
      </c>
      <c r="BV36" s="4">
        <v>-89693</v>
      </c>
      <c r="BW36" s="28">
        <f>BV36/BV16</f>
        <v>-2.5523805295934197E-2</v>
      </c>
      <c r="BY36" s="4">
        <v>-371973</v>
      </c>
      <c r="BZ36" s="28">
        <f>BY36/BY16</f>
        <v>-2.60691291353756E-2</v>
      </c>
      <c r="CB36" s="4">
        <v>-114005</v>
      </c>
      <c r="CC36" s="28">
        <f>CB36/CB16</f>
        <v>-2.8395561719280836E-2</v>
      </c>
      <c r="CD36" s="4"/>
      <c r="CE36" s="4">
        <v>-107594</v>
      </c>
      <c r="CF36" s="28">
        <f>CE36/CE16</f>
        <v>-2.7695343499326754E-2</v>
      </c>
      <c r="CH36" s="4">
        <v>-79758</v>
      </c>
      <c r="CI36" s="28">
        <f>CH36/CH16</f>
        <v>-2.2504640852082734E-2</v>
      </c>
      <c r="CK36" s="4">
        <v>-85159</v>
      </c>
      <c r="CL36" s="28">
        <f>CK36/CK16</f>
        <v>-2.2979892358070648E-2</v>
      </c>
      <c r="CN36" s="4">
        <v>-386516</v>
      </c>
      <c r="CO36" s="28">
        <f>CN36/CN16</f>
        <v>-2.5513154572622845E-2</v>
      </c>
      <c r="CQ36" s="4">
        <v>-107333</v>
      </c>
      <c r="CR36" s="28">
        <f>CQ36/CQ16</f>
        <v>-2.6011381387974854E-2</v>
      </c>
      <c r="CS36" s="4"/>
      <c r="CT36" s="4">
        <v>-99374</v>
      </c>
      <c r="CU36" s="28">
        <f>CT36/CT16</f>
        <v>-2.4860604095617786E-2</v>
      </c>
      <c r="CW36" s="4">
        <v>-83016</v>
      </c>
      <c r="CX36" s="28">
        <f>CW36/CW16</f>
        <v>-2.2427519043507486E-2</v>
      </c>
      <c r="CZ36" s="4">
        <v>-89712</v>
      </c>
      <c r="DA36" s="28">
        <f>CZ36/CZ16</f>
        <v>-2.2151329889677922E-2</v>
      </c>
      <c r="DC36" s="4">
        <v>-379435</v>
      </c>
      <c r="DD36" s="28">
        <f>DC36/DC16</f>
        <v>-2.390123966322644E-2</v>
      </c>
      <c r="DF36" s="4">
        <v>-126351.065</v>
      </c>
      <c r="DG36" s="28">
        <f>DF36/DF16</f>
        <v>-2.7816333314898172E-2</v>
      </c>
      <c r="DH36" s="4"/>
      <c r="DI36" s="4">
        <v>-108808</v>
      </c>
      <c r="DJ36" s="28">
        <f>DI36/DI16</f>
        <v>-2.4804406105812193E-2</v>
      </c>
      <c r="DK36" s="4"/>
      <c r="DL36" s="4">
        <v>-86116</v>
      </c>
      <c r="DM36" s="28">
        <f>DL36/DL16</f>
        <v>-2.0968016445999615E-2</v>
      </c>
      <c r="DO36" s="4"/>
      <c r="DP36" s="28"/>
      <c r="DR36" s="4"/>
      <c r="DS36" s="28"/>
    </row>
    <row r="37" spans="1:123" x14ac:dyDescent="0.2">
      <c r="E37" s="4"/>
      <c r="F37" s="28"/>
      <c r="G37" s="4"/>
      <c r="H37" s="4"/>
      <c r="I37" s="28"/>
      <c r="J37" s="4"/>
      <c r="K37" s="4"/>
      <c r="L37" s="28"/>
      <c r="M37" s="4"/>
      <c r="N37" s="4"/>
      <c r="O37" s="28"/>
      <c r="P37" s="4"/>
      <c r="Q37" s="4"/>
      <c r="R37" s="28"/>
      <c r="T37" s="4"/>
      <c r="U37" s="28"/>
      <c r="V37" s="4"/>
      <c r="W37" s="4"/>
      <c r="X37" s="28"/>
      <c r="Y37" s="4"/>
      <c r="Z37" s="4"/>
      <c r="AA37" s="28"/>
      <c r="AB37" s="4"/>
      <c r="AC37" s="4"/>
      <c r="AD37" s="28"/>
      <c r="AE37" s="4"/>
      <c r="AF37" s="4"/>
      <c r="AG37" s="28"/>
      <c r="AI37" s="4"/>
      <c r="AJ37" s="28"/>
      <c r="AK37" s="4"/>
      <c r="AL37" s="4"/>
      <c r="AM37" s="28"/>
      <c r="AN37" s="4"/>
      <c r="AO37" s="4"/>
      <c r="AP37" s="28"/>
      <c r="AQ37" s="4"/>
      <c r="AR37" s="4"/>
      <c r="AS37" s="28"/>
      <c r="AT37" s="4"/>
      <c r="AU37" s="4"/>
      <c r="AV37" s="28"/>
      <c r="AX37" s="4"/>
      <c r="AY37" s="28"/>
      <c r="AZ37" s="4"/>
      <c r="BA37" s="4"/>
      <c r="BB37" s="28"/>
      <c r="BD37" s="4"/>
      <c r="BE37" s="28"/>
      <c r="BG37" s="4"/>
      <c r="BH37" s="28"/>
      <c r="BJ37" s="4"/>
      <c r="BK37" s="28"/>
      <c r="BM37" s="4"/>
      <c r="BN37" s="28"/>
      <c r="BO37" s="4"/>
      <c r="BP37" s="4"/>
      <c r="BQ37" s="28"/>
      <c r="BS37" s="4"/>
      <c r="BT37" s="28"/>
      <c r="BV37" s="4"/>
      <c r="BW37" s="28"/>
      <c r="BY37" s="4"/>
      <c r="BZ37" s="28"/>
      <c r="CB37" s="4"/>
      <c r="CC37" s="28"/>
      <c r="CD37" s="4"/>
      <c r="CE37" s="4"/>
      <c r="CF37" s="28"/>
      <c r="CH37" s="4"/>
      <c r="CI37" s="28"/>
      <c r="CK37" s="4"/>
      <c r="CL37" s="28"/>
      <c r="CN37" s="4"/>
      <c r="CO37" s="28"/>
      <c r="CQ37" s="4"/>
      <c r="CR37" s="28"/>
      <c r="CS37" s="4"/>
      <c r="CT37" s="4"/>
      <c r="CU37" s="28"/>
      <c r="CW37" s="4"/>
      <c r="CX37" s="28"/>
      <c r="CZ37" s="4"/>
      <c r="DA37" s="28"/>
      <c r="DC37" s="4"/>
      <c r="DD37" s="28"/>
      <c r="DF37" s="4"/>
      <c r="DG37" s="28"/>
      <c r="DH37" s="4"/>
      <c r="DI37" s="4"/>
      <c r="DJ37" s="28"/>
      <c r="DK37" s="4"/>
      <c r="DL37" s="4"/>
      <c r="DM37" s="28"/>
      <c r="DO37" s="4"/>
      <c r="DP37" s="28"/>
      <c r="DR37" s="4"/>
      <c r="DS37" s="28"/>
    </row>
    <row r="38" spans="1:123" ht="12" thickBot="1" x14ac:dyDescent="0.25">
      <c r="B38" s="1" t="s">
        <v>16</v>
      </c>
      <c r="E38" s="34">
        <f>SUM(E34:E37)</f>
        <v>100225</v>
      </c>
      <c r="F38" s="30">
        <f>E38/E16</f>
        <v>4.4309858208453734E-2</v>
      </c>
      <c r="G38" s="6"/>
      <c r="H38" s="34">
        <f>SUM(H34:H37)</f>
        <v>107005</v>
      </c>
      <c r="I38" s="30">
        <f>H38/H16</f>
        <v>4.5691922728747843E-2</v>
      </c>
      <c r="J38" s="6"/>
      <c r="K38" s="34">
        <f>SUM(K34:K37)</f>
        <v>81511</v>
      </c>
      <c r="L38" s="30">
        <f>K38/K16</f>
        <v>3.8464387963167888E-2</v>
      </c>
      <c r="M38" s="6"/>
      <c r="N38" s="34">
        <f>SUM(N34:N37)</f>
        <v>88754</v>
      </c>
      <c r="O38" s="30">
        <f>N38/N16</f>
        <v>3.9400115331702942E-2</v>
      </c>
      <c r="P38" s="6"/>
      <c r="Q38" s="34">
        <f>SUM(Q34:Q37)</f>
        <v>377495</v>
      </c>
      <c r="R38" s="30">
        <f>Q38/Q16</f>
        <v>4.2058128111089298E-2</v>
      </c>
      <c r="T38" s="34">
        <f>SUM(T34:T37)</f>
        <v>125500</v>
      </c>
      <c r="U38" s="30">
        <f>T38/T16</f>
        <v>4.6838547340708817E-2</v>
      </c>
      <c r="V38" s="6"/>
      <c r="W38" s="34">
        <f>SUM(W34:W37)</f>
        <v>111154</v>
      </c>
      <c r="X38" s="30">
        <f>W38/W16</f>
        <v>4.2952772199292145E-2</v>
      </c>
      <c r="Y38" s="6"/>
      <c r="Z38" s="34">
        <f>SUM(Z34:Z37)</f>
        <v>82110</v>
      </c>
      <c r="AA38" s="30">
        <f>Z38/Z16</f>
        <v>3.6323597199574967E-2</v>
      </c>
      <c r="AB38" s="6"/>
      <c r="AC38" s="34">
        <f>SUM(AC34:AC37)</f>
        <v>95031</v>
      </c>
      <c r="AD38" s="30">
        <f>AC38/AC16</f>
        <v>3.8383197036652883E-2</v>
      </c>
      <c r="AE38" s="6"/>
      <c r="AF38" s="34">
        <f>SUM(AF34:AF37)</f>
        <v>413795</v>
      </c>
      <c r="AG38" s="30">
        <f>AF38/AF16</f>
        <v>4.136461287582599E-2</v>
      </c>
      <c r="AI38" s="34">
        <f>SUM(AI34:AI37)</f>
        <v>120746</v>
      </c>
      <c r="AJ38" s="30">
        <f>AI38/AI16</f>
        <v>4.3521168388347832E-2</v>
      </c>
      <c r="AK38" s="6"/>
      <c r="AL38" s="34">
        <f>SUM(AL34:AL37)</f>
        <v>111636</v>
      </c>
      <c r="AM38" s="30">
        <f>AL38/AL16</f>
        <v>4.0477098655404414E-2</v>
      </c>
      <c r="AN38" s="6"/>
      <c r="AO38" s="34">
        <f>SUM(AO34:AO37)</f>
        <v>94681</v>
      </c>
      <c r="AP38" s="30">
        <f>AO38/AO16</f>
        <v>3.6381542594928006E-2</v>
      </c>
      <c r="AQ38" s="6"/>
      <c r="AR38" s="34">
        <f>SUM(AR34:AR37)</f>
        <v>107221</v>
      </c>
      <c r="AS38" s="30">
        <f>AR38/AR16</f>
        <v>3.7914770710069635E-2</v>
      </c>
      <c r="AT38" s="6"/>
      <c r="AU38" s="34">
        <f>SUM(AU34:AU37)</f>
        <v>434284</v>
      </c>
      <c r="AV38" s="30">
        <f>AU38/AU16</f>
        <v>3.9614267061625942E-2</v>
      </c>
      <c r="AX38" s="34">
        <f>SUM(AX34:AX37)</f>
        <v>146651</v>
      </c>
      <c r="AY38" s="30">
        <f>AX38/AX16</f>
        <v>4.4291294290614749E-2</v>
      </c>
      <c r="AZ38" s="14"/>
      <c r="BA38" s="34">
        <f>SUM(BA34:BA37)</f>
        <v>140274</v>
      </c>
      <c r="BB38" s="30">
        <f>BA38/BA16</f>
        <v>4.3220382850128421E-2</v>
      </c>
      <c r="BD38" s="34">
        <f>SUM(BD34:BD37)</f>
        <v>106452</v>
      </c>
      <c r="BE38" s="30">
        <f>BD38/BD16</f>
        <v>3.6190843361697311E-2</v>
      </c>
      <c r="BG38" s="34">
        <f>SUM(BG34:BG37)</f>
        <v>99209</v>
      </c>
      <c r="BH38" s="30">
        <f>BG38/BG16</f>
        <v>3.2249633730056695E-2</v>
      </c>
      <c r="BJ38" s="34">
        <f>SUM(BJ34:BJ37)</f>
        <v>492586</v>
      </c>
      <c r="BK38" s="30">
        <f>BJ38/BJ16</f>
        <v>3.9174032683650994E-2</v>
      </c>
      <c r="BM38" s="34">
        <f>SUM(BM34:BM37)</f>
        <v>169653</v>
      </c>
      <c r="BN38" s="30">
        <f>BM38/BM16</f>
        <v>4.5238435537769225E-2</v>
      </c>
      <c r="BO38" s="14"/>
      <c r="BP38" s="34">
        <f>SUM(BP34:BP37)</f>
        <v>154518</v>
      </c>
      <c r="BQ38" s="30">
        <f>BP38/BP16</f>
        <v>4.2931278502909259E-2</v>
      </c>
      <c r="BS38" s="34">
        <f>SUM(BS34:BS37)</f>
        <v>130049</v>
      </c>
      <c r="BT38" s="30">
        <f>BS38/BS16</f>
        <v>3.8190914339513819E-2</v>
      </c>
      <c r="BV38" s="34">
        <f>SUM(BV34:BV37)</f>
        <v>143138</v>
      </c>
      <c r="BW38" s="30">
        <f>BV38/BV16</f>
        <v>4.0732570462014082E-2</v>
      </c>
      <c r="BY38" s="34">
        <f>SUM(BY34:BY37)</f>
        <v>597359</v>
      </c>
      <c r="BZ38" s="30">
        <f>BY38/BY16</f>
        <v>4.1864944259875941E-2</v>
      </c>
      <c r="CB38" s="34">
        <f>SUM(CB34:CB37)</f>
        <v>181974</v>
      </c>
      <c r="CC38" s="30">
        <f>CB38/CB16</f>
        <v>4.5324801090341746E-2</v>
      </c>
      <c r="CD38" s="14"/>
      <c r="CE38" s="34">
        <f>SUM(CE34:CE37)</f>
        <v>172228</v>
      </c>
      <c r="CF38" s="30">
        <f>CE38/CE16</f>
        <v>4.4332524306207113E-2</v>
      </c>
      <c r="CH38" s="34">
        <f>SUM(CH34:CH37)</f>
        <v>128199</v>
      </c>
      <c r="CI38" s="30">
        <f>CH38/CH16</f>
        <v>3.6172828463554178E-2</v>
      </c>
      <c r="CK38" s="34">
        <f>SUM(CK34:CK37)</f>
        <v>141027</v>
      </c>
      <c r="CL38" s="30">
        <f>CK38/CK16</f>
        <v>3.8055699099116116E-2</v>
      </c>
      <c r="CN38" s="34">
        <f>SUM(CN34:CN37)</f>
        <v>623428</v>
      </c>
      <c r="CO38" s="30">
        <f>CN38/CN16</f>
        <v>4.1151245818804694E-2</v>
      </c>
      <c r="CQ38" s="34">
        <f>SUM(CQ34:CQ37)</f>
        <v>175360</v>
      </c>
      <c r="CR38" s="30">
        <f>CQ38/CQ16</f>
        <v>4.2497236080192208E-2</v>
      </c>
      <c r="CS38" s="14"/>
      <c r="CT38" s="34">
        <f>SUM(CT34:CT37)</f>
        <v>162362</v>
      </c>
      <c r="CU38" s="30">
        <f>CT38/CT16</f>
        <v>4.0618445490497465E-2</v>
      </c>
      <c r="CW38" s="34">
        <f>SUM(CW34:CW37)</f>
        <v>136645</v>
      </c>
      <c r="CX38" s="30">
        <f>CW38/CW16</f>
        <v>3.6915875731185314E-2</v>
      </c>
      <c r="CZ38" s="34">
        <f>SUM(CZ34:CZ37)</f>
        <v>152603</v>
      </c>
      <c r="DA38" s="30">
        <f>CZ38/CZ16</f>
        <v>3.7680125235804801E-2</v>
      </c>
      <c r="DC38" s="34">
        <f>SUM(DC34:DC37)</f>
        <v>626970</v>
      </c>
      <c r="DD38" s="30">
        <f>DC38/DC16</f>
        <v>3.9493879667540109E-2</v>
      </c>
      <c r="DF38" s="34">
        <f>SUM(DF34:DF37)</f>
        <v>211702.12099999998</v>
      </c>
      <c r="DG38" s="30">
        <f>DF38/DF16</f>
        <v>4.6606467157256672E-2</v>
      </c>
      <c r="DH38" s="14"/>
      <c r="DI38" s="34">
        <f>SUM(DI34:DI37)</f>
        <v>181424</v>
      </c>
      <c r="DJ38" s="30">
        <f>DI38/DI16</f>
        <v>4.1358306129520545E-2</v>
      </c>
      <c r="DK38" s="14"/>
      <c r="DL38" s="34">
        <f>SUM(DL34:DL37)</f>
        <v>139084</v>
      </c>
      <c r="DM38" s="30">
        <f>DL38/DL16</f>
        <v>3.3864968175198691E-2</v>
      </c>
      <c r="DO38" s="34"/>
      <c r="DP38" s="30"/>
      <c r="DR38" s="34"/>
      <c r="DS38" s="30"/>
    </row>
    <row r="39" spans="1:123" ht="12" thickTop="1" x14ac:dyDescent="0.2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X39" s="4"/>
      <c r="AY39" s="4"/>
      <c r="AZ39" s="4"/>
      <c r="BA39" s="4"/>
      <c r="BB39" s="4"/>
      <c r="BD39" s="4"/>
      <c r="BE39" s="4"/>
      <c r="BG39" s="4"/>
      <c r="BH39" s="4"/>
      <c r="BJ39" s="4"/>
      <c r="BK39" s="4"/>
      <c r="BM39" s="4"/>
      <c r="BN39" s="4"/>
      <c r="BO39" s="4"/>
      <c r="BP39" s="4"/>
      <c r="BQ39" s="4"/>
      <c r="BS39" s="4"/>
      <c r="BT39" s="4"/>
      <c r="BV39" s="4"/>
      <c r="BW39" s="4"/>
      <c r="BY39" s="4"/>
      <c r="BZ39" s="4"/>
      <c r="CB39" s="4"/>
      <c r="CC39" s="4"/>
      <c r="CD39" s="4"/>
      <c r="CE39" s="4"/>
      <c r="CF39" s="4"/>
      <c r="CH39" s="4"/>
      <c r="CI39" s="4"/>
      <c r="CK39" s="4"/>
      <c r="CL39" s="4"/>
      <c r="CN39" s="4"/>
      <c r="CO39" s="4"/>
      <c r="CQ39" s="4"/>
      <c r="CR39" s="4"/>
      <c r="CS39" s="4"/>
      <c r="CT39" s="4"/>
      <c r="CU39" s="4"/>
      <c r="CW39" s="4"/>
      <c r="CX39" s="4"/>
      <c r="CZ39" s="4"/>
      <c r="DA39" s="4"/>
      <c r="DC39" s="4"/>
      <c r="DD39" s="4"/>
      <c r="DF39" s="4"/>
      <c r="DG39" s="4"/>
      <c r="DH39" s="4"/>
      <c r="DI39" s="4"/>
      <c r="DJ39" s="4"/>
      <c r="DK39" s="4"/>
      <c r="DL39" s="4"/>
      <c r="DM39" s="4"/>
      <c r="DO39" s="4"/>
      <c r="DP39" s="4"/>
      <c r="DR39" s="4"/>
      <c r="DS39" s="4"/>
    </row>
    <row r="40" spans="1:123" x14ac:dyDescent="0.2">
      <c r="A40" s="1" t="s">
        <v>61</v>
      </c>
      <c r="E40" s="4">
        <v>226179</v>
      </c>
      <c r="F40" s="4"/>
      <c r="G40" s="4"/>
      <c r="H40" s="4">
        <v>226132</v>
      </c>
      <c r="I40" s="4"/>
      <c r="J40" s="4"/>
      <c r="K40" s="4">
        <v>228471</v>
      </c>
      <c r="L40" s="4"/>
      <c r="M40" s="4"/>
      <c r="N40" s="4">
        <v>229656</v>
      </c>
      <c r="O40" s="4"/>
      <c r="P40" s="4"/>
      <c r="Q40" s="4">
        <v>227601</v>
      </c>
      <c r="R40" s="4"/>
      <c r="T40" s="4">
        <v>230278</v>
      </c>
      <c r="U40" s="4"/>
      <c r="V40" s="4"/>
      <c r="W40" s="4">
        <v>230681</v>
      </c>
      <c r="X40" s="4"/>
      <c r="Y40" s="4"/>
      <c r="Z40" s="4">
        <v>230632</v>
      </c>
      <c r="AA40" s="4"/>
      <c r="AB40" s="4"/>
      <c r="AC40" s="4">
        <v>231300</v>
      </c>
      <c r="AD40" s="4"/>
      <c r="AE40" s="4"/>
      <c r="AF40" s="4">
        <v>230721</v>
      </c>
      <c r="AG40" s="4"/>
      <c r="AI40" s="4">
        <v>231802</v>
      </c>
      <c r="AJ40" s="4"/>
      <c r="AK40" s="4"/>
      <c r="AL40" s="4">
        <v>231696</v>
      </c>
      <c r="AM40" s="4"/>
      <c r="AN40" s="4"/>
      <c r="AO40" s="4">
        <v>232656</v>
      </c>
      <c r="AP40" s="4"/>
      <c r="AQ40" s="4"/>
      <c r="AR40" s="4">
        <v>231136</v>
      </c>
      <c r="AS40" s="4"/>
      <c r="AT40" s="4"/>
      <c r="AU40" s="4">
        <v>231823</v>
      </c>
      <c r="AV40" s="4"/>
      <c r="AX40" s="4">
        <v>228552</v>
      </c>
      <c r="AY40" s="4"/>
      <c r="AZ40" s="4"/>
      <c r="BA40" s="4">
        <v>227634</v>
      </c>
      <c r="BB40" s="4"/>
      <c r="BD40" s="4">
        <v>227417</v>
      </c>
      <c r="BE40" s="4"/>
      <c r="BG40" s="4">
        <v>226715</v>
      </c>
      <c r="BH40" s="4"/>
      <c r="BJ40" s="4">
        <v>227584</v>
      </c>
      <c r="BK40" s="4"/>
      <c r="BM40" s="4">
        <v>223632</v>
      </c>
      <c r="BN40" s="4"/>
      <c r="BO40" s="4"/>
      <c r="BP40" s="4">
        <v>221070</v>
      </c>
      <c r="BQ40" s="4"/>
      <c r="BS40" s="4">
        <v>217025</v>
      </c>
      <c r="BT40" s="4"/>
      <c r="BV40" s="4">
        <v>212899</v>
      </c>
      <c r="BW40" s="4"/>
      <c r="BY40" s="4">
        <v>218691</v>
      </c>
      <c r="BZ40" s="4"/>
      <c r="CB40" s="4">
        <v>211652</v>
      </c>
      <c r="CC40" s="4"/>
      <c r="CD40" s="4"/>
      <c r="CE40" s="4">
        <v>209648</v>
      </c>
      <c r="CF40" s="4"/>
      <c r="CH40" s="4">
        <v>203383</v>
      </c>
      <c r="CI40" s="4"/>
      <c r="CK40" s="4">
        <v>197383</v>
      </c>
      <c r="CL40" s="4"/>
      <c r="CN40" s="4">
        <v>205540</v>
      </c>
      <c r="CO40" s="4"/>
      <c r="CQ40" s="4">
        <v>195253</v>
      </c>
      <c r="CR40" s="4"/>
      <c r="CS40" s="4"/>
      <c r="CT40" s="4">
        <v>193623</v>
      </c>
      <c r="CU40" s="4"/>
      <c r="CW40" s="4">
        <v>190818</v>
      </c>
      <c r="CX40" s="4"/>
      <c r="CZ40" s="4">
        <v>189082</v>
      </c>
      <c r="DA40" s="4"/>
      <c r="DC40" s="4">
        <v>192215</v>
      </c>
      <c r="DD40" s="4"/>
      <c r="DF40" s="4">
        <v>186858.715</v>
      </c>
      <c r="DG40" s="4"/>
      <c r="DH40" s="4"/>
      <c r="DI40" s="4">
        <v>184696</v>
      </c>
      <c r="DJ40" s="4"/>
      <c r="DK40" s="4"/>
      <c r="DL40" s="4">
        <v>184033</v>
      </c>
      <c r="DM40" s="4"/>
      <c r="DO40" s="4"/>
      <c r="DP40" s="4"/>
      <c r="DR40" s="4"/>
      <c r="DS40" s="4"/>
    </row>
    <row r="41" spans="1:123" ht="2.25" customHeight="1" x14ac:dyDescent="0.2">
      <c r="A41" s="1" t="s">
        <v>55</v>
      </c>
      <c r="E41" s="49">
        <v>0.99480000000000002</v>
      </c>
      <c r="F41" s="49"/>
      <c r="G41" s="49"/>
      <c r="H41" s="49">
        <v>0.996</v>
      </c>
      <c r="I41" s="49"/>
      <c r="J41" s="49"/>
      <c r="K41" s="49">
        <v>0.99609999999999999</v>
      </c>
      <c r="L41" s="49"/>
      <c r="M41" s="49"/>
      <c r="N41" s="49">
        <v>0.99624000000000001</v>
      </c>
      <c r="O41" s="49"/>
      <c r="P41" s="49"/>
      <c r="Q41" s="49">
        <v>0.99580000000000002</v>
      </c>
      <c r="R41" s="49"/>
      <c r="S41" s="49"/>
      <c r="T41" s="49">
        <v>0.99850000000000005</v>
      </c>
      <c r="U41" s="49"/>
      <c r="V41" s="49"/>
      <c r="W41" s="49">
        <v>1</v>
      </c>
      <c r="X41" s="49"/>
      <c r="Y41" s="49"/>
      <c r="Z41" s="49">
        <v>1</v>
      </c>
      <c r="AA41" s="49"/>
      <c r="AB41" s="49"/>
      <c r="AC41" s="49">
        <v>1</v>
      </c>
      <c r="AD41" s="49"/>
      <c r="AE41" s="49"/>
      <c r="AF41" s="49">
        <v>0.99960000000000004</v>
      </c>
      <c r="AG41" s="49"/>
      <c r="AH41" s="49"/>
      <c r="AI41" s="49">
        <v>1</v>
      </c>
      <c r="AJ41" s="49"/>
      <c r="AK41" s="49"/>
      <c r="AL41" s="49">
        <v>1</v>
      </c>
      <c r="AM41" s="49"/>
      <c r="AN41" s="49"/>
      <c r="AO41" s="49">
        <v>1</v>
      </c>
      <c r="AP41" s="49"/>
      <c r="AQ41" s="49"/>
      <c r="AR41" s="49">
        <v>1</v>
      </c>
      <c r="AS41" s="49"/>
      <c r="AT41" s="49"/>
      <c r="AU41" s="49">
        <v>1</v>
      </c>
      <c r="AV41" s="49"/>
      <c r="AW41" s="49"/>
      <c r="AX41" s="49">
        <v>1</v>
      </c>
      <c r="AY41" s="49"/>
      <c r="AZ41" s="49"/>
      <c r="BA41" s="49">
        <v>1</v>
      </c>
      <c r="BB41" s="49"/>
      <c r="BC41" s="49"/>
      <c r="BD41" s="49">
        <v>1</v>
      </c>
      <c r="BE41" s="49"/>
      <c r="BF41" s="49"/>
      <c r="BG41" s="49">
        <v>1</v>
      </c>
      <c r="BH41" s="49"/>
      <c r="BI41" s="49"/>
      <c r="BJ41" s="49">
        <v>1</v>
      </c>
      <c r="BM41" s="49">
        <v>1</v>
      </c>
      <c r="BN41" s="49"/>
      <c r="BO41" s="49"/>
      <c r="BP41" s="49">
        <v>1</v>
      </c>
      <c r="BQ41" s="49"/>
      <c r="BR41" s="49"/>
      <c r="BS41" s="49">
        <v>1</v>
      </c>
      <c r="BT41" s="49"/>
      <c r="BU41" s="49"/>
      <c r="BV41" s="49">
        <v>1</v>
      </c>
      <c r="BW41" s="49"/>
      <c r="BX41" s="49"/>
      <c r="BY41" s="49">
        <v>1</v>
      </c>
      <c r="CB41" s="49">
        <v>1</v>
      </c>
      <c r="CC41" s="49"/>
      <c r="CD41" s="49"/>
      <c r="CE41" s="49">
        <v>1</v>
      </c>
      <c r="CF41" s="49"/>
      <c r="CG41" s="49"/>
      <c r="CH41" s="49">
        <v>1</v>
      </c>
      <c r="CI41" s="49"/>
      <c r="CJ41" s="49"/>
      <c r="CK41" s="49">
        <v>1</v>
      </c>
      <c r="CL41" s="49"/>
      <c r="CM41" s="49"/>
      <c r="CN41" s="49">
        <v>1</v>
      </c>
      <c r="CO41" s="49"/>
      <c r="CQ41" s="49">
        <v>1</v>
      </c>
      <c r="CR41" s="49"/>
      <c r="CS41" s="49"/>
      <c r="CT41" s="49">
        <v>1</v>
      </c>
      <c r="CU41" s="49"/>
      <c r="CV41" s="49"/>
      <c r="CW41" s="49">
        <v>1</v>
      </c>
      <c r="CX41" s="49"/>
      <c r="CY41" s="49"/>
      <c r="CZ41" s="49">
        <v>1</v>
      </c>
      <c r="DA41" s="49"/>
      <c r="DB41" s="49"/>
      <c r="DC41" s="49">
        <v>1</v>
      </c>
      <c r="DD41" s="49"/>
      <c r="DF41" s="49">
        <v>1</v>
      </c>
      <c r="DG41" s="49"/>
      <c r="DH41" s="49"/>
      <c r="DI41" s="49">
        <v>1</v>
      </c>
      <c r="DJ41" s="49"/>
      <c r="DK41" s="49"/>
      <c r="DL41" s="49">
        <v>1</v>
      </c>
      <c r="DM41" s="49"/>
      <c r="DN41" s="49"/>
      <c r="DO41" s="49"/>
      <c r="DP41" s="49"/>
      <c r="DQ41" s="49"/>
      <c r="DR41" s="49"/>
      <c r="DS41" s="49"/>
    </row>
    <row r="42" spans="1:123" x14ac:dyDescent="0.2">
      <c r="A42" s="1" t="s">
        <v>62</v>
      </c>
      <c r="E42" s="23">
        <f>E38*E41/E40</f>
        <v>0.44081824572573053</v>
      </c>
      <c r="F42" s="23"/>
      <c r="G42" s="23"/>
      <c r="H42" s="23">
        <f>H38*H41/H40</f>
        <v>0.47130428245449557</v>
      </c>
      <c r="I42" s="23"/>
      <c r="J42" s="23"/>
      <c r="K42" s="23">
        <f>K38*K41/K40</f>
        <v>0.35537598688673833</v>
      </c>
      <c r="L42" s="23"/>
      <c r="M42" s="23"/>
      <c r="N42" s="23">
        <f>N38*N41/N40</f>
        <v>0.38501186539868326</v>
      </c>
      <c r="O42" s="23"/>
      <c r="P42" s="23"/>
      <c r="Q42" s="23">
        <f>Q38*Q41/Q40</f>
        <v>1.6516162978194298</v>
      </c>
      <c r="R42" s="23"/>
      <c r="T42" s="23">
        <f>T38*T41/T40</f>
        <v>0.54417595254431606</v>
      </c>
      <c r="U42" s="23"/>
      <c r="V42" s="23"/>
      <c r="W42" s="23">
        <f>W38*W41/W40</f>
        <v>0.48185156124691675</v>
      </c>
      <c r="X42" s="23"/>
      <c r="Y42" s="23"/>
      <c r="Z42" s="23">
        <f>Z38*Z41/Z40</f>
        <v>0.35602171424607165</v>
      </c>
      <c r="AA42" s="23"/>
      <c r="AB42" s="23"/>
      <c r="AC42" s="23">
        <f>AC38*AC41/AC40</f>
        <v>0.41085603112840469</v>
      </c>
      <c r="AD42" s="23"/>
      <c r="AE42" s="23"/>
      <c r="AF42" s="23">
        <f>AF38*AF41/AF40</f>
        <v>1.7927691107441457</v>
      </c>
      <c r="AG42" s="23"/>
      <c r="AI42" s="23">
        <f>AI38*AI41/AI40</f>
        <v>0.52090145900380502</v>
      </c>
      <c r="AJ42" s="23"/>
      <c r="AK42" s="23"/>
      <c r="AL42" s="23">
        <f>AL38*AL41/AL40</f>
        <v>0.48182100683654444</v>
      </c>
      <c r="AM42" s="23"/>
      <c r="AN42" s="23"/>
      <c r="AO42" s="23">
        <f>AO38*AO41/AO40</f>
        <v>0.40695705247231967</v>
      </c>
      <c r="AP42" s="23"/>
      <c r="AQ42" s="23"/>
      <c r="AR42" s="23">
        <f>AR38*AR41/AR40</f>
        <v>0.46388706216253633</v>
      </c>
      <c r="AS42" s="23"/>
      <c r="AT42" s="23"/>
      <c r="AU42" s="23">
        <f>AU38*AU41/AU40</f>
        <v>1.8733430246351743</v>
      </c>
      <c r="AV42" s="23"/>
      <c r="AX42" s="23">
        <f>AX38*AX41/AX40</f>
        <v>0.64165266547656552</v>
      </c>
      <c r="AY42" s="23"/>
      <c r="AZ42" s="23"/>
      <c r="BA42" s="23">
        <f>BA38*BA41/BA40</f>
        <v>0.61622604707556872</v>
      </c>
      <c r="BB42" s="23"/>
      <c r="BD42" s="23">
        <f>BD38*BD41/BD40</f>
        <v>0.46809165541714121</v>
      </c>
      <c r="BE42" s="23"/>
      <c r="BG42" s="23">
        <f>BG38*BG41/BG40</f>
        <v>0.43759345433694286</v>
      </c>
      <c r="BH42" s="23"/>
      <c r="BJ42" s="23">
        <f>BJ38*BJ41/BJ40</f>
        <v>2.1644140185601799</v>
      </c>
      <c r="BK42" s="23"/>
      <c r="BM42" s="23">
        <f>BM38*BM41/BM40</f>
        <v>0.75862577806396225</v>
      </c>
      <c r="BN42" s="23"/>
      <c r="BO42" s="23"/>
      <c r="BP42" s="23">
        <f>BP38*BP41/BP40</f>
        <v>0.69895508210069213</v>
      </c>
      <c r="BQ42" s="23"/>
      <c r="BS42" s="23">
        <f>BS38*BS41/BS40</f>
        <v>0.59923511116230854</v>
      </c>
      <c r="BT42" s="23"/>
      <c r="BV42" s="23">
        <f>BV38*BV41/BV40</f>
        <v>0.67232819318080406</v>
      </c>
      <c r="BW42" s="23"/>
      <c r="BY42" s="23">
        <f>BY38*BY41/BY40</f>
        <v>2.7315207301626496</v>
      </c>
      <c r="BZ42" s="23"/>
      <c r="CB42" s="23">
        <f>CB38*CB41/CB40</f>
        <v>0.85977926029520158</v>
      </c>
      <c r="CC42" s="23"/>
      <c r="CD42" s="23"/>
      <c r="CE42" s="23">
        <f>CE38*CE41/CE40</f>
        <v>0.82151034114324961</v>
      </c>
      <c r="CF42" s="23"/>
      <c r="CH42" s="23">
        <f>CH38*CH41/CH40</f>
        <v>0.63033291868051899</v>
      </c>
      <c r="CI42" s="23"/>
      <c r="CK42" s="23">
        <f>CK38*CK41/CK40</f>
        <v>0.7144840234468014</v>
      </c>
      <c r="CL42" s="23"/>
      <c r="CN42" s="23">
        <f>CN38*CN41/CN40</f>
        <v>3.0331225065680645</v>
      </c>
      <c r="CO42" s="23"/>
      <c r="CQ42" s="23">
        <f>CQ38*CQ41/CQ40</f>
        <v>0.89811680230265345</v>
      </c>
      <c r="CR42" s="23"/>
      <c r="CS42" s="23"/>
      <c r="CT42" s="23">
        <f>CT38*CT41/CT40</f>
        <v>0.83854707343652357</v>
      </c>
      <c r="CU42" s="23"/>
      <c r="CW42" s="23">
        <f>CW38*CW41/CW40</f>
        <v>0.71610120638514185</v>
      </c>
      <c r="CX42" s="23"/>
      <c r="CZ42" s="23">
        <f>CZ38*CZ41/CZ40</f>
        <v>0.8070731217143885</v>
      </c>
      <c r="DA42" s="23"/>
      <c r="DC42" s="23">
        <f>DC38*DC41/DC40</f>
        <v>3.2618161954061859</v>
      </c>
      <c r="DD42" s="23"/>
      <c r="DF42" s="23">
        <f>DF38*DF41/DF40</f>
        <v>1.1329528890316942</v>
      </c>
      <c r="DG42" s="23"/>
      <c r="DH42" s="23"/>
      <c r="DI42" s="23">
        <f>DI38*DI41/DI40</f>
        <v>0.98228440247758475</v>
      </c>
      <c r="DJ42" s="23"/>
      <c r="DK42" s="23"/>
      <c r="DL42" s="23">
        <f>DL38*DL41/DL40</f>
        <v>0.7557557611950031</v>
      </c>
      <c r="DM42" s="23"/>
      <c r="DO42" s="23"/>
      <c r="DP42" s="23"/>
      <c r="DR42" s="23"/>
      <c r="DS42" s="23"/>
    </row>
    <row r="43" spans="1:123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</row>
    <row r="46" spans="1:123" s="4" customFormat="1" x14ac:dyDescent="0.2">
      <c r="A46" s="1" t="s">
        <v>142</v>
      </c>
      <c r="B46" s="1"/>
      <c r="C46" s="1"/>
    </row>
    <row r="47" spans="1:123" s="24" customFormat="1" x14ac:dyDescent="0.2">
      <c r="B47" s="24" t="s">
        <v>131</v>
      </c>
      <c r="E47" s="24">
        <v>125613</v>
      </c>
      <c r="F47" s="28">
        <f>E47/E51</f>
        <v>0.57076322593250606</v>
      </c>
      <c r="H47" s="24">
        <v>121182</v>
      </c>
      <c r="I47" s="28">
        <f>H47/H51</f>
        <v>0.55419273405773239</v>
      </c>
      <c r="K47" s="24">
        <v>117981</v>
      </c>
      <c r="L47" s="28">
        <f>K47/K51</f>
        <v>0.55349603107583178</v>
      </c>
      <c r="N47" s="24">
        <v>123012</v>
      </c>
      <c r="O47" s="28">
        <f>N47/N51</f>
        <v>0.54212757705834136</v>
      </c>
      <c r="Q47" s="24">
        <f>+E47+H47+K47+N47</f>
        <v>487788</v>
      </c>
      <c r="R47" s="28">
        <f>Q47/Q51</f>
        <v>0.5550582893816034</v>
      </c>
      <c r="T47" s="24">
        <v>136245</v>
      </c>
      <c r="U47" s="28">
        <f>T47/T51</f>
        <v>0.56379963170635827</v>
      </c>
      <c r="W47" s="24">
        <v>123938</v>
      </c>
      <c r="X47" s="28">
        <f>W47/W51</f>
        <v>0.53912574438745997</v>
      </c>
      <c r="Z47" s="24">
        <v>124035</v>
      </c>
      <c r="AA47" s="28">
        <f>Z47/Z51</f>
        <v>0.54939871104909976</v>
      </c>
      <c r="AC47" s="24">
        <v>136768</v>
      </c>
      <c r="AD47" s="28">
        <f>AC47/AC51</f>
        <v>0.56172400905211539</v>
      </c>
      <c r="AF47" s="24">
        <f>+T47+W47+Z47+AC47</f>
        <v>520986</v>
      </c>
      <c r="AG47" s="28">
        <f>AF47/AF51</f>
        <v>0.55377737338778421</v>
      </c>
      <c r="AI47" s="24">
        <v>143443</v>
      </c>
      <c r="AJ47" s="28">
        <f>AI47/AI51</f>
        <v>0.56562028051718627</v>
      </c>
      <c r="AL47" s="24">
        <v>139699</v>
      </c>
      <c r="AM47" s="28">
        <f>AL47/AL51</f>
        <v>0.54854048705403768</v>
      </c>
      <c r="AO47" s="24">
        <v>143990</v>
      </c>
      <c r="AP47" s="28">
        <f>AO47/AO51</f>
        <v>0.5596582738007323</v>
      </c>
      <c r="AR47" s="24">
        <v>154762</v>
      </c>
      <c r="AS47" s="28">
        <f>AR47/AR51</f>
        <v>0.58296261418212636</v>
      </c>
      <c r="AU47" s="24">
        <f>+AI47+AL47+AO47+AR47</f>
        <v>581894</v>
      </c>
      <c r="AV47" s="28">
        <f>AU47/AU51</f>
        <v>0.56437906024437601</v>
      </c>
      <c r="AX47" s="24">
        <v>172109</v>
      </c>
      <c r="AY47" s="28">
        <f>AX47/AX51</f>
        <v>0.59309277746572064</v>
      </c>
      <c r="BA47" s="24">
        <v>160884</v>
      </c>
      <c r="BB47" s="28">
        <f>BA47/BA51</f>
        <v>0.56808118472066271</v>
      </c>
      <c r="BD47" s="24">
        <v>161430</v>
      </c>
      <c r="BE47" s="28">
        <f>BD47/BD51</f>
        <v>0.56768390032563665</v>
      </c>
      <c r="BG47" s="24">
        <v>162248</v>
      </c>
      <c r="BH47" s="28">
        <f>BG47/BG51</f>
        <v>0.54545576795067474</v>
      </c>
      <c r="BJ47" s="24">
        <f>+AX47+BA47+BD47+BG47</f>
        <v>656671</v>
      </c>
      <c r="BK47" s="28">
        <f>BJ47/BJ51</f>
        <v>0.56844050674549762</v>
      </c>
      <c r="BM47" s="24">
        <v>178935</v>
      </c>
      <c r="BN47" s="28">
        <f>BM47/BM51</f>
        <v>0.57086388085986106</v>
      </c>
      <c r="BP47" s="24">
        <v>181552</v>
      </c>
      <c r="BQ47" s="28">
        <f>BP47/BP51</f>
        <v>0.60997587673616949</v>
      </c>
      <c r="BS47" s="24">
        <v>179606</v>
      </c>
      <c r="BT47" s="28">
        <f>BS47/BS51</f>
        <v>0.56723893984183527</v>
      </c>
      <c r="BV47" s="24">
        <v>190260</v>
      </c>
      <c r="BW47" s="28">
        <f>BV47/BV51</f>
        <v>0.57652973100733618</v>
      </c>
      <c r="BY47" s="24">
        <v>730353</v>
      </c>
      <c r="BZ47" s="28">
        <f>BY47/BY51</f>
        <v>0.58069371285455884</v>
      </c>
      <c r="CB47" s="24">
        <v>201793</v>
      </c>
      <c r="CC47" s="28">
        <f>CB47/CB51</f>
        <v>0.57691570963379735</v>
      </c>
      <c r="CE47" s="24">
        <v>180278</v>
      </c>
      <c r="CF47" s="28">
        <f>CE47/CE51</f>
        <v>0.54500547188178317</v>
      </c>
      <c r="CH47" s="24">
        <v>176973</v>
      </c>
      <c r="CI47" s="28">
        <f>CH47/CH51</f>
        <v>0.52434580103818529</v>
      </c>
      <c r="CK47" s="24">
        <v>178505</v>
      </c>
      <c r="CL47" s="28">
        <f>CK47/CK51</f>
        <v>0.5346702210507398</v>
      </c>
      <c r="CN47" s="24">
        <v>737549</v>
      </c>
      <c r="CO47" s="28">
        <f>CN47/CN51</f>
        <v>0.54555063668001791</v>
      </c>
      <c r="CQ47" s="24">
        <v>216641</v>
      </c>
      <c r="CR47" s="28">
        <f>CQ47/CQ51</f>
        <v>0.56976303816111296</v>
      </c>
      <c r="CT47" s="24">
        <v>199250</v>
      </c>
      <c r="CU47" s="28">
        <f>CT47/CT51</f>
        <v>0.54421155558468948</v>
      </c>
      <c r="CW47" s="24">
        <v>182192</v>
      </c>
      <c r="CX47" s="28">
        <f>CW47/CW51</f>
        <v>0.51072084320293776</v>
      </c>
      <c r="CZ47" s="24">
        <v>205856</v>
      </c>
      <c r="DA47" s="28">
        <f>CZ47/CZ51</f>
        <v>0.53411794620316388</v>
      </c>
      <c r="DC47" s="24">
        <v>803938</v>
      </c>
      <c r="DD47" s="28">
        <f>DC47/DC51</f>
        <v>0.54009797756673816</v>
      </c>
      <c r="DF47" s="24">
        <v>222486</v>
      </c>
      <c r="DG47" s="28">
        <f>DF47/DF51</f>
        <v>0.55138760154844335</v>
      </c>
      <c r="DI47" s="24">
        <v>218152</v>
      </c>
      <c r="DJ47" s="28">
        <f>DI47/DI51</f>
        <v>0.53856446667423752</v>
      </c>
      <c r="DL47" s="24">
        <v>209771</v>
      </c>
      <c r="DM47" s="28">
        <f>DL47/DL51</f>
        <v>0.52485788346444084</v>
      </c>
      <c r="DP47" s="28"/>
      <c r="DS47" s="28"/>
    </row>
    <row r="48" spans="1:123" s="4" customFormat="1" x14ac:dyDescent="0.2">
      <c r="B48" s="4" t="s">
        <v>132</v>
      </c>
      <c r="E48" s="4">
        <v>44554</v>
      </c>
      <c r="F48" s="28">
        <f>E48/E51</f>
        <v>0.20244548548475774</v>
      </c>
      <c r="H48" s="4">
        <v>45697</v>
      </c>
      <c r="I48" s="28">
        <f>H48/H51</f>
        <v>0.20898273149672558</v>
      </c>
      <c r="K48" s="4">
        <v>46726</v>
      </c>
      <c r="L48" s="28">
        <f>K48/K51</f>
        <v>0.21921034359811595</v>
      </c>
      <c r="N48" s="4">
        <v>44588</v>
      </c>
      <c r="O48" s="28">
        <f>N48/N51</f>
        <v>0.19650427930508668</v>
      </c>
      <c r="Q48" s="4">
        <f>+E48+H48+K48+N48</f>
        <v>181565</v>
      </c>
      <c r="R48" s="28">
        <f>Q48/Q51</f>
        <v>0.20660442305175777</v>
      </c>
      <c r="T48" s="4">
        <v>46032</v>
      </c>
      <c r="U48" s="28">
        <f>T48/T51</f>
        <v>0.19048643727628231</v>
      </c>
      <c r="W48" s="4">
        <v>47899</v>
      </c>
      <c r="X48" s="28">
        <f>W48/W51</f>
        <v>0.20835888936738484</v>
      </c>
      <c r="Z48" s="4">
        <v>48420</v>
      </c>
      <c r="AA48" s="28">
        <f>Z48/Z51</f>
        <v>0.2144707992824397</v>
      </c>
      <c r="AC48" s="4">
        <v>45295</v>
      </c>
      <c r="AD48" s="28">
        <f>AC48/AC51</f>
        <v>0.18603247097285597</v>
      </c>
      <c r="AF48" s="4">
        <f>+T48+W48+Z48+AC48</f>
        <v>187646</v>
      </c>
      <c r="AG48" s="28">
        <f>AF48/AF51</f>
        <v>0.1994566245671173</v>
      </c>
      <c r="AI48" s="4">
        <v>47814</v>
      </c>
      <c r="AJ48" s="28">
        <f>AI48/AI51</f>
        <v>0.18853877911538902</v>
      </c>
      <c r="AL48" s="4">
        <v>50921</v>
      </c>
      <c r="AM48" s="28">
        <f>AL48/AL51</f>
        <v>0.19994581307868098</v>
      </c>
      <c r="AO48" s="4">
        <v>51091</v>
      </c>
      <c r="AP48" s="28">
        <f>AO48/AO51</f>
        <v>0.19857976850304335</v>
      </c>
      <c r="AR48" s="4">
        <v>50038</v>
      </c>
      <c r="AS48" s="28">
        <f>AR48/AR51</f>
        <v>0.18848479141162067</v>
      </c>
      <c r="AU48" s="4">
        <f>+AI48+AL48+AO48+AR48</f>
        <v>199864</v>
      </c>
      <c r="AV48" s="28">
        <f>AU48/AU51</f>
        <v>0.1938481175208577</v>
      </c>
      <c r="AX48" s="4">
        <v>52468</v>
      </c>
      <c r="AY48" s="28">
        <f>AX48/AX51</f>
        <v>0.18080630209966608</v>
      </c>
      <c r="BA48" s="4">
        <v>54536</v>
      </c>
      <c r="BB48" s="28">
        <f>BA48/BA51</f>
        <v>0.19256654166931492</v>
      </c>
      <c r="BD48" s="4">
        <v>53856</v>
      </c>
      <c r="BE48" s="28">
        <f>BD48/BD51</f>
        <v>0.18938973013651422</v>
      </c>
      <c r="BG48" s="4">
        <v>55902</v>
      </c>
      <c r="BH48" s="28">
        <f>BG48/BG51</f>
        <v>0.18793494120099241</v>
      </c>
      <c r="BJ48" s="4">
        <f>+AX48+BA48+BD48+BG48</f>
        <v>216762</v>
      </c>
      <c r="BK48" s="28">
        <f>BJ48/BJ51</f>
        <v>0.18763779902442401</v>
      </c>
      <c r="BL48" s="24"/>
      <c r="BM48" s="4">
        <v>58298</v>
      </c>
      <c r="BN48" s="28">
        <f>BM48/BM51</f>
        <v>0.1859905693484683</v>
      </c>
      <c r="BP48" s="4">
        <v>59957</v>
      </c>
      <c r="BQ48" s="28">
        <f>BP48/BP51</f>
        <v>0.20144269212936519</v>
      </c>
      <c r="BS48" s="4">
        <v>61869</v>
      </c>
      <c r="BT48" s="28">
        <f>BS48/BS51</f>
        <v>0.19539718032289852</v>
      </c>
      <c r="BV48" s="4">
        <v>63364</v>
      </c>
      <c r="BW48" s="28">
        <f>BV48/BV51</f>
        <v>0.19200688466072138</v>
      </c>
      <c r="BY48" s="4">
        <v>243488</v>
      </c>
      <c r="BZ48" s="28">
        <f>BY48/BY51</f>
        <v>0.1935939891470711</v>
      </c>
      <c r="CB48" s="4">
        <v>65328</v>
      </c>
      <c r="CC48" s="28">
        <f>CB48/CB51</f>
        <v>0.18676936008165157</v>
      </c>
      <c r="CE48" s="4">
        <v>68547</v>
      </c>
      <c r="CF48" s="28">
        <f>CE48/CE51</f>
        <v>0.20722711634853166</v>
      </c>
      <c r="CH48" s="4">
        <v>70142</v>
      </c>
      <c r="CI48" s="28">
        <f>CH48/CH51</f>
        <v>0.20782075896560714</v>
      </c>
      <c r="CK48" s="4">
        <v>71622</v>
      </c>
      <c r="CL48" s="28">
        <f>CK48/CK51</f>
        <v>0.21452704726532079</v>
      </c>
      <c r="CN48" s="4">
        <v>275639</v>
      </c>
      <c r="CO48" s="28">
        <f>CN48/CN51</f>
        <v>0.20388480215394972</v>
      </c>
      <c r="CQ48" s="4">
        <v>71745</v>
      </c>
      <c r="CR48" s="28">
        <f>CQ48/CQ51</f>
        <v>0.18868842542671541</v>
      </c>
      <c r="CT48" s="4">
        <v>75063</v>
      </c>
      <c r="CU48" s="28">
        <f>CT48/CT51</f>
        <v>0.20501958342210058</v>
      </c>
      <c r="CW48" s="4">
        <v>75797</v>
      </c>
      <c r="CX48" s="28">
        <f>CW48/CW51</f>
        <v>0.21247424558846204</v>
      </c>
      <c r="CZ48" s="4">
        <v>78199</v>
      </c>
      <c r="DA48" s="28">
        <f>CZ48/CZ51</f>
        <v>0.20289663296256225</v>
      </c>
      <c r="DC48" s="4">
        <v>300804</v>
      </c>
      <c r="DD48" s="28">
        <f>DC48/DC51</f>
        <v>0.2020847777365731</v>
      </c>
      <c r="DF48" s="4">
        <v>79735</v>
      </c>
      <c r="DG48" s="28">
        <f>DF48/DF51</f>
        <v>0.19760744680323766</v>
      </c>
      <c r="DI48" s="4">
        <v>85156</v>
      </c>
      <c r="DJ48" s="28">
        <f>DI48/DI51</f>
        <v>0.21022954510667502</v>
      </c>
      <c r="DL48" s="4">
        <v>85991</v>
      </c>
      <c r="DM48" s="28">
        <f>DL48/DL51</f>
        <v>0.2151539262195</v>
      </c>
      <c r="DP48" s="28"/>
      <c r="DS48" s="28"/>
    </row>
    <row r="49" spans="1:123" s="4" customFormat="1" x14ac:dyDescent="0.2">
      <c r="B49" s="4" t="s">
        <v>133</v>
      </c>
      <c r="E49" s="4">
        <v>21411</v>
      </c>
      <c r="F49" s="28">
        <f>E49/E51</f>
        <v>9.7287792111014681E-2</v>
      </c>
      <c r="H49" s="4">
        <v>24589</v>
      </c>
      <c r="I49" s="28">
        <f>H49/H51</f>
        <v>0.11245106647642045</v>
      </c>
      <c r="K49" s="4">
        <v>22416</v>
      </c>
      <c r="L49" s="28">
        <f>K49/K51</f>
        <v>0.10516241625851488</v>
      </c>
      <c r="N49" s="4">
        <v>27058</v>
      </c>
      <c r="O49" s="28">
        <f>N49/N51</f>
        <v>0.11924761795633435</v>
      </c>
      <c r="Q49" s="4">
        <f>+E49+H49+K49+N49</f>
        <v>95474</v>
      </c>
      <c r="R49" s="28">
        <f>Q49/Q51</f>
        <v>0.10864071096545877</v>
      </c>
      <c r="T49" s="4">
        <v>25390</v>
      </c>
      <c r="U49" s="28">
        <f>T49/T51</f>
        <v>0.10506714117233246</v>
      </c>
      <c r="W49" s="4">
        <v>27596</v>
      </c>
      <c r="X49" s="28">
        <f>W49/W51</f>
        <v>0.12004158564860128</v>
      </c>
      <c r="Z49" s="4">
        <v>22377</v>
      </c>
      <c r="AA49" s="28">
        <f>Z49/Z51</f>
        <v>9.9116337784864797E-2</v>
      </c>
      <c r="AC49" s="4">
        <v>23750</v>
      </c>
      <c r="AD49" s="28">
        <f>AC49/AC51</f>
        <v>9.7544346740375973E-2</v>
      </c>
      <c r="AF49" s="4">
        <f>+T49+W49+Z49+AC49</f>
        <v>99113</v>
      </c>
      <c r="AG49" s="28">
        <f>AF49/AF51</f>
        <v>0.10535127010818614</v>
      </c>
      <c r="AI49" s="4">
        <v>25700</v>
      </c>
      <c r="AJ49" s="28">
        <f>AI49/AI51</f>
        <v>0.10133949519524611</v>
      </c>
      <c r="AL49" s="4">
        <v>28495</v>
      </c>
      <c r="AM49" s="28">
        <f>AL49/AL51</f>
        <v>0.11188813934677273</v>
      </c>
      <c r="AO49" s="4">
        <v>22528</v>
      </c>
      <c r="AP49" s="28">
        <f>AO49/AO51</f>
        <v>8.7561508383796768E-2</v>
      </c>
      <c r="AR49" s="4">
        <v>29547</v>
      </c>
      <c r="AS49" s="28">
        <f>AR49/AR51</f>
        <v>0.1112986156888596</v>
      </c>
      <c r="AU49" s="4">
        <f>+AI49+AL49+AO49+AR49</f>
        <v>106270</v>
      </c>
      <c r="AV49" s="28">
        <f>AU49/AU51</f>
        <v>0.10307128571899665</v>
      </c>
      <c r="AX49" s="4">
        <v>27146</v>
      </c>
      <c r="AY49" s="28">
        <f>AX49/AX51</f>
        <v>9.3545930410870157E-2</v>
      </c>
      <c r="BA49" s="4">
        <v>26448</v>
      </c>
      <c r="BB49" s="28">
        <f>BA49/BA51</f>
        <v>9.3387851952289144E-2</v>
      </c>
      <c r="BD49" s="4">
        <v>23370</v>
      </c>
      <c r="BE49" s="28">
        <f>BD49/BD51</f>
        <v>8.2182820731029727E-2</v>
      </c>
      <c r="BG49" s="4">
        <v>35252</v>
      </c>
      <c r="BH49" s="28">
        <f>BG49/BG51</f>
        <v>0.1185124422599797</v>
      </c>
      <c r="BJ49" s="4">
        <f>+AX49+BA49+BD49+BG49</f>
        <v>112216</v>
      </c>
      <c r="BK49" s="28">
        <f>BJ49/BJ51</f>
        <v>9.7138627874464922E-2</v>
      </c>
      <c r="BL49" s="24"/>
      <c r="BM49" s="4">
        <v>30673</v>
      </c>
      <c r="BN49" s="28">
        <f>BM49/BM51</f>
        <v>9.7857366181096583E-2</v>
      </c>
      <c r="BP49" s="4">
        <v>29409</v>
      </c>
      <c r="BQ49" s="28">
        <f>BP49/BP51</f>
        <v>9.8807947909877097E-2</v>
      </c>
      <c r="BS49" s="4">
        <v>28328</v>
      </c>
      <c r="BT49" s="28">
        <f>BS49/BS51</f>
        <v>8.9466636347558054E-2</v>
      </c>
      <c r="BV49" s="4">
        <v>34435</v>
      </c>
      <c r="BW49" s="28">
        <f>BV49/BV51</f>
        <v>0.10434563905832871</v>
      </c>
      <c r="BY49" s="4">
        <v>122846</v>
      </c>
      <c r="BZ49" s="28">
        <f>BY49/BY51</f>
        <v>9.7673179749150255E-2</v>
      </c>
      <c r="CB49" s="4">
        <v>33728</v>
      </c>
      <c r="CC49" s="28">
        <f>CB49/CB51</f>
        <v>9.6426600796502934E-2</v>
      </c>
      <c r="CE49" s="4">
        <v>34818</v>
      </c>
      <c r="CF49" s="28">
        <f>CE49/CE51</f>
        <v>0.10525965741787642</v>
      </c>
      <c r="CH49" s="4">
        <v>37438</v>
      </c>
      <c r="CI49" s="28">
        <f>CH49/CH51</f>
        <v>0.11092346346203986</v>
      </c>
      <c r="CK49" s="4">
        <v>34666</v>
      </c>
      <c r="CL49" s="28">
        <f>CK49/CK51</f>
        <v>0.10383394237105374</v>
      </c>
      <c r="CN49" s="4">
        <v>140649</v>
      </c>
      <c r="CO49" s="28">
        <f>CN49/CN51</f>
        <v>0.10403532714220728</v>
      </c>
      <c r="CQ49" s="4">
        <v>34783</v>
      </c>
      <c r="CR49" s="28">
        <f>CQ49/CQ51</f>
        <v>9.1478841753675405E-2</v>
      </c>
      <c r="CT49" s="4">
        <v>34491</v>
      </c>
      <c r="CU49" s="28">
        <f>CT49/CT51</f>
        <v>9.4205273594336378E-2</v>
      </c>
      <c r="CW49" s="4">
        <v>34838</v>
      </c>
      <c r="CX49" s="28">
        <f>CW49/CW51</f>
        <v>9.765792535075056E-2</v>
      </c>
      <c r="CZ49" s="4">
        <v>40125</v>
      </c>
      <c r="DA49" s="28">
        <f>CZ49/CZ51</f>
        <v>0.10410909855142406</v>
      </c>
      <c r="DC49" s="4">
        <v>144238</v>
      </c>
      <c r="DD49" s="28">
        <f>DC49/DC51</f>
        <v>9.6901318370659406E-2</v>
      </c>
      <c r="DF49" s="4">
        <v>38168</v>
      </c>
      <c r="DG49" s="28">
        <f>DF49/DF51</f>
        <v>9.459184836754217E-2</v>
      </c>
      <c r="DI49" s="4">
        <v>39603</v>
      </c>
      <c r="DJ49" s="28">
        <f>DI49/DI51</f>
        <v>9.7770217892569539E-2</v>
      </c>
      <c r="DL49" s="4">
        <v>36537</v>
      </c>
      <c r="DM49" s="28">
        <f>DL49/DL51</f>
        <v>9.1417462319101667E-2</v>
      </c>
      <c r="DP49" s="28"/>
      <c r="DS49" s="28"/>
    </row>
    <row r="50" spans="1:123" s="4" customFormat="1" x14ac:dyDescent="0.2">
      <c r="B50" s="4" t="s">
        <v>134</v>
      </c>
      <c r="E50" s="4">
        <v>28501</v>
      </c>
      <c r="F50" s="28">
        <f>E50/E51</f>
        <v>0.12950349647172152</v>
      </c>
      <c r="H50" s="4">
        <v>27196</v>
      </c>
      <c r="I50" s="28">
        <f>H50/H51</f>
        <v>0.12437346796912158</v>
      </c>
      <c r="K50" s="4">
        <v>26033</v>
      </c>
      <c r="L50" s="28">
        <f>K50/K51</f>
        <v>0.1221312090675374</v>
      </c>
      <c r="N50" s="4">
        <v>32248</v>
      </c>
      <c r="O50" s="28">
        <f>N50/N51</f>
        <v>0.14212052568023764</v>
      </c>
      <c r="Q50" s="4">
        <f>+E50+H50+K50+N50</f>
        <v>113978</v>
      </c>
      <c r="R50" s="28">
        <f>Q50/Q51</f>
        <v>0.12969657660118</v>
      </c>
      <c r="T50" s="4">
        <v>33988</v>
      </c>
      <c r="U50" s="28">
        <f>T50/T51</f>
        <v>0.14064678984502701</v>
      </c>
      <c r="W50" s="4">
        <v>30454</v>
      </c>
      <c r="X50" s="28">
        <f>W50/W51</f>
        <v>0.13247378059655396</v>
      </c>
      <c r="Z50" s="4">
        <v>30933</v>
      </c>
      <c r="AA50" s="28">
        <f>Z50/Z51</f>
        <v>0.13701415188359578</v>
      </c>
      <c r="AC50" s="4">
        <v>37666</v>
      </c>
      <c r="AD50" s="28">
        <f>AC50/AC51</f>
        <v>0.15469917323465268</v>
      </c>
      <c r="AF50" s="4">
        <f>+T50+W50+Z50+AC50</f>
        <v>133041</v>
      </c>
      <c r="AG50" s="28">
        <f>AF50/AF51</f>
        <v>0.14141473193691231</v>
      </c>
      <c r="AI50" s="4">
        <v>36646</v>
      </c>
      <c r="AJ50" s="28">
        <f>AI50/AI51</f>
        <v>0.14450144517217856</v>
      </c>
      <c r="AL50" s="4">
        <v>35559</v>
      </c>
      <c r="AM50" s="28">
        <f>AL50/AL51</f>
        <v>0.13962556052050856</v>
      </c>
      <c r="AO50" s="4">
        <v>39673</v>
      </c>
      <c r="AP50" s="28">
        <f>AO50/AO51</f>
        <v>0.1542004493124276</v>
      </c>
      <c r="AR50" s="4">
        <v>31128</v>
      </c>
      <c r="AS50" s="28">
        <f>AR50/AR51</f>
        <v>0.11725397871739335</v>
      </c>
      <c r="AU50" s="4">
        <f>+AI50+AL50+AO50+AR50</f>
        <v>143006</v>
      </c>
      <c r="AV50" s="28">
        <f>AU50/AU51</f>
        <v>0.13870153651576961</v>
      </c>
      <c r="AX50" s="4">
        <v>38466</v>
      </c>
      <c r="AY50" s="28">
        <f>AX50/AX51</f>
        <v>0.13255499002374316</v>
      </c>
      <c r="BA50" s="4">
        <v>41338</v>
      </c>
      <c r="BB50" s="28">
        <f>BA50/BA51</f>
        <v>0.14596442165773324</v>
      </c>
      <c r="BD50" s="4">
        <v>45710</v>
      </c>
      <c r="BE50" s="28">
        <f>BD50/BD51</f>
        <v>0.16074354880681938</v>
      </c>
      <c r="BG50" s="4">
        <v>44052</v>
      </c>
      <c r="BH50" s="28">
        <f>BG50/BG51</f>
        <v>0.14809684858835315</v>
      </c>
      <c r="BJ50" s="4">
        <f>+AX50+BA50+BD50+BG50</f>
        <v>169566</v>
      </c>
      <c r="BK50" s="28">
        <f>BJ50/BJ51</f>
        <v>0.14678306635561345</v>
      </c>
      <c r="BL50" s="24"/>
      <c r="BM50" s="4">
        <v>45540</v>
      </c>
      <c r="BN50" s="28">
        <f>BM50/BM51</f>
        <v>0.14528818361057408</v>
      </c>
      <c r="BP50" s="4">
        <v>26720</v>
      </c>
      <c r="BQ50" s="28">
        <f>BP50/BP51</f>
        <v>8.9773483224588252E-2</v>
      </c>
      <c r="BS50" s="4">
        <v>46829</v>
      </c>
      <c r="BT50" s="28">
        <f>BS50/BS51</f>
        <v>0.14789724348770814</v>
      </c>
      <c r="BV50" s="4">
        <v>41950</v>
      </c>
      <c r="BW50" s="28">
        <f>BV50/BV51</f>
        <v>0.12711774527361375</v>
      </c>
      <c r="BY50" s="4">
        <v>161038</v>
      </c>
      <c r="BZ50" s="28">
        <f>BY50/BY51</f>
        <v>0.12803911824921982</v>
      </c>
      <c r="CB50" s="4">
        <v>48930</v>
      </c>
      <c r="CC50" s="28">
        <f>CB50/CB51</f>
        <v>0.13988832948804816</v>
      </c>
      <c r="CE50" s="4">
        <v>47139</v>
      </c>
      <c r="CF50" s="28">
        <f>CE50/CE51</f>
        <v>0.14250775435180874</v>
      </c>
      <c r="CH50" s="4">
        <v>52959</v>
      </c>
      <c r="CI50" s="28">
        <f>CH50/CH51</f>
        <v>0.15690997653416766</v>
      </c>
      <c r="CK50" s="4">
        <v>49067</v>
      </c>
      <c r="CL50" s="28">
        <f>CK50/CK51</f>
        <v>0.14696878931288565</v>
      </c>
      <c r="CN50" s="4">
        <v>198098</v>
      </c>
      <c r="CO50" s="28">
        <f>CN50/CN51</f>
        <v>0.14652923402382512</v>
      </c>
      <c r="CQ50" s="4">
        <v>57061</v>
      </c>
      <c r="CR50" s="28">
        <f>CQ50/CQ51</f>
        <v>0.15006969465849618</v>
      </c>
      <c r="CT50" s="4">
        <v>57322</v>
      </c>
      <c r="CU50" s="28">
        <f>CT50/CT51</f>
        <v>0.1565635873988736</v>
      </c>
      <c r="CW50" s="4">
        <v>63908</v>
      </c>
      <c r="CX50" s="28">
        <f>CW50/CW51</f>
        <v>0.17914698585784966</v>
      </c>
      <c r="CZ50" s="4">
        <v>61233</v>
      </c>
      <c r="DA50" s="28">
        <f>CZ50/CZ51</f>
        <v>0.15887632228284981</v>
      </c>
      <c r="DC50" s="4">
        <v>239524</v>
      </c>
      <c r="DD50" s="28">
        <f>DC50/DC51</f>
        <v>0.16091592632602936</v>
      </c>
      <c r="DF50" s="4">
        <v>63113</v>
      </c>
      <c r="DG50" s="28">
        <f>DF50/DF51</f>
        <v>0.15641310328077679</v>
      </c>
      <c r="DI50" s="4">
        <v>62151</v>
      </c>
      <c r="DJ50" s="28">
        <f>DI50/DI51</f>
        <v>0.15343577032651792</v>
      </c>
      <c r="DL50" s="4">
        <v>67373</v>
      </c>
      <c r="DM50" s="28">
        <f>DL50/DL51</f>
        <v>0.16857072799695749</v>
      </c>
      <c r="DP50" s="28"/>
      <c r="DS50" s="28"/>
    </row>
    <row r="51" spans="1:123" s="24" customFormat="1" ht="12" thickBot="1" x14ac:dyDescent="0.25">
      <c r="B51" s="1"/>
      <c r="C51" s="1" t="s">
        <v>141</v>
      </c>
      <c r="E51" s="34">
        <f>SUM(E47:E50)</f>
        <v>220079</v>
      </c>
      <c r="F51" s="30">
        <f>SUM(F47:F50)</f>
        <v>1</v>
      </c>
      <c r="G51" s="34"/>
      <c r="H51" s="34">
        <f>SUM(H47:H50)</f>
        <v>218664</v>
      </c>
      <c r="I51" s="30">
        <f>SUM(I47:I50)</f>
        <v>1</v>
      </c>
      <c r="J51" s="34"/>
      <c r="K51" s="34">
        <f>SUM(K47:K50)</f>
        <v>213156</v>
      </c>
      <c r="L51" s="30">
        <f>SUM(L47:L50)</f>
        <v>1</v>
      </c>
      <c r="M51" s="34"/>
      <c r="N51" s="34">
        <f>SUM(N47:N50)</f>
        <v>226906</v>
      </c>
      <c r="O51" s="30">
        <f>SUM(O47:O50)</f>
        <v>1</v>
      </c>
      <c r="P51" s="34"/>
      <c r="Q51" s="34">
        <f>+E51+H51+K51+N51</f>
        <v>878805</v>
      </c>
      <c r="R51" s="30">
        <f>SUM(R47:R50)</f>
        <v>1</v>
      </c>
      <c r="T51" s="34">
        <f>SUM(T47:T50)</f>
        <v>241655</v>
      </c>
      <c r="U51" s="30">
        <f>SUM(U47:U50)</f>
        <v>1</v>
      </c>
      <c r="V51" s="34"/>
      <c r="W51" s="34">
        <f>SUM(W47:W50)</f>
        <v>229887</v>
      </c>
      <c r="X51" s="30">
        <f>SUM(X47:X50)</f>
        <v>1</v>
      </c>
      <c r="Y51" s="34"/>
      <c r="Z51" s="34">
        <f>SUM(Z47:Z50)</f>
        <v>225765</v>
      </c>
      <c r="AA51" s="30">
        <f>SUM(AA47:AA50)</f>
        <v>1</v>
      </c>
      <c r="AB51" s="34"/>
      <c r="AC51" s="34">
        <f>SUM(AC47:AC50)</f>
        <v>243479</v>
      </c>
      <c r="AD51" s="30">
        <f>SUM(AD47:AD50)</f>
        <v>1</v>
      </c>
      <c r="AE51" s="34"/>
      <c r="AF51" s="34">
        <f>+T51+W51+Z51+AC51</f>
        <v>940786</v>
      </c>
      <c r="AG51" s="30">
        <f>SUM(AG47:AG50)</f>
        <v>1</v>
      </c>
      <c r="AI51" s="34">
        <f>SUM(AI47:AI50)</f>
        <v>253603</v>
      </c>
      <c r="AJ51" s="30">
        <f>SUM(AJ47:AJ50)</f>
        <v>1</v>
      </c>
      <c r="AK51" s="34"/>
      <c r="AL51" s="34">
        <f t="shared" ref="AL51:AR51" si="0">SUM(AL47:AL50)</f>
        <v>254674</v>
      </c>
      <c r="AM51" s="30">
        <f>SUM(AM47:AM50)</f>
        <v>1</v>
      </c>
      <c r="AN51" s="34"/>
      <c r="AO51" s="34">
        <f t="shared" si="0"/>
        <v>257282</v>
      </c>
      <c r="AP51" s="30">
        <f>SUM(AP47:AP50)</f>
        <v>1</v>
      </c>
      <c r="AQ51" s="34"/>
      <c r="AR51" s="34">
        <f t="shared" si="0"/>
        <v>265475</v>
      </c>
      <c r="AS51" s="30">
        <f>SUM(AS47:AS50)</f>
        <v>1</v>
      </c>
      <c r="AT51" s="34"/>
      <c r="AU51" s="34">
        <f>+AI51+AL51+AO51+AR51</f>
        <v>1031034</v>
      </c>
      <c r="AV51" s="30">
        <f>SUM(AV47:AV50)</f>
        <v>1</v>
      </c>
      <c r="AX51" s="34">
        <f>SUM(AX47:AX50)</f>
        <v>290189</v>
      </c>
      <c r="AY51" s="30">
        <f>SUM(AY47:AY50)</f>
        <v>1</v>
      </c>
      <c r="AZ51" s="25"/>
      <c r="BA51" s="34">
        <f>SUM(BA47:BA50)</f>
        <v>283206</v>
      </c>
      <c r="BB51" s="30">
        <f>SUM(BB47:BB50)</f>
        <v>1</v>
      </c>
      <c r="BD51" s="34">
        <f>SUM(BD47:BD50)</f>
        <v>284366</v>
      </c>
      <c r="BE51" s="30">
        <f>SUM(BE47:BE50)</f>
        <v>1</v>
      </c>
      <c r="BG51" s="34">
        <f>SUM(BG47:BG50)</f>
        <v>297454</v>
      </c>
      <c r="BH51" s="30">
        <f>SUM(BH47:BH50)</f>
        <v>1</v>
      </c>
      <c r="BJ51" s="34">
        <f>+AX51+BA51+BD51+BG51</f>
        <v>1155215</v>
      </c>
      <c r="BK51" s="30">
        <f>SUM(BK47:BK50)</f>
        <v>1</v>
      </c>
      <c r="BM51" s="34">
        <f>SUM(BM47:BM50)</f>
        <v>313446</v>
      </c>
      <c r="BN51" s="30">
        <f>SUM(BN47:BN50)</f>
        <v>1.0000000000000002</v>
      </c>
      <c r="BO51" s="25"/>
      <c r="BP51" s="34">
        <f>SUM(BP47:BP50)</f>
        <v>297638</v>
      </c>
      <c r="BQ51" s="30">
        <f>SUM(BQ47:BQ50)</f>
        <v>1</v>
      </c>
      <c r="BS51" s="34">
        <f>SUM(BS47:BS50)</f>
        <v>316632</v>
      </c>
      <c r="BT51" s="30">
        <f>SUM(BT47:BT50)</f>
        <v>1</v>
      </c>
      <c r="BV51" s="34">
        <f>SUM(BV47:BV50)</f>
        <v>330009</v>
      </c>
      <c r="BW51" s="30">
        <f>SUM(BW47:BW50)</f>
        <v>1</v>
      </c>
      <c r="BY51" s="34">
        <f>SUM(BY47:BY50)</f>
        <v>1257725</v>
      </c>
      <c r="BZ51" s="30">
        <f>SUM(BZ47:BZ50)</f>
        <v>1</v>
      </c>
      <c r="CB51" s="34">
        <f>SUM(CB47:CB50)</f>
        <v>349779</v>
      </c>
      <c r="CC51" s="30">
        <f>SUM(CC47:CC50)</f>
        <v>1</v>
      </c>
      <c r="CD51" s="25"/>
      <c r="CE51" s="34">
        <f>SUM(CE47:CE50)</f>
        <v>330782</v>
      </c>
      <c r="CF51" s="30">
        <f>SUM(CF47:CF50)</f>
        <v>1</v>
      </c>
      <c r="CH51" s="34">
        <f>SUM(CH47:CH50)</f>
        <v>337512</v>
      </c>
      <c r="CI51" s="30">
        <f>SUM(CI47:CI50)</f>
        <v>1</v>
      </c>
      <c r="CK51" s="34">
        <f>SUM(CK47:CK50)</f>
        <v>333860</v>
      </c>
      <c r="CL51" s="30">
        <f>SUM(CL47:CL50)</f>
        <v>1</v>
      </c>
      <c r="CN51" s="34">
        <f>SUM(CN47:CN50)</f>
        <v>1351935</v>
      </c>
      <c r="CO51" s="30">
        <f>SUM(CO47:CO50)</f>
        <v>1</v>
      </c>
      <c r="CQ51" s="34">
        <f>SUM(CQ47:CQ50)</f>
        <v>380230</v>
      </c>
      <c r="CR51" s="30">
        <f>SUM(CR47:CR50)</f>
        <v>0.99999999999999989</v>
      </c>
      <c r="CS51" s="25"/>
      <c r="CT51" s="34">
        <f>SUM(CT47:CT50)</f>
        <v>366126</v>
      </c>
      <c r="CU51" s="30">
        <f>SUM(CU47:CU50)</f>
        <v>1</v>
      </c>
      <c r="CW51" s="34">
        <f>SUM(CW47:CW50)</f>
        <v>356735</v>
      </c>
      <c r="CX51" s="30">
        <f>SUM(CX47:CX50)</f>
        <v>1</v>
      </c>
      <c r="CZ51" s="34">
        <f>SUM(CZ47:CZ50)</f>
        <v>385413</v>
      </c>
      <c r="DA51" s="30">
        <f>SUM(DA47:DA50)</f>
        <v>1</v>
      </c>
      <c r="DC51" s="34">
        <f>SUM(DC47:DC50)</f>
        <v>1488504</v>
      </c>
      <c r="DD51" s="30">
        <f>SUM(DD47:DD50)</f>
        <v>1</v>
      </c>
      <c r="DF51" s="34">
        <f>SUM(DF47:DF50)</f>
        <v>403502</v>
      </c>
      <c r="DG51" s="30">
        <f>SUM(DG47:DG50)</f>
        <v>1</v>
      </c>
      <c r="DH51" s="25"/>
      <c r="DI51" s="34">
        <f>SUM(DI47:DI50)</f>
        <v>405062</v>
      </c>
      <c r="DJ51" s="30">
        <f>SUM(DJ47:DJ50)</f>
        <v>1</v>
      </c>
      <c r="DL51" s="34">
        <f>SUM(DL47:DL50)</f>
        <v>399672</v>
      </c>
      <c r="DM51" s="30">
        <f>SUM(DM47:DM50)</f>
        <v>1</v>
      </c>
      <c r="DO51" s="34"/>
      <c r="DP51" s="30"/>
      <c r="DR51" s="34"/>
      <c r="DS51" s="30"/>
    </row>
    <row r="52" spans="1:123" s="4" customFormat="1" ht="12" thickTop="1" x14ac:dyDescent="0.2"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X52" s="14"/>
      <c r="AY52" s="14"/>
      <c r="AZ52" s="14"/>
      <c r="BA52" s="14"/>
      <c r="BB52" s="14"/>
      <c r="BD52" s="14"/>
      <c r="BE52" s="14"/>
      <c r="BG52" s="14"/>
      <c r="BH52" s="14"/>
      <c r="BM52" s="14"/>
      <c r="BN52" s="14"/>
      <c r="BO52" s="14"/>
      <c r="BP52" s="14"/>
      <c r="BQ52" s="14"/>
      <c r="BS52" s="14"/>
      <c r="BT52" s="14"/>
      <c r="BV52" s="14"/>
      <c r="BW52" s="14"/>
      <c r="CB52" s="14"/>
      <c r="CC52" s="14"/>
      <c r="CD52" s="14"/>
      <c r="CE52" s="14"/>
      <c r="CF52" s="14"/>
      <c r="CH52" s="14"/>
      <c r="CI52" s="14"/>
      <c r="CK52" s="14"/>
      <c r="CL52" s="14"/>
      <c r="CQ52" s="14"/>
      <c r="CR52" s="14"/>
      <c r="CS52" s="14"/>
      <c r="CT52" s="14"/>
      <c r="CU52" s="14"/>
      <c r="CW52" s="14"/>
      <c r="CX52" s="14"/>
      <c r="CZ52" s="14"/>
      <c r="DA52" s="14"/>
      <c r="DD52" s="14"/>
      <c r="DF52" s="14"/>
      <c r="DG52" s="14"/>
      <c r="DH52" s="14"/>
      <c r="DI52" s="14"/>
      <c r="DJ52" s="14"/>
      <c r="DL52" s="14"/>
      <c r="DM52" s="14"/>
      <c r="DO52" s="14"/>
      <c r="DP52" s="14"/>
      <c r="DS52" s="14"/>
    </row>
    <row r="53" spans="1:123" s="4" customFormat="1" x14ac:dyDescent="0.2"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X53" s="14"/>
      <c r="AY53" s="14"/>
      <c r="AZ53" s="14"/>
      <c r="BA53" s="14"/>
      <c r="BB53" s="14"/>
      <c r="BD53" s="14"/>
      <c r="BE53" s="14"/>
      <c r="BG53" s="14"/>
      <c r="BH53" s="14"/>
      <c r="BM53" s="14"/>
      <c r="BN53" s="14"/>
      <c r="BO53" s="14"/>
      <c r="BP53" s="14"/>
      <c r="BQ53" s="14"/>
      <c r="BS53" s="14"/>
      <c r="BT53" s="14"/>
      <c r="BV53" s="14"/>
      <c r="BW53" s="14"/>
      <c r="CB53" s="14"/>
      <c r="CC53" s="14"/>
      <c r="CD53" s="14"/>
      <c r="CE53" s="14"/>
      <c r="CF53" s="14"/>
      <c r="CH53" s="14"/>
      <c r="CI53" s="14"/>
      <c r="CK53" s="14"/>
      <c r="CL53" s="14"/>
      <c r="CQ53" s="14"/>
      <c r="CR53" s="14"/>
      <c r="CS53" s="14"/>
      <c r="CT53" s="14"/>
      <c r="CU53" s="14"/>
      <c r="CW53" s="14"/>
      <c r="CX53" s="14"/>
      <c r="CZ53" s="14"/>
      <c r="DA53" s="14"/>
      <c r="DF53" s="14"/>
      <c r="DG53" s="14"/>
      <c r="DH53" s="14"/>
      <c r="DI53" s="14"/>
      <c r="DJ53" s="14"/>
      <c r="DL53" s="14"/>
      <c r="DM53" s="14"/>
      <c r="DO53" s="14"/>
      <c r="DP53" s="14"/>
    </row>
    <row r="54" spans="1:123" s="4" customFormat="1" x14ac:dyDescent="0.2">
      <c r="A54" s="4" t="s">
        <v>56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X54" s="14"/>
      <c r="AY54" s="14"/>
      <c r="AZ54" s="14"/>
      <c r="BA54" s="14"/>
      <c r="BB54" s="14"/>
      <c r="BD54" s="14"/>
      <c r="BE54" s="14"/>
      <c r="BG54" s="14"/>
      <c r="BH54" s="14"/>
      <c r="BM54" s="14"/>
      <c r="BN54" s="14"/>
      <c r="BO54" s="14"/>
      <c r="BP54" s="14"/>
      <c r="BQ54" s="14"/>
      <c r="BS54" s="14"/>
      <c r="BT54" s="14"/>
      <c r="BV54" s="14"/>
      <c r="BW54" s="14"/>
      <c r="CB54" s="14"/>
      <c r="CC54" s="14"/>
      <c r="CD54" s="14"/>
      <c r="CE54" s="14"/>
      <c r="CF54" s="14"/>
      <c r="CH54" s="14"/>
      <c r="CI54" s="14"/>
      <c r="CK54" s="14"/>
      <c r="CL54" s="14"/>
      <c r="CQ54" s="14"/>
      <c r="CR54" s="14"/>
      <c r="CS54" s="14"/>
      <c r="CT54" s="14"/>
      <c r="CU54" s="14"/>
      <c r="CW54" s="14"/>
      <c r="CX54" s="14"/>
      <c r="CZ54" s="14"/>
      <c r="DA54" s="14"/>
      <c r="DF54" s="14"/>
      <c r="DG54" s="14"/>
      <c r="DH54" s="14"/>
      <c r="DI54" s="14"/>
      <c r="DJ54" s="14"/>
      <c r="DL54" s="14"/>
      <c r="DM54" s="14"/>
      <c r="DO54" s="14"/>
      <c r="DP54" s="14"/>
    </row>
    <row r="55" spans="1:123" s="24" customFormat="1" x14ac:dyDescent="0.2">
      <c r="B55" s="24" t="s">
        <v>135</v>
      </c>
      <c r="AO55" s="31">
        <v>300</v>
      </c>
      <c r="AP55" s="31"/>
      <c r="AQ55" s="31"/>
      <c r="AR55" s="31">
        <v>500</v>
      </c>
      <c r="AS55" s="31"/>
      <c r="AT55" s="31"/>
      <c r="AU55" s="31">
        <f>SUM(AO55:AT55)</f>
        <v>800</v>
      </c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M55" s="31">
        <v>1000</v>
      </c>
      <c r="BN55" s="31"/>
      <c r="BO55" s="31"/>
      <c r="BP55" s="31"/>
      <c r="BQ55" s="31"/>
      <c r="BR55" s="31"/>
      <c r="BS55" s="31">
        <v>2000</v>
      </c>
      <c r="BT55" s="31"/>
      <c r="BU55" s="31"/>
      <c r="BV55" s="31"/>
      <c r="BW55" s="31"/>
      <c r="BX55" s="31"/>
      <c r="BY55" s="31">
        <f>SUM(BM55:BW55)</f>
        <v>3000</v>
      </c>
      <c r="BZ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Q55" s="31"/>
      <c r="CR55" s="31"/>
      <c r="CS55" s="31"/>
      <c r="CT55" s="31">
        <v>750</v>
      </c>
      <c r="CU55" s="31"/>
      <c r="CV55" s="31"/>
      <c r="CW55" s="31"/>
      <c r="CX55" s="31"/>
      <c r="CY55" s="31"/>
      <c r="CZ55" s="31"/>
      <c r="DA55" s="31"/>
      <c r="DB55" s="31"/>
      <c r="DC55" s="31">
        <v>750</v>
      </c>
      <c r="DD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DP55" s="31"/>
      <c r="DQ55" s="31"/>
      <c r="DR55" s="31"/>
      <c r="DS55" s="31"/>
    </row>
    <row r="56" spans="1:123" s="24" customFormat="1" x14ac:dyDescent="0.2">
      <c r="B56" s="24" t="s">
        <v>136</v>
      </c>
      <c r="AO56" s="31">
        <v>-60.2</v>
      </c>
      <c r="AP56" s="31"/>
      <c r="AQ56" s="31"/>
      <c r="AR56" s="31">
        <v>-151.69999999999999</v>
      </c>
      <c r="AS56" s="31"/>
      <c r="AT56" s="31"/>
      <c r="AU56" s="31">
        <f>SUM(AO56:AT56)</f>
        <v>-211.89999999999998</v>
      </c>
      <c r="AV56" s="31"/>
      <c r="AW56" s="31"/>
      <c r="AX56" s="31">
        <v>-124.6</v>
      </c>
      <c r="AY56" s="31"/>
      <c r="AZ56" s="31"/>
      <c r="BA56" s="31">
        <v>-48.709389999999999</v>
      </c>
      <c r="BB56" s="31"/>
      <c r="BC56" s="31"/>
      <c r="BD56" s="31">
        <v>-14.8363</v>
      </c>
      <c r="BE56" s="31"/>
      <c r="BF56" s="31"/>
      <c r="BG56" s="31">
        <v>-117.926703</v>
      </c>
      <c r="BH56" s="31"/>
      <c r="BI56" s="31"/>
      <c r="BJ56" s="31">
        <f>SUM(AX56:BG56)</f>
        <v>-306.07239300000003</v>
      </c>
      <c r="BK56" s="31"/>
      <c r="BM56" s="31">
        <v>-174.13843</v>
      </c>
      <c r="BN56" s="31"/>
      <c r="BO56" s="31"/>
      <c r="BP56" s="31">
        <v>-200.92951299999999</v>
      </c>
      <c r="BQ56" s="31"/>
      <c r="BR56" s="31"/>
      <c r="BS56" s="31">
        <v>-327.17829</v>
      </c>
      <c r="BT56" s="31"/>
      <c r="BU56" s="31"/>
      <c r="BV56" s="31">
        <v>-210.56391099999999</v>
      </c>
      <c r="BW56" s="31"/>
      <c r="BX56" s="31"/>
      <c r="BY56" s="31">
        <f>SUM(BM56:BW56)</f>
        <v>-912.81014400000004</v>
      </c>
      <c r="BZ56" s="31"/>
      <c r="CB56" s="31">
        <v>-119.927582</v>
      </c>
      <c r="CC56" s="31"/>
      <c r="CD56" s="31"/>
      <c r="CE56" s="31">
        <v>-249.8</v>
      </c>
      <c r="CF56" s="31"/>
      <c r="CG56" s="31"/>
      <c r="CH56" s="31">
        <v>-445.7</v>
      </c>
      <c r="CI56" s="31"/>
      <c r="CJ56" s="31"/>
      <c r="CK56" s="31">
        <v>-155.827</v>
      </c>
      <c r="CL56" s="31"/>
      <c r="CM56" s="31"/>
      <c r="CN56" s="31">
        <f>SUM(CB56:CL56)</f>
        <v>-971.25458200000003</v>
      </c>
      <c r="CO56" s="31"/>
      <c r="CQ56" s="31">
        <v>-132</v>
      </c>
      <c r="CR56" s="31"/>
      <c r="CS56" s="31"/>
      <c r="CT56" s="31">
        <v>-125.77500000000001</v>
      </c>
      <c r="CU56" s="31"/>
      <c r="CV56" s="31"/>
      <c r="CW56" s="31">
        <v>-198.7</v>
      </c>
      <c r="CX56" s="31"/>
      <c r="CY56" s="31"/>
      <c r="CZ56" s="31">
        <v>-101.13800000000001</v>
      </c>
      <c r="DA56" s="31"/>
      <c r="DB56" s="31"/>
      <c r="DC56" s="31">
        <v>-557.6</v>
      </c>
      <c r="DD56" s="31"/>
      <c r="DF56" s="31">
        <v>-182.09100000000001</v>
      </c>
      <c r="DG56" s="31"/>
      <c r="DH56" s="31"/>
      <c r="DI56" s="31">
        <v>-156.46700000000001</v>
      </c>
      <c r="DJ56" s="31"/>
      <c r="DK56" s="31"/>
      <c r="DL56" s="31">
        <v>-107.193</v>
      </c>
      <c r="DM56" s="31"/>
      <c r="DN56" s="31"/>
      <c r="DO56" s="31"/>
      <c r="DP56" s="31"/>
      <c r="DQ56" s="31"/>
      <c r="DR56" s="31"/>
      <c r="DS56" s="31"/>
    </row>
    <row r="57" spans="1:123" s="24" customFormat="1" x14ac:dyDescent="0.2">
      <c r="B57" s="24" t="s">
        <v>137</v>
      </c>
      <c r="AO57" s="31">
        <f>SUM(AO55:AO56)</f>
        <v>239.8</v>
      </c>
      <c r="AP57" s="31"/>
      <c r="AQ57" s="31"/>
      <c r="AR57" s="31">
        <f>+AO57+AR55+AR56</f>
        <v>588.09999999999991</v>
      </c>
      <c r="AS57" s="31"/>
      <c r="AT57" s="31"/>
      <c r="AU57" s="31">
        <f>SUM(AU55:AU56)</f>
        <v>588.1</v>
      </c>
      <c r="AV57" s="31"/>
      <c r="AW57" s="31"/>
      <c r="AX57" s="31">
        <f>+AU57+AX55+AX56</f>
        <v>463.5</v>
      </c>
      <c r="AY57" s="31"/>
      <c r="AZ57" s="31"/>
      <c r="BA57" s="31">
        <f>+AX57+BA55+BA56</f>
        <v>414.79061000000002</v>
      </c>
      <c r="BB57" s="31"/>
      <c r="BC57" s="31"/>
      <c r="BD57" s="31">
        <f>+BA57+BD55+BD56</f>
        <v>399.95431000000002</v>
      </c>
      <c r="BE57" s="31"/>
      <c r="BF57" s="31"/>
      <c r="BG57" s="31">
        <v>282.07326699999999</v>
      </c>
      <c r="BH57" s="31"/>
      <c r="BI57" s="31"/>
      <c r="BJ57" s="31">
        <v>282.07326699999999</v>
      </c>
      <c r="BK57" s="31"/>
      <c r="BM57" s="31">
        <f>+BJ57+BM55+BM56</f>
        <v>1107.934837</v>
      </c>
      <c r="BN57" s="31"/>
      <c r="BO57" s="31"/>
      <c r="BP57" s="31">
        <f>+BM57+BP55+BP56</f>
        <v>907.00532399999997</v>
      </c>
      <c r="BQ57" s="31"/>
      <c r="BR57" s="31"/>
      <c r="BS57" s="31">
        <f>+BP57+BS55+BS56</f>
        <v>2579.8270339999999</v>
      </c>
      <c r="BT57" s="31"/>
      <c r="BU57" s="31"/>
      <c r="BV57" s="31">
        <f>+BS57+BV55+BV56</f>
        <v>2369.2631229999997</v>
      </c>
      <c r="BW57" s="31"/>
      <c r="BX57" s="31"/>
      <c r="BY57" s="31">
        <f>+BJ57+BY55+BY56</f>
        <v>2369.2631229999997</v>
      </c>
      <c r="BZ57" s="31"/>
      <c r="CB57" s="31">
        <f>+BY57+CB55+CB56</f>
        <v>2249.3355409999999</v>
      </c>
      <c r="CC57" s="31"/>
      <c r="CD57" s="31"/>
      <c r="CE57" s="31">
        <f>+CB57+CE55+CE56</f>
        <v>1999.535541</v>
      </c>
      <c r="CF57" s="31"/>
      <c r="CG57" s="31"/>
      <c r="CH57" s="31">
        <f>+CE57+CH55+CH56</f>
        <v>1553.8355409999999</v>
      </c>
      <c r="CI57" s="31"/>
      <c r="CJ57" s="31"/>
      <c r="CK57" s="31">
        <f>+CH57+CK55+CK56</f>
        <v>1398.0085409999999</v>
      </c>
      <c r="CL57" s="31"/>
      <c r="CM57" s="31"/>
      <c r="CN57" s="31">
        <f>+BY57+CN55+CN56</f>
        <v>1398.0085409999997</v>
      </c>
      <c r="CO57" s="31"/>
      <c r="CQ57" s="31">
        <f>+CN57+CQ55+CQ56</f>
        <v>1266.0085409999997</v>
      </c>
      <c r="CR57" s="31"/>
      <c r="CS57" s="31"/>
      <c r="CT57" s="31">
        <f>+CQ57+CT55+CT56</f>
        <v>1890.2335409999996</v>
      </c>
      <c r="CU57" s="31"/>
      <c r="CV57" s="31"/>
      <c r="CW57" s="31">
        <f>+CT57+CW55+CW56</f>
        <v>1691.5335409999996</v>
      </c>
      <c r="CX57" s="31"/>
      <c r="CY57" s="31"/>
      <c r="CZ57" s="31">
        <v>1590.3</v>
      </c>
      <c r="DA57" s="31"/>
      <c r="DB57" s="31"/>
      <c r="DC57" s="31">
        <v>1590.3</v>
      </c>
      <c r="DD57" s="31"/>
      <c r="DF57" s="31">
        <f>+DC57+DF55+DF56</f>
        <v>1408.2089999999998</v>
      </c>
      <c r="DG57" s="31"/>
      <c r="DH57" s="31"/>
      <c r="DI57" s="31">
        <f>+DF57+DI55+DI56+0.1</f>
        <v>1251.8419999999996</v>
      </c>
      <c r="DJ57" s="31"/>
      <c r="DK57" s="31"/>
      <c r="DL57" s="31">
        <v>1144.5999999999999</v>
      </c>
      <c r="DM57" s="31"/>
      <c r="DN57" s="31"/>
      <c r="DO57" s="31"/>
      <c r="DP57" s="31"/>
      <c r="DQ57" s="31"/>
      <c r="DR57" s="31"/>
      <c r="DS57" s="31"/>
    </row>
    <row r="58" spans="1:123" s="24" customFormat="1" x14ac:dyDescent="0.2"/>
    <row r="59" spans="1:123" s="33" customFormat="1" x14ac:dyDescent="0.2">
      <c r="B59" s="33" t="s">
        <v>138</v>
      </c>
      <c r="AO59" s="33">
        <v>1744.3</v>
      </c>
      <c r="AR59" s="33">
        <v>4017.7</v>
      </c>
      <c r="AU59" s="33">
        <f>SUM(AI59:AS59)</f>
        <v>5762</v>
      </c>
      <c r="AX59" s="33">
        <v>2945.6219999999998</v>
      </c>
      <c r="BA59" s="33">
        <v>1046.6289999999999</v>
      </c>
      <c r="BD59" s="33">
        <v>313.04199999999997</v>
      </c>
      <c r="BG59" s="33">
        <v>2554.2249999999999</v>
      </c>
      <c r="BJ59" s="33">
        <f>SUM(AX59:BH59)</f>
        <v>6859.518</v>
      </c>
      <c r="BM59" s="33">
        <v>3841.9389999999999</v>
      </c>
      <c r="BP59" s="33">
        <v>4024.8009999999999</v>
      </c>
      <c r="BS59" s="33">
        <v>6234.799</v>
      </c>
      <c r="BV59" s="33">
        <v>3409.49</v>
      </c>
      <c r="BY59" s="33">
        <f>SUM(BM59:BW59)</f>
        <v>17511.029000000002</v>
      </c>
      <c r="CB59" s="33">
        <v>1776.9290000000001</v>
      </c>
      <c r="CE59" s="33">
        <v>3878.3679999999999</v>
      </c>
      <c r="CH59" s="33">
        <v>7680.817</v>
      </c>
      <c r="CK59" s="33">
        <v>2963.9760000000001</v>
      </c>
      <c r="CN59" s="33">
        <f>SUM(CB59:CL59)</f>
        <v>16300.090000000002</v>
      </c>
      <c r="CQ59" s="33">
        <v>2569.5520000000001</v>
      </c>
      <c r="CT59" s="33">
        <v>2365.1709999999998</v>
      </c>
      <c r="CW59" s="33">
        <v>3780.4670000000001</v>
      </c>
      <c r="CZ59" s="33">
        <v>1547.27</v>
      </c>
      <c r="DC59" s="33">
        <v>10262.459999999999</v>
      </c>
      <c r="DF59" s="33">
        <v>3034.703</v>
      </c>
      <c r="DI59" s="33">
        <v>2453.0839999999998</v>
      </c>
      <c r="DL59" s="33">
        <f>1488419/1000</f>
        <v>1488.4190000000001</v>
      </c>
    </row>
    <row r="60" spans="1:123" s="24" customFormat="1" x14ac:dyDescent="0.2"/>
    <row r="61" spans="1:123" s="24" customFormat="1" x14ac:dyDescent="0.2"/>
    <row r="62" spans="1:123" s="24" customFormat="1" x14ac:dyDescent="0.2"/>
    <row r="63" spans="1:123" s="24" customFormat="1" x14ac:dyDescent="0.2"/>
    <row r="64" spans="1:123" s="24" customFormat="1" x14ac:dyDescent="0.2"/>
    <row r="65" spans="1:121" s="24" customFormat="1" x14ac:dyDescent="0.2">
      <c r="D65" s="51" t="s">
        <v>99</v>
      </c>
      <c r="E65" s="51" t="s">
        <v>101</v>
      </c>
      <c r="S65" s="51" t="s">
        <v>159</v>
      </c>
      <c r="T65" s="51" t="s">
        <v>101</v>
      </c>
      <c r="AH65" s="51" t="s">
        <v>159</v>
      </c>
      <c r="AI65" s="51" t="s">
        <v>101</v>
      </c>
      <c r="AW65" s="51" t="s">
        <v>100</v>
      </c>
      <c r="AX65" s="51" t="s">
        <v>101</v>
      </c>
      <c r="BL65" s="51" t="s">
        <v>99</v>
      </c>
      <c r="BM65" s="51" t="s">
        <v>101</v>
      </c>
      <c r="CB65" s="51" t="s">
        <v>101</v>
      </c>
      <c r="CQ65" s="51" t="s">
        <v>101</v>
      </c>
      <c r="DF65" s="51" t="s">
        <v>101</v>
      </c>
    </row>
    <row r="66" spans="1:121" x14ac:dyDescent="0.2">
      <c r="D66" s="51"/>
      <c r="E66" s="51" t="s">
        <v>102</v>
      </c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51"/>
      <c r="T66" s="51" t="s">
        <v>102</v>
      </c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51"/>
      <c r="AI66" s="51" t="s">
        <v>102</v>
      </c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51"/>
      <c r="AX66" s="51" t="s">
        <v>102</v>
      </c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M66" s="51" t="s">
        <v>102</v>
      </c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CB66" s="51" t="s">
        <v>102</v>
      </c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Q66" s="51" t="s">
        <v>102</v>
      </c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F66" s="51" t="s">
        <v>102</v>
      </c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</row>
    <row r="67" spans="1:121" x14ac:dyDescent="0.2">
      <c r="D67" s="51"/>
      <c r="E67" s="51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</row>
    <row r="68" spans="1:121" x14ac:dyDescent="0.2">
      <c r="D68" s="52" t="s">
        <v>139</v>
      </c>
      <c r="E68" s="1" t="s">
        <v>140</v>
      </c>
      <c r="S68" s="52" t="s">
        <v>139</v>
      </c>
      <c r="T68" s="1" t="s">
        <v>140</v>
      </c>
    </row>
    <row r="69" spans="1:121" x14ac:dyDescent="0.2">
      <c r="E69" s="51" t="s">
        <v>160</v>
      </c>
      <c r="T69" s="51" t="s">
        <v>160</v>
      </c>
      <c r="AI69" s="51" t="s">
        <v>160</v>
      </c>
      <c r="AX69" s="51" t="s">
        <v>160</v>
      </c>
      <c r="BM69" s="51" t="s">
        <v>160</v>
      </c>
      <c r="CB69" s="51" t="s">
        <v>160</v>
      </c>
      <c r="CQ69" s="51" t="s">
        <v>160</v>
      </c>
      <c r="DF69" s="51" t="s">
        <v>160</v>
      </c>
    </row>
    <row r="72" spans="1:121" x14ac:dyDescent="0.2">
      <c r="A72" s="27"/>
      <c r="B72" s="27"/>
      <c r="C72" s="27"/>
    </row>
  </sheetData>
  <mergeCells count="48">
    <mergeCell ref="DF4:DS4"/>
    <mergeCell ref="DF5:DG5"/>
    <mergeCell ref="DI5:DJ5"/>
    <mergeCell ref="DL5:DM5"/>
    <mergeCell ref="DO5:DP5"/>
    <mergeCell ref="DR5:DS5"/>
    <mergeCell ref="BM4:BZ4"/>
    <mergeCell ref="BM5:BN5"/>
    <mergeCell ref="BP5:BQ5"/>
    <mergeCell ref="BS5:BT5"/>
    <mergeCell ref="BV5:BW5"/>
    <mergeCell ref="BY5:BZ5"/>
    <mergeCell ref="T4:AG4"/>
    <mergeCell ref="E5:F5"/>
    <mergeCell ref="H5:I5"/>
    <mergeCell ref="K5:L5"/>
    <mergeCell ref="N5:O5"/>
    <mergeCell ref="Q5:R5"/>
    <mergeCell ref="E4:R4"/>
    <mergeCell ref="T5:U5"/>
    <mergeCell ref="W5:X5"/>
    <mergeCell ref="Z5:AA5"/>
    <mergeCell ref="AC5:AD5"/>
    <mergeCell ref="AF5:AG5"/>
    <mergeCell ref="AX4:BK4"/>
    <mergeCell ref="AI5:AJ5"/>
    <mergeCell ref="AL5:AM5"/>
    <mergeCell ref="AO5:AP5"/>
    <mergeCell ref="AR5:AS5"/>
    <mergeCell ref="AU5:AV5"/>
    <mergeCell ref="AI4:AV4"/>
    <mergeCell ref="AX5:AY5"/>
    <mergeCell ref="BA5:BB5"/>
    <mergeCell ref="BD5:BE5"/>
    <mergeCell ref="BG5:BH5"/>
    <mergeCell ref="BJ5:BK5"/>
    <mergeCell ref="CB4:CO4"/>
    <mergeCell ref="CB5:CC5"/>
    <mergeCell ref="CE5:CF5"/>
    <mergeCell ref="CH5:CI5"/>
    <mergeCell ref="CK5:CL5"/>
    <mergeCell ref="CN5:CO5"/>
    <mergeCell ref="CQ4:DD4"/>
    <mergeCell ref="CQ5:CR5"/>
    <mergeCell ref="CT5:CU5"/>
    <mergeCell ref="CW5:CX5"/>
    <mergeCell ref="CZ5:DA5"/>
    <mergeCell ref="DC5:DD5"/>
  </mergeCells>
  <phoneticPr fontId="2" type="noConversion"/>
  <pageMargins left="0.65" right="0.45" top="0.61" bottom="0.36" header="0.25" footer="0.22"/>
  <pageSetup scale="73" fitToWidth="2" orientation="portrait" r:id="rId1"/>
  <headerFooter alignWithMargins="0">
    <oddFooter>&amp;L&amp;YFile: &amp;Z&amp;F</oddFooter>
  </headerFooter>
  <colBreaks count="4" manualBreakCount="4">
    <brk id="18" max="67" man="1"/>
    <brk id="33" max="67" man="1"/>
    <brk id="48" max="67" man="1"/>
    <brk id="63" max="7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M57"/>
  <sheetViews>
    <sheetView zoomScaleNormal="10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AM51" sqref="AM51"/>
    </sheetView>
  </sheetViews>
  <sheetFormatPr defaultRowHeight="12.75" x14ac:dyDescent="0.2"/>
  <cols>
    <col min="1" max="1" width="4.42578125" style="1" customWidth="1"/>
    <col min="2" max="2" width="3.7109375" style="1" customWidth="1"/>
    <col min="3" max="3" width="27.42578125" style="1" customWidth="1"/>
    <col min="4" max="4" width="10.140625" style="2" customWidth="1"/>
    <col min="5" max="5" width="4.7109375" style="2" customWidth="1"/>
    <col min="6" max="9" width="10.140625" style="2" customWidth="1"/>
    <col min="10" max="10" width="4.7109375" style="2" customWidth="1"/>
    <col min="11" max="13" width="10.140625" style="2" customWidth="1"/>
    <col min="14" max="14" width="10.140625" customWidth="1"/>
    <col min="15" max="15" width="4.7109375" customWidth="1"/>
    <col min="16" max="17" width="10.140625" bestFit="1" customWidth="1"/>
    <col min="18" max="19" width="10.140625" customWidth="1"/>
    <col min="20" max="20" width="4.7109375" customWidth="1"/>
    <col min="21" max="24" width="10.140625" customWidth="1"/>
    <col min="25" max="25" width="4.7109375" customWidth="1"/>
    <col min="26" max="29" width="10.140625" customWidth="1"/>
    <col min="30" max="30" width="4.7109375" customWidth="1"/>
    <col min="31" max="34" width="10.140625" customWidth="1"/>
    <col min="35" max="35" width="4.7109375" customWidth="1"/>
    <col min="36" max="39" width="10.140625" customWidth="1"/>
  </cols>
  <sheetData>
    <row r="1" spans="1:39" x14ac:dyDescent="0.2">
      <c r="A1" s="8" t="s">
        <v>146</v>
      </c>
      <c r="B1" s="8"/>
      <c r="C1" s="8"/>
    </row>
    <row r="2" spans="1:39" x14ac:dyDescent="0.2">
      <c r="A2" s="8" t="s">
        <v>97</v>
      </c>
      <c r="B2" s="8"/>
      <c r="C2" s="8"/>
    </row>
    <row r="3" spans="1:39" s="19" customFormat="1" x14ac:dyDescent="0.2">
      <c r="A3" s="1" t="s">
        <v>162</v>
      </c>
      <c r="B3" s="1"/>
      <c r="C3" s="53" t="str">
        <f>+'Income Statement Info'!C4</f>
        <v>April 4, 2018</v>
      </c>
      <c r="D3" s="36"/>
      <c r="E3" s="8"/>
      <c r="F3" s="57" t="s">
        <v>68</v>
      </c>
      <c r="G3" s="57"/>
      <c r="H3" s="57"/>
      <c r="I3" s="57"/>
      <c r="J3" s="8"/>
      <c r="K3" s="57" t="s">
        <v>36</v>
      </c>
      <c r="L3" s="57"/>
      <c r="M3" s="57"/>
      <c r="N3" s="57"/>
      <c r="P3" s="57" t="s">
        <v>45</v>
      </c>
      <c r="Q3" s="57"/>
      <c r="R3" s="57"/>
      <c r="S3" s="57"/>
      <c r="U3" s="57" t="s">
        <v>148</v>
      </c>
      <c r="V3" s="57"/>
      <c r="W3" s="57"/>
      <c r="X3" s="57"/>
      <c r="Z3" s="57" t="s">
        <v>167</v>
      </c>
      <c r="AA3" s="57"/>
      <c r="AB3" s="57"/>
      <c r="AC3" s="57"/>
      <c r="AE3" s="57" t="s">
        <v>194</v>
      </c>
      <c r="AF3" s="57"/>
      <c r="AG3" s="57"/>
      <c r="AH3" s="57"/>
      <c r="AJ3" s="57" t="s">
        <v>200</v>
      </c>
      <c r="AK3" s="57"/>
      <c r="AL3" s="57"/>
      <c r="AM3" s="57"/>
    </row>
    <row r="4" spans="1:39" s="19" customFormat="1" x14ac:dyDescent="0.2">
      <c r="A4" s="9"/>
      <c r="B4" s="9"/>
      <c r="C4" s="9"/>
      <c r="D4" s="56">
        <v>40602</v>
      </c>
      <c r="E4" s="22"/>
      <c r="F4" s="56">
        <v>40694</v>
      </c>
      <c r="G4" s="56">
        <v>40786</v>
      </c>
      <c r="H4" s="56">
        <v>40877</v>
      </c>
      <c r="I4" s="56">
        <v>40968</v>
      </c>
      <c r="J4" s="8"/>
      <c r="K4" s="56">
        <v>41060</v>
      </c>
      <c r="L4" s="56">
        <v>41152</v>
      </c>
      <c r="M4" s="56">
        <v>41243</v>
      </c>
      <c r="N4" s="56">
        <v>41333</v>
      </c>
      <c r="P4" s="56">
        <v>41425</v>
      </c>
      <c r="Q4" s="56">
        <v>41517</v>
      </c>
      <c r="R4" s="56">
        <v>41608</v>
      </c>
      <c r="S4" s="56">
        <v>41698</v>
      </c>
      <c r="U4" s="56">
        <v>41790</v>
      </c>
      <c r="V4" s="56">
        <v>41882</v>
      </c>
      <c r="W4" s="56">
        <v>41973</v>
      </c>
      <c r="X4" s="56">
        <v>42063</v>
      </c>
      <c r="Z4" s="56">
        <v>42155</v>
      </c>
      <c r="AA4" s="56">
        <v>42247</v>
      </c>
      <c r="AB4" s="56">
        <v>42338</v>
      </c>
      <c r="AC4" s="56">
        <v>42429</v>
      </c>
      <c r="AE4" s="56">
        <v>42521</v>
      </c>
      <c r="AF4" s="56">
        <v>42613</v>
      </c>
      <c r="AG4" s="56">
        <v>42704</v>
      </c>
      <c r="AH4" s="56">
        <v>42794</v>
      </c>
      <c r="AJ4" s="56">
        <v>42886</v>
      </c>
      <c r="AK4" s="56">
        <v>42978</v>
      </c>
      <c r="AL4" s="56">
        <v>43069</v>
      </c>
      <c r="AM4" s="56">
        <v>43159</v>
      </c>
    </row>
    <row r="5" spans="1:39" x14ac:dyDescent="0.2">
      <c r="A5" s="8" t="s">
        <v>7</v>
      </c>
      <c r="B5" s="8"/>
      <c r="C5" s="8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40"/>
      <c r="Q5" s="40"/>
      <c r="R5" s="2"/>
      <c r="S5" s="2"/>
    </row>
    <row r="6" spans="1:39" x14ac:dyDescent="0.2">
      <c r="B6" s="1" t="s">
        <v>103</v>
      </c>
      <c r="D6" s="46">
        <v>41121</v>
      </c>
      <c r="E6" s="46"/>
      <c r="F6" s="46">
        <v>156003</v>
      </c>
      <c r="G6" s="46">
        <v>181913</v>
      </c>
      <c r="H6" s="46">
        <v>383411</v>
      </c>
      <c r="I6" s="46">
        <v>442658</v>
      </c>
      <c r="J6" s="46"/>
      <c r="K6" s="46">
        <v>456413</v>
      </c>
      <c r="L6" s="46">
        <v>458567</v>
      </c>
      <c r="M6" s="46">
        <v>445110</v>
      </c>
      <c r="N6" s="46">
        <v>449364</v>
      </c>
      <c r="O6" s="47"/>
      <c r="P6" s="46">
        <v>725267</v>
      </c>
      <c r="Q6" s="46">
        <v>750032</v>
      </c>
      <c r="R6" s="46">
        <v>664758</v>
      </c>
      <c r="S6" s="46">
        <v>627901</v>
      </c>
      <c r="U6" s="46">
        <v>532191</v>
      </c>
      <c r="V6" s="46">
        <v>354600</v>
      </c>
      <c r="W6" s="46">
        <v>189880</v>
      </c>
      <c r="X6" s="46">
        <v>27606</v>
      </c>
      <c r="Z6" s="46">
        <v>351698</v>
      </c>
      <c r="AA6" s="46">
        <v>100477</v>
      </c>
      <c r="AB6" s="46">
        <v>33346</v>
      </c>
      <c r="AC6" s="46">
        <v>37394</v>
      </c>
      <c r="AE6" s="46">
        <v>52575</v>
      </c>
      <c r="AF6" s="46">
        <v>316031</v>
      </c>
      <c r="AG6" s="46">
        <v>23713</v>
      </c>
      <c r="AH6" s="46">
        <v>38416</v>
      </c>
      <c r="AJ6" s="46">
        <v>60080</v>
      </c>
      <c r="AK6" s="46">
        <v>25765</v>
      </c>
      <c r="AL6" s="46">
        <v>26287</v>
      </c>
      <c r="AM6" s="46">
        <v>44525</v>
      </c>
    </row>
    <row r="7" spans="1:39" x14ac:dyDescent="0.2">
      <c r="B7" s="1" t="s">
        <v>104</v>
      </c>
      <c r="D7" s="3">
        <v>161052</v>
      </c>
      <c r="F7" s="3">
        <v>170096</v>
      </c>
      <c r="G7" s="3">
        <v>154944</v>
      </c>
      <c r="H7" s="3">
        <v>174392</v>
      </c>
      <c r="I7" s="3">
        <v>204314</v>
      </c>
      <c r="K7" s="3">
        <v>182316</v>
      </c>
      <c r="L7" s="3">
        <v>204731</v>
      </c>
      <c r="M7" s="3">
        <v>204360</v>
      </c>
      <c r="N7" s="3">
        <v>224287</v>
      </c>
      <c r="P7" s="3">
        <v>240715</v>
      </c>
      <c r="Q7" s="3">
        <v>251340</v>
      </c>
      <c r="R7" s="3">
        <v>246795</v>
      </c>
      <c r="S7" s="3">
        <v>259299</v>
      </c>
      <c r="U7" s="3">
        <v>290653</v>
      </c>
      <c r="V7" s="3">
        <v>297068</v>
      </c>
      <c r="W7" s="3">
        <v>275718</v>
      </c>
      <c r="X7" s="3">
        <v>294122</v>
      </c>
      <c r="Z7" s="3">
        <v>328054</v>
      </c>
      <c r="AA7" s="3">
        <v>335075</v>
      </c>
      <c r="AB7" s="3">
        <v>316186</v>
      </c>
      <c r="AC7" s="3">
        <v>343829</v>
      </c>
      <c r="AE7" s="3">
        <v>364156</v>
      </c>
      <c r="AF7" s="3">
        <v>380663</v>
      </c>
      <c r="AG7" s="3">
        <v>357040</v>
      </c>
      <c r="AH7" s="3">
        <v>380353</v>
      </c>
      <c r="AJ7" s="3">
        <v>385692</v>
      </c>
      <c r="AK7" s="3">
        <v>404276</v>
      </c>
      <c r="AL7" s="3">
        <v>388945</v>
      </c>
      <c r="AM7" s="3">
        <v>399442</v>
      </c>
    </row>
    <row r="8" spans="1:39" x14ac:dyDescent="0.2">
      <c r="B8" s="1" t="s">
        <v>20</v>
      </c>
      <c r="D8" s="3">
        <v>119597</v>
      </c>
      <c r="F8" s="3">
        <v>85058</v>
      </c>
      <c r="G8" s="3">
        <v>64849</v>
      </c>
      <c r="H8" s="3">
        <v>54522</v>
      </c>
      <c r="I8" s="3">
        <v>86434</v>
      </c>
      <c r="K8" s="3">
        <v>65705</v>
      </c>
      <c r="L8" s="3">
        <v>70426</v>
      </c>
      <c r="M8" s="3">
        <v>62660</v>
      </c>
      <c r="N8" s="3">
        <v>91961</v>
      </c>
      <c r="P8" s="3">
        <v>70452</v>
      </c>
      <c r="Q8" s="3">
        <v>85549</v>
      </c>
      <c r="R8" s="3">
        <v>68027</v>
      </c>
      <c r="S8" s="3">
        <v>79923</v>
      </c>
      <c r="U8" s="3">
        <v>97810</v>
      </c>
      <c r="V8" s="3">
        <v>108859</v>
      </c>
      <c r="W8" s="3">
        <v>88180</v>
      </c>
      <c r="X8" s="3">
        <v>137690</v>
      </c>
      <c r="Z8" s="3">
        <v>103663</v>
      </c>
      <c r="AA8" s="3">
        <v>100832</v>
      </c>
      <c r="AB8" s="3">
        <v>88530</v>
      </c>
      <c r="AC8" s="3">
        <v>132171</v>
      </c>
      <c r="AE8" s="3">
        <v>102541</v>
      </c>
      <c r="AF8" s="3">
        <v>94577</v>
      </c>
      <c r="AG8" s="3">
        <v>92003</v>
      </c>
      <c r="AH8" s="3">
        <v>152388</v>
      </c>
      <c r="AJ8" s="3">
        <v>104745</v>
      </c>
      <c r="AK8" s="3">
        <v>99733</v>
      </c>
      <c r="AL8" s="3">
        <v>95841</v>
      </c>
      <c r="AM8" s="3">
        <v>133321</v>
      </c>
    </row>
    <row r="9" spans="1:39" x14ac:dyDescent="0.2">
      <c r="B9" s="1" t="s">
        <v>21</v>
      </c>
      <c r="D9" s="3">
        <v>1049477</v>
      </c>
      <c r="F9" s="3">
        <v>1116341</v>
      </c>
      <c r="G9" s="3">
        <v>1061309</v>
      </c>
      <c r="H9" s="3">
        <v>1013183</v>
      </c>
      <c r="I9" s="3">
        <v>1092592</v>
      </c>
      <c r="K9" s="3">
        <v>1210196</v>
      </c>
      <c r="L9" s="3">
        <v>1198013</v>
      </c>
      <c r="M9" s="3">
        <v>1339044</v>
      </c>
      <c r="N9" s="3">
        <v>1517813</v>
      </c>
      <c r="P9" s="3">
        <v>1398200</v>
      </c>
      <c r="Q9" s="3">
        <v>1364016</v>
      </c>
      <c r="R9" s="3">
        <v>1556277</v>
      </c>
      <c r="S9" s="3">
        <v>1641424</v>
      </c>
      <c r="U9" s="3">
        <v>1681800</v>
      </c>
      <c r="V9" s="3">
        <v>1708955</v>
      </c>
      <c r="W9" s="3">
        <v>1964673</v>
      </c>
      <c r="X9" s="3">
        <v>2086874</v>
      </c>
      <c r="Z9" s="3">
        <v>1844077</v>
      </c>
      <c r="AA9" s="3">
        <v>1911549</v>
      </c>
      <c r="AB9" s="3">
        <v>2153270</v>
      </c>
      <c r="AC9" s="3">
        <v>1932029</v>
      </c>
      <c r="AE9" s="3">
        <v>1864991</v>
      </c>
      <c r="AF9" s="3">
        <v>1918803</v>
      </c>
      <c r="AG9" s="3">
        <v>2170175</v>
      </c>
      <c r="AH9" s="3">
        <v>2260563</v>
      </c>
      <c r="AJ9" s="3">
        <v>2148247</v>
      </c>
      <c r="AK9" s="3">
        <v>2231769</v>
      </c>
      <c r="AL9" s="3">
        <v>2440551</v>
      </c>
      <c r="AM9" s="3">
        <v>2390694</v>
      </c>
    </row>
    <row r="10" spans="1:39" x14ac:dyDescent="0.2">
      <c r="B10" s="1" t="s">
        <v>105</v>
      </c>
      <c r="D10" s="3">
        <v>5191</v>
      </c>
      <c r="F10" s="3">
        <v>4268</v>
      </c>
      <c r="G10" s="3">
        <v>11042</v>
      </c>
      <c r="H10" s="3">
        <v>13085</v>
      </c>
      <c r="I10" s="3">
        <v>9938</v>
      </c>
      <c r="K10" s="3">
        <v>6119</v>
      </c>
      <c r="L10" s="3">
        <v>7705</v>
      </c>
      <c r="M10" s="3">
        <v>9315</v>
      </c>
      <c r="N10" s="3">
        <v>5193</v>
      </c>
      <c r="P10" s="3">
        <v>4737</v>
      </c>
      <c r="Q10" s="3">
        <v>4300</v>
      </c>
      <c r="R10" s="3">
        <v>2651</v>
      </c>
      <c r="S10" s="3">
        <v>7866</v>
      </c>
      <c r="U10" s="3">
        <v>8080</v>
      </c>
      <c r="V10" s="3">
        <v>8275</v>
      </c>
      <c r="W10" s="3">
        <v>6368</v>
      </c>
      <c r="X10" s="3"/>
      <c r="Z10" s="3"/>
      <c r="AA10" s="3"/>
      <c r="AB10" s="3"/>
      <c r="AC10" s="3"/>
      <c r="AE10" s="3"/>
      <c r="AF10" s="3"/>
      <c r="AG10" s="3"/>
      <c r="AH10" s="3"/>
      <c r="AJ10" s="3"/>
      <c r="AK10" s="3"/>
      <c r="AL10" s="3"/>
      <c r="AM10" s="3"/>
    </row>
    <row r="11" spans="1:39" x14ac:dyDescent="0.2">
      <c r="B11" s="1" t="s">
        <v>22</v>
      </c>
      <c r="D11" s="7">
        <v>33660</v>
      </c>
      <c r="F11" s="7">
        <v>9187</v>
      </c>
      <c r="G11" s="7">
        <v>21762</v>
      </c>
      <c r="H11" s="7">
        <v>9806</v>
      </c>
      <c r="I11" s="7">
        <v>17512</v>
      </c>
      <c r="K11" s="7">
        <v>10258</v>
      </c>
      <c r="L11" s="7">
        <v>22106</v>
      </c>
      <c r="M11" s="7">
        <v>24875</v>
      </c>
      <c r="N11" s="7">
        <v>21513</v>
      </c>
      <c r="P11" s="7">
        <v>15402</v>
      </c>
      <c r="Q11" s="7">
        <v>26173</v>
      </c>
      <c r="R11" s="7">
        <v>20286</v>
      </c>
      <c r="S11" s="7">
        <v>26811</v>
      </c>
      <c r="U11" s="7">
        <v>26202</v>
      </c>
      <c r="V11" s="7">
        <v>38685</v>
      </c>
      <c r="W11" s="7">
        <v>48433</v>
      </c>
      <c r="X11" s="7">
        <v>44646</v>
      </c>
      <c r="Z11" s="7">
        <v>29088</v>
      </c>
      <c r="AA11" s="7">
        <v>45459</v>
      </c>
      <c r="AB11" s="7">
        <v>32673</v>
      </c>
      <c r="AC11" s="7">
        <v>26358</v>
      </c>
      <c r="AE11" s="7">
        <v>32317</v>
      </c>
      <c r="AF11" s="7">
        <v>45273</v>
      </c>
      <c r="AG11" s="7">
        <v>41347</v>
      </c>
      <c r="AH11" s="7">
        <v>41910</v>
      </c>
      <c r="AJ11" s="7">
        <v>35780</v>
      </c>
      <c r="AK11" s="7">
        <v>41792</v>
      </c>
      <c r="AL11" s="7">
        <v>53299</v>
      </c>
      <c r="AM11" s="7">
        <v>93462</v>
      </c>
    </row>
    <row r="12" spans="1:39" x14ac:dyDescent="0.2">
      <c r="B12" s="1" t="s">
        <v>8</v>
      </c>
      <c r="D12" s="3">
        <f>SUM(D6:D11)</f>
        <v>1410098</v>
      </c>
      <c r="F12" s="3">
        <f>SUM(F6:F11)</f>
        <v>1540953</v>
      </c>
      <c r="G12" s="3">
        <f>SUM(G6:G11)</f>
        <v>1495819</v>
      </c>
      <c r="H12" s="3">
        <f>SUM(H6:H11)</f>
        <v>1648399</v>
      </c>
      <c r="I12" s="3">
        <f>SUM(I6:I11)</f>
        <v>1853448</v>
      </c>
      <c r="K12" s="3">
        <f>SUM(K6:K11)</f>
        <v>1931007</v>
      </c>
      <c r="L12" s="3">
        <f>SUM(L6:L11)</f>
        <v>1961548</v>
      </c>
      <c r="M12" s="3">
        <f>SUM(M6:M11)</f>
        <v>2085364</v>
      </c>
      <c r="N12" s="3">
        <f>SUM(N6:N11)</f>
        <v>2310131</v>
      </c>
      <c r="P12" s="3">
        <f>SUM(P6:P11)</f>
        <v>2454773</v>
      </c>
      <c r="Q12" s="3">
        <f>SUM(Q6:Q11)</f>
        <v>2481410</v>
      </c>
      <c r="R12" s="3">
        <f>SUM(R6:R11)</f>
        <v>2558794</v>
      </c>
      <c r="S12" s="3">
        <f>SUM(S6:S11)</f>
        <v>2643224</v>
      </c>
      <c r="U12" s="3">
        <f>SUM(U6:U11)</f>
        <v>2636736</v>
      </c>
      <c r="V12" s="3">
        <f>SUM(V6:V11)</f>
        <v>2516442</v>
      </c>
      <c r="W12" s="3">
        <f>SUM(W6:W11)</f>
        <v>2573252</v>
      </c>
      <c r="X12" s="3">
        <f>SUM(X6:X11)</f>
        <v>2590938</v>
      </c>
      <c r="Z12" s="3">
        <f>SUM(Z6:Z11)</f>
        <v>2656580</v>
      </c>
      <c r="AA12" s="3">
        <f>SUM(AA6:AA11)</f>
        <v>2493392</v>
      </c>
      <c r="AB12" s="3">
        <f>SUM(AB6:AB11)</f>
        <v>2624005</v>
      </c>
      <c r="AC12" s="3">
        <f>SUM(AC6:AC11)</f>
        <v>2471781</v>
      </c>
      <c r="AE12" s="3">
        <f>SUM(AE6:AE11)</f>
        <v>2416580</v>
      </c>
      <c r="AF12" s="3">
        <f>SUM(AF6:AF11)</f>
        <v>2755347</v>
      </c>
      <c r="AG12" s="3">
        <f>SUM(AG6:AG11)</f>
        <v>2684278</v>
      </c>
      <c r="AH12" s="3">
        <f>SUM(AH6:AH11)</f>
        <v>2873630</v>
      </c>
      <c r="AJ12" s="3">
        <f>SUM(AJ6:AJ11)</f>
        <v>2734544</v>
      </c>
      <c r="AK12" s="3">
        <f>SUM(AK6:AK11)</f>
        <v>2803335</v>
      </c>
      <c r="AL12" s="3">
        <f t="shared" ref="AL12:AM12" si="0">SUM(AL6:AL11)</f>
        <v>3004923</v>
      </c>
      <c r="AM12" s="3">
        <f t="shared" si="0"/>
        <v>3061444</v>
      </c>
    </row>
    <row r="13" spans="1:39" x14ac:dyDescent="0.2">
      <c r="D13" s="3"/>
      <c r="F13" s="3"/>
      <c r="G13" s="3"/>
      <c r="H13" s="3"/>
      <c r="I13" s="3"/>
      <c r="K13" s="3"/>
      <c r="L13" s="3"/>
      <c r="M13" s="3"/>
      <c r="N13" s="3"/>
      <c r="P13" s="3"/>
      <c r="Q13" s="3"/>
      <c r="R13" s="3"/>
      <c r="S13" s="3"/>
      <c r="U13" s="3"/>
      <c r="V13" s="3"/>
      <c r="W13" s="3"/>
      <c r="X13" s="3"/>
      <c r="Z13" s="3"/>
      <c r="AA13" s="3"/>
      <c r="AB13" s="3"/>
      <c r="AC13" s="3"/>
      <c r="AE13" s="3"/>
      <c r="AF13" s="3"/>
      <c r="AG13" s="3"/>
      <c r="AH13" s="3"/>
      <c r="AJ13" s="3"/>
      <c r="AK13" s="3"/>
      <c r="AL13" s="3"/>
      <c r="AM13" s="3"/>
    </row>
    <row r="14" spans="1:39" x14ac:dyDescent="0.2">
      <c r="A14" s="8" t="s">
        <v>10</v>
      </c>
      <c r="B14" s="8"/>
      <c r="C14" s="8"/>
      <c r="D14" s="3"/>
      <c r="F14" s="3"/>
      <c r="G14" s="3"/>
      <c r="H14" s="3"/>
      <c r="I14" s="3"/>
      <c r="K14" s="3"/>
      <c r="L14" s="3"/>
      <c r="M14" s="3"/>
      <c r="N14" s="3"/>
      <c r="P14" s="3"/>
      <c r="Q14" s="3"/>
      <c r="R14" s="3"/>
      <c r="S14" s="3"/>
      <c r="U14" s="3"/>
      <c r="V14" s="3"/>
      <c r="W14" s="3"/>
      <c r="X14" s="3"/>
      <c r="Z14" s="3"/>
      <c r="AA14" s="3"/>
      <c r="AB14" s="3"/>
      <c r="AC14" s="3"/>
      <c r="AE14" s="3"/>
      <c r="AF14" s="3"/>
      <c r="AG14" s="3"/>
      <c r="AH14" s="3"/>
      <c r="AJ14" s="3"/>
      <c r="AK14" s="3"/>
      <c r="AL14" s="3"/>
      <c r="AM14" s="3"/>
    </row>
    <row r="15" spans="1:39" x14ac:dyDescent="0.2">
      <c r="B15" s="1" t="s">
        <v>23</v>
      </c>
      <c r="D15" s="3">
        <v>4320575</v>
      </c>
      <c r="F15" s="3">
        <v>4483612</v>
      </c>
      <c r="G15" s="3">
        <v>4699074</v>
      </c>
      <c r="H15" s="3">
        <v>4807804</v>
      </c>
      <c r="I15" s="3">
        <v>4959847</v>
      </c>
      <c r="K15" s="3">
        <v>5132163</v>
      </c>
      <c r="L15" s="3">
        <v>5315232</v>
      </c>
      <c r="M15" s="3">
        <v>5552035</v>
      </c>
      <c r="N15" s="3">
        <v>5895918</v>
      </c>
      <c r="P15" s="3">
        <v>6310446</v>
      </c>
      <c r="Q15" s="3">
        <v>6665985</v>
      </c>
      <c r="R15" s="3">
        <v>6892311</v>
      </c>
      <c r="S15" s="3">
        <v>7147848</v>
      </c>
      <c r="U15" s="3">
        <v>7547665</v>
      </c>
      <c r="V15" s="3">
        <v>7844268</v>
      </c>
      <c r="W15" s="3">
        <v>8138307</v>
      </c>
      <c r="X15" s="3">
        <v>8435504</v>
      </c>
      <c r="Z15" s="3">
        <v>8812883</v>
      </c>
      <c r="AA15" s="3">
        <v>9116512</v>
      </c>
      <c r="AB15" s="3">
        <v>9318313</v>
      </c>
      <c r="AC15" s="3">
        <v>9536892</v>
      </c>
      <c r="AE15" s="3">
        <v>9853368</v>
      </c>
      <c r="AF15" s="3">
        <v>10131378</v>
      </c>
      <c r="AG15" s="3">
        <v>10333318</v>
      </c>
      <c r="AH15" s="3">
        <v>10596076</v>
      </c>
      <c r="AJ15" s="3">
        <v>10892844</v>
      </c>
      <c r="AK15" s="3">
        <v>11172330</v>
      </c>
      <c r="AL15" s="3">
        <v>11376825</v>
      </c>
      <c r="AM15" s="3">
        <v>11535704</v>
      </c>
    </row>
    <row r="16" spans="1:39" x14ac:dyDescent="0.2">
      <c r="B16" s="1" t="s">
        <v>106</v>
      </c>
      <c r="D16" s="3">
        <v>1175317</v>
      </c>
      <c r="F16" s="3">
        <v>1200670</v>
      </c>
      <c r="G16" s="3">
        <v>1223723</v>
      </c>
      <c r="H16" s="3">
        <v>1230897</v>
      </c>
      <c r="I16" s="3">
        <v>1278722</v>
      </c>
      <c r="K16" s="3">
        <v>1305462</v>
      </c>
      <c r="L16" s="3">
        <v>1347313</v>
      </c>
      <c r="M16" s="3">
        <v>1411588</v>
      </c>
      <c r="N16" s="3">
        <v>1428970</v>
      </c>
      <c r="P16" s="3">
        <v>1444128</v>
      </c>
      <c r="Q16" s="3">
        <v>1535431</v>
      </c>
      <c r="R16" s="3">
        <v>1588633</v>
      </c>
      <c r="S16" s="3">
        <v>1652977</v>
      </c>
      <c r="U16" s="3">
        <v>1696940</v>
      </c>
      <c r="V16" s="3">
        <v>1753992</v>
      </c>
      <c r="W16" s="3">
        <v>1833600</v>
      </c>
      <c r="X16" s="3">
        <v>1862538</v>
      </c>
      <c r="Z16" s="3">
        <v>1896348</v>
      </c>
      <c r="AA16" s="3">
        <v>2016520</v>
      </c>
      <c r="AB16" s="3">
        <v>2105807</v>
      </c>
      <c r="AC16" s="3">
        <v>2161698</v>
      </c>
      <c r="AE16" s="3">
        <v>2234385</v>
      </c>
      <c r="AF16" s="3">
        <v>2326178</v>
      </c>
      <c r="AG16" s="3">
        <v>2449343</v>
      </c>
      <c r="AH16" s="3">
        <v>2518393</v>
      </c>
      <c r="AJ16" s="3">
        <v>2557506</v>
      </c>
      <c r="AK16" s="3">
        <v>2602323</v>
      </c>
      <c r="AL16" s="3">
        <v>2634442</v>
      </c>
      <c r="AM16" s="3">
        <v>2667061</v>
      </c>
    </row>
    <row r="17" spans="1:39" x14ac:dyDescent="0.2">
      <c r="B17" s="1" t="s">
        <v>105</v>
      </c>
      <c r="D17" s="3">
        <v>123685</v>
      </c>
      <c r="F17" s="3">
        <v>118412</v>
      </c>
      <c r="G17" s="3">
        <v>120658</v>
      </c>
      <c r="H17" s="3">
        <v>120268</v>
      </c>
      <c r="I17" s="3">
        <v>133134</v>
      </c>
      <c r="K17" s="3">
        <v>130583</v>
      </c>
      <c r="L17" s="3">
        <v>143754</v>
      </c>
      <c r="M17" s="3">
        <v>147571</v>
      </c>
      <c r="N17" s="3">
        <v>145875</v>
      </c>
      <c r="P17" s="3">
        <v>138158</v>
      </c>
      <c r="Q17" s="3">
        <v>146167</v>
      </c>
      <c r="R17" s="3">
        <v>151281</v>
      </c>
      <c r="S17" s="3">
        <v>152199</v>
      </c>
      <c r="U17" s="3">
        <v>150905</v>
      </c>
      <c r="V17" s="3">
        <v>157175</v>
      </c>
      <c r="W17" s="3">
        <v>166811</v>
      </c>
      <c r="X17" s="3">
        <v>175738</v>
      </c>
      <c r="Z17" s="3">
        <v>165971</v>
      </c>
      <c r="AA17" s="3">
        <v>177002</v>
      </c>
      <c r="AB17" s="3">
        <v>184937</v>
      </c>
      <c r="AC17" s="3">
        <v>161862</v>
      </c>
      <c r="AE17" s="3">
        <v>152328</v>
      </c>
      <c r="AF17" s="3">
        <v>152840</v>
      </c>
      <c r="AG17" s="3">
        <v>155995</v>
      </c>
      <c r="AH17" s="3">
        <v>150962</v>
      </c>
      <c r="AJ17" s="3">
        <v>145265</v>
      </c>
      <c r="AK17" s="3">
        <v>150684</v>
      </c>
      <c r="AL17" s="3">
        <v>133173</v>
      </c>
      <c r="AM17" s="3">
        <v>63256</v>
      </c>
    </row>
    <row r="18" spans="1:39" x14ac:dyDescent="0.2">
      <c r="B18" s="1" t="s">
        <v>24</v>
      </c>
      <c r="D18" s="3">
        <v>95874</v>
      </c>
      <c r="F18" s="3">
        <v>98297</v>
      </c>
      <c r="G18" s="3">
        <v>97863</v>
      </c>
      <c r="H18" s="3">
        <v>100413</v>
      </c>
      <c r="I18" s="3">
        <v>106392</v>
      </c>
      <c r="K18" s="3">
        <v>98948</v>
      </c>
      <c r="L18" s="3">
        <v>103593</v>
      </c>
      <c r="M18" s="3">
        <v>101125</v>
      </c>
      <c r="N18" s="3">
        <v>107708</v>
      </c>
      <c r="P18" s="3">
        <v>102949</v>
      </c>
      <c r="Q18" s="3">
        <v>104781</v>
      </c>
      <c r="R18" s="3">
        <v>112856</v>
      </c>
      <c r="S18" s="3">
        <v>110909</v>
      </c>
      <c r="U18" s="3">
        <v>116714</v>
      </c>
      <c r="V18" s="3">
        <v>128036</v>
      </c>
      <c r="W18" s="3">
        <v>131436</v>
      </c>
      <c r="X18" s="3">
        <v>133483</v>
      </c>
      <c r="Z18" s="3">
        <v>117667</v>
      </c>
      <c r="AA18" s="3">
        <v>127497</v>
      </c>
      <c r="AB18" s="3">
        <v>126966</v>
      </c>
      <c r="AC18" s="3">
        <v>127678</v>
      </c>
      <c r="AE18" s="3">
        <v>133266</v>
      </c>
      <c r="AF18" s="3">
        <v>138589</v>
      </c>
      <c r="AG18" s="3">
        <v>137133</v>
      </c>
      <c r="AH18" s="3">
        <v>140295</v>
      </c>
      <c r="AJ18" s="3">
        <v>145530</v>
      </c>
      <c r="AK18" s="3">
        <v>147061</v>
      </c>
      <c r="AL18" s="3">
        <v>154051</v>
      </c>
      <c r="AM18" s="3">
        <v>158807</v>
      </c>
    </row>
    <row r="19" spans="1:39" x14ac:dyDescent="0.2">
      <c r="D19" s="3"/>
      <c r="F19" s="3"/>
      <c r="G19" s="3"/>
      <c r="H19" s="3"/>
      <c r="I19" s="3"/>
      <c r="K19" s="3"/>
      <c r="L19" s="3"/>
      <c r="M19" s="3"/>
      <c r="N19" s="3"/>
      <c r="P19" s="3"/>
      <c r="Q19" s="3"/>
      <c r="R19" s="3"/>
      <c r="S19" s="3"/>
      <c r="U19" s="3"/>
      <c r="V19" s="3"/>
      <c r="W19" s="3"/>
      <c r="X19" s="3"/>
      <c r="Z19" s="3"/>
      <c r="AA19" s="3"/>
      <c r="AB19" s="3"/>
      <c r="AC19" s="3"/>
      <c r="AE19" s="3"/>
      <c r="AF19" s="3"/>
      <c r="AG19" s="3"/>
      <c r="AH19" s="3"/>
      <c r="AJ19" s="3"/>
      <c r="AK19" s="3"/>
      <c r="AL19" s="3"/>
      <c r="AM19" s="3"/>
    </row>
    <row r="20" spans="1:39" ht="13.5" thickBot="1" x14ac:dyDescent="0.25">
      <c r="A20" s="8" t="s">
        <v>12</v>
      </c>
      <c r="B20" s="8"/>
      <c r="C20" s="8"/>
      <c r="D20" s="48">
        <f>+D12+(SUM(D15:D18))</f>
        <v>7125549</v>
      </c>
      <c r="E20" s="46"/>
      <c r="F20" s="48">
        <f>+F12+(SUM(F15:F18))</f>
        <v>7441944</v>
      </c>
      <c r="G20" s="48">
        <f>+G12+(SUM(G15:G18))</f>
        <v>7637137</v>
      </c>
      <c r="H20" s="48">
        <f>+H12+(SUM(H15:H18))</f>
        <v>7907781</v>
      </c>
      <c r="I20" s="48">
        <f>+I12+(SUM(I15:I18))</f>
        <v>8331543</v>
      </c>
      <c r="J20" s="46"/>
      <c r="K20" s="48">
        <f>+K12+(SUM(K15:K18))</f>
        <v>8598163</v>
      </c>
      <c r="L20" s="48">
        <f>+L12+(SUM(L15:L18))</f>
        <v>8871440</v>
      </c>
      <c r="M20" s="48">
        <f>+M12+(SUM(M15:M18))</f>
        <v>9297683</v>
      </c>
      <c r="N20" s="48">
        <f>+N12+(SUM(N15:N18))</f>
        <v>9888602</v>
      </c>
      <c r="O20" s="47"/>
      <c r="P20" s="48">
        <f>+P12+(SUM(P15:P18))</f>
        <v>10450454</v>
      </c>
      <c r="Q20" s="48">
        <f>+Q12+(SUM(Q15:Q18))</f>
        <v>10933774</v>
      </c>
      <c r="R20" s="48">
        <f>+R12+(SUM(R15:R18))</f>
        <v>11303875</v>
      </c>
      <c r="S20" s="48">
        <f>+S12+(SUM(S15:S18))</f>
        <v>11707157</v>
      </c>
      <c r="U20" s="48">
        <f>+U12+(SUM(U15:U18))</f>
        <v>12148960</v>
      </c>
      <c r="V20" s="48">
        <f>+V12+(SUM(V15:V18))</f>
        <v>12399913</v>
      </c>
      <c r="W20" s="48">
        <f>+W12+(SUM(W15:W18))</f>
        <v>12843406</v>
      </c>
      <c r="X20" s="48">
        <f>+X12+(SUM(X15:X18))</f>
        <v>13198201</v>
      </c>
      <c r="Z20" s="48">
        <f>+Z12+(SUM(Z15:Z18))</f>
        <v>13649449</v>
      </c>
      <c r="AA20" s="48">
        <f>+AA12+(SUM(AA15:AA18))</f>
        <v>13930923</v>
      </c>
      <c r="AB20" s="48">
        <f>+AB12+(SUM(AB15:AB18))</f>
        <v>14360028</v>
      </c>
      <c r="AC20" s="48">
        <f>+AC12+(SUM(AC15:AC18))</f>
        <v>14459911</v>
      </c>
      <c r="AE20" s="48">
        <f>+AE12+(SUM(AE15:AE18))</f>
        <v>14789927</v>
      </c>
      <c r="AF20" s="48">
        <f>+AF12+(SUM(AF15:AF18))</f>
        <v>15504332</v>
      </c>
      <c r="AG20" s="48">
        <f>+AG12+(SUM(AG15:AG18))</f>
        <v>15760067</v>
      </c>
      <c r="AH20" s="48">
        <f>+AH12+(SUM(AH15:AH18))</f>
        <v>16279356</v>
      </c>
      <c r="AJ20" s="48">
        <f>+AJ12+(SUM(AJ15:AJ18))</f>
        <v>16475689</v>
      </c>
      <c r="AK20" s="48">
        <f>+AK12+(SUM(AK15:AK18))</f>
        <v>16875733</v>
      </c>
      <c r="AL20" s="48">
        <f t="shared" ref="AL20:AM20" si="1">+AL12+(SUM(AL15:AL18))</f>
        <v>17303414</v>
      </c>
      <c r="AM20" s="48">
        <f t="shared" si="1"/>
        <v>17486272</v>
      </c>
    </row>
    <row r="21" spans="1:39" ht="13.5" thickTop="1" x14ac:dyDescent="0.2">
      <c r="D21" s="3"/>
      <c r="F21" s="3"/>
      <c r="G21" s="3"/>
      <c r="H21" s="3"/>
      <c r="I21" s="3"/>
      <c r="K21" s="3"/>
      <c r="L21" s="3"/>
      <c r="M21" s="3"/>
      <c r="N21" s="3"/>
      <c r="P21" s="3"/>
      <c r="Q21" s="3"/>
      <c r="R21" s="3"/>
      <c r="S21" s="3"/>
      <c r="U21" s="3"/>
      <c r="V21" s="3"/>
      <c r="W21" s="3"/>
      <c r="X21" s="3"/>
      <c r="Z21" s="3"/>
      <c r="AA21" s="3"/>
      <c r="AB21" s="3"/>
      <c r="AC21" s="3"/>
      <c r="AE21" s="3"/>
      <c r="AF21" s="3"/>
      <c r="AG21" s="3"/>
      <c r="AH21" s="3"/>
      <c r="AJ21" s="3"/>
      <c r="AK21" s="3"/>
      <c r="AL21" s="3"/>
      <c r="AM21" s="3"/>
    </row>
    <row r="22" spans="1:39" x14ac:dyDescent="0.2">
      <c r="A22" s="8" t="s">
        <v>9</v>
      </c>
      <c r="B22" s="8"/>
      <c r="C22" s="8"/>
      <c r="D22" s="3"/>
      <c r="F22" s="3"/>
      <c r="G22" s="3"/>
      <c r="H22" s="3"/>
      <c r="I22" s="3"/>
      <c r="K22" s="3"/>
      <c r="L22" s="3"/>
      <c r="M22" s="3"/>
      <c r="N22" s="3"/>
      <c r="P22" s="3"/>
      <c r="Q22" s="3"/>
      <c r="R22" s="3"/>
      <c r="S22" s="3"/>
      <c r="U22" s="3"/>
      <c r="V22" s="3"/>
      <c r="W22" s="3"/>
      <c r="X22" s="3"/>
      <c r="Z22" s="3"/>
      <c r="AA22" s="3"/>
      <c r="AB22" s="3"/>
      <c r="AC22" s="3"/>
      <c r="AE22" s="3"/>
      <c r="AF22" s="3"/>
      <c r="AG22" s="3"/>
      <c r="AH22" s="3"/>
      <c r="AJ22" s="3"/>
      <c r="AK22" s="3"/>
      <c r="AL22" s="3"/>
      <c r="AM22" s="3"/>
    </row>
    <row r="23" spans="1:39" x14ac:dyDescent="0.2">
      <c r="B23" s="1" t="s">
        <v>107</v>
      </c>
      <c r="D23" s="46">
        <v>269763</v>
      </c>
      <c r="E23" s="46"/>
      <c r="F23" s="46">
        <v>288073</v>
      </c>
      <c r="G23" s="46">
        <v>243473</v>
      </c>
      <c r="H23" s="46">
        <v>246393</v>
      </c>
      <c r="I23" s="46">
        <v>324827</v>
      </c>
      <c r="J23" s="46"/>
      <c r="K23" s="46">
        <v>293924</v>
      </c>
      <c r="L23" s="46">
        <v>221430</v>
      </c>
      <c r="M23" s="46">
        <v>272807</v>
      </c>
      <c r="N23" s="46">
        <v>336721</v>
      </c>
      <c r="O23" s="47"/>
      <c r="P23" s="46">
        <v>316640</v>
      </c>
      <c r="Q23" s="46">
        <v>346152</v>
      </c>
      <c r="R23" s="46">
        <v>367478</v>
      </c>
      <c r="S23" s="46">
        <v>427492</v>
      </c>
      <c r="U23" s="46">
        <v>433115</v>
      </c>
      <c r="V23" s="46">
        <v>418269</v>
      </c>
      <c r="W23" s="46">
        <v>459929</v>
      </c>
      <c r="X23" s="46">
        <v>454810</v>
      </c>
      <c r="Z23" s="46">
        <v>446453</v>
      </c>
      <c r="AA23" s="46">
        <v>453864</v>
      </c>
      <c r="AB23" s="46">
        <v>420856</v>
      </c>
      <c r="AC23" s="46">
        <v>441746</v>
      </c>
      <c r="AE23" s="46">
        <v>454522</v>
      </c>
      <c r="AF23" s="46">
        <v>486943</v>
      </c>
      <c r="AG23" s="46">
        <v>476757</v>
      </c>
      <c r="AH23" s="46">
        <v>494989</v>
      </c>
      <c r="AJ23" s="46">
        <v>510574</v>
      </c>
      <c r="AK23" s="46">
        <v>568036</v>
      </c>
      <c r="AL23" s="46">
        <v>519984</v>
      </c>
      <c r="AM23" s="46">
        <v>529733</v>
      </c>
    </row>
    <row r="24" spans="1:39" x14ac:dyDescent="0.2">
      <c r="B24" s="1" t="s">
        <v>108</v>
      </c>
      <c r="D24" s="3">
        <v>105998</v>
      </c>
      <c r="F24" s="3">
        <v>110205</v>
      </c>
      <c r="G24" s="3">
        <v>110262</v>
      </c>
      <c r="H24" s="3">
        <v>125683</v>
      </c>
      <c r="I24" s="3">
        <v>128973</v>
      </c>
      <c r="K24" s="3">
        <v>108733</v>
      </c>
      <c r="L24" s="3">
        <v>116167</v>
      </c>
      <c r="M24" s="3">
        <v>116629</v>
      </c>
      <c r="N24" s="3">
        <v>147821</v>
      </c>
      <c r="P24" s="3">
        <v>109714</v>
      </c>
      <c r="Q24" s="3">
        <v>144949</v>
      </c>
      <c r="R24" s="3">
        <v>138910</v>
      </c>
      <c r="S24" s="3">
        <v>202588</v>
      </c>
      <c r="U24" s="3">
        <v>159298</v>
      </c>
      <c r="V24" s="3">
        <v>205480</v>
      </c>
      <c r="W24" s="3">
        <v>202533</v>
      </c>
      <c r="X24" s="3">
        <v>250307</v>
      </c>
      <c r="Z24" s="3">
        <v>184277</v>
      </c>
      <c r="AA24" s="3">
        <v>226371</v>
      </c>
      <c r="AB24" s="3">
        <v>211833</v>
      </c>
      <c r="AC24" s="3">
        <v>245909</v>
      </c>
      <c r="AE24" s="3">
        <v>205426</v>
      </c>
      <c r="AF24" s="3">
        <v>246053</v>
      </c>
      <c r="AG24" s="3">
        <v>224585</v>
      </c>
      <c r="AH24" s="3">
        <v>266128</v>
      </c>
      <c r="AJ24" s="3">
        <v>203211</v>
      </c>
      <c r="AK24" s="3">
        <v>251933</v>
      </c>
      <c r="AL24" s="3">
        <v>233397</v>
      </c>
      <c r="AM24" s="3">
        <v>278771</v>
      </c>
    </row>
    <row r="25" spans="1:39" x14ac:dyDescent="0.2">
      <c r="B25" s="1" t="s">
        <v>109</v>
      </c>
      <c r="D25" s="3">
        <v>772</v>
      </c>
      <c r="F25" s="3">
        <v>38236</v>
      </c>
      <c r="G25" s="3">
        <v>7451</v>
      </c>
      <c r="H25" s="3">
        <v>13069</v>
      </c>
      <c r="I25" s="3">
        <v>3125</v>
      </c>
      <c r="K25" s="3">
        <v>48070</v>
      </c>
      <c r="L25" s="3">
        <v>557</v>
      </c>
      <c r="M25" s="3">
        <v>266</v>
      </c>
      <c r="N25" s="3">
        <v>222</v>
      </c>
      <c r="P25" s="3">
        <v>58965</v>
      </c>
      <c r="Q25" s="3">
        <v>1808</v>
      </c>
      <c r="R25" s="3">
        <v>8554</v>
      </c>
      <c r="S25" s="3">
        <v>2438</v>
      </c>
      <c r="U25" s="3">
        <v>94816</v>
      </c>
      <c r="V25" s="3">
        <v>244</v>
      </c>
      <c r="W25" s="3">
        <v>424</v>
      </c>
      <c r="X25" s="3">
        <v>1554</v>
      </c>
      <c r="Z25" s="3">
        <v>59089</v>
      </c>
      <c r="AA25" s="3">
        <v>1169</v>
      </c>
      <c r="AB25" s="3">
        <v>328</v>
      </c>
      <c r="AC25" s="3">
        <v>2029</v>
      </c>
      <c r="AE25" s="3">
        <v>89991</v>
      </c>
      <c r="AF25" s="3">
        <v>205</v>
      </c>
      <c r="AG25" s="3">
        <v>2071</v>
      </c>
      <c r="AH25" s="3">
        <v>1404</v>
      </c>
      <c r="AJ25" s="3">
        <v>103588</v>
      </c>
      <c r="AK25" s="3">
        <v>14898</v>
      </c>
      <c r="AL25" s="3"/>
      <c r="AM25" s="3"/>
    </row>
    <row r="26" spans="1:39" x14ac:dyDescent="0.2">
      <c r="B26" s="1" t="s">
        <v>110</v>
      </c>
      <c r="D26" s="3">
        <v>1002</v>
      </c>
      <c r="F26" s="3">
        <v>1172</v>
      </c>
      <c r="G26" s="3">
        <v>1333</v>
      </c>
      <c r="H26" s="3">
        <v>759</v>
      </c>
      <c r="I26" s="3">
        <v>943</v>
      </c>
      <c r="K26" s="3">
        <v>791</v>
      </c>
      <c r="L26" s="3">
        <v>1068</v>
      </c>
      <c r="M26" s="3">
        <v>706</v>
      </c>
      <c r="N26" s="3">
        <v>355</v>
      </c>
      <c r="P26" s="3">
        <v>972</v>
      </c>
      <c r="Q26" s="3">
        <v>1739</v>
      </c>
      <c r="R26" s="3">
        <v>1287</v>
      </c>
      <c r="S26" s="3">
        <v>582</v>
      </c>
      <c r="U26" s="3">
        <v>1242</v>
      </c>
      <c r="V26" s="3">
        <v>2229</v>
      </c>
      <c r="W26" s="3">
        <v>2574</v>
      </c>
      <c r="X26" s="3">
        <v>785</v>
      </c>
      <c r="Z26" s="3">
        <v>781</v>
      </c>
      <c r="AA26" s="3">
        <v>2122</v>
      </c>
      <c r="AB26" s="3">
        <v>36</v>
      </c>
      <c r="AC26" s="3">
        <v>428</v>
      </c>
      <c r="AE26" s="3">
        <v>1255</v>
      </c>
      <c r="AF26" s="3">
        <v>361</v>
      </c>
      <c r="AG26" s="3">
        <v>880</v>
      </c>
      <c r="AH26" s="3">
        <v>62</v>
      </c>
      <c r="AJ26" s="3">
        <v>693</v>
      </c>
      <c r="AK26" s="3">
        <v>271</v>
      </c>
      <c r="AL26" s="3">
        <v>593</v>
      </c>
      <c r="AM26" s="3">
        <v>127</v>
      </c>
    </row>
    <row r="27" spans="1:39" x14ac:dyDescent="0.2">
      <c r="B27" s="1" t="s">
        <v>164</v>
      </c>
      <c r="D27" s="3"/>
      <c r="F27" s="3"/>
      <c r="G27" s="3"/>
      <c r="H27" s="3"/>
      <c r="I27" s="3"/>
      <c r="K27" s="3"/>
      <c r="L27" s="3"/>
      <c r="M27" s="3"/>
      <c r="N27" s="3"/>
      <c r="P27" s="3"/>
      <c r="Q27" s="3"/>
      <c r="R27" s="3"/>
      <c r="S27" s="3"/>
      <c r="U27" s="3"/>
      <c r="V27" s="3"/>
      <c r="W27" s="3"/>
      <c r="X27" s="3">
        <v>10000</v>
      </c>
      <c r="Z27" s="3"/>
      <c r="AA27" s="3"/>
      <c r="AB27" s="3"/>
      <c r="AC27" s="3"/>
      <c r="AE27" s="3"/>
      <c r="AF27" s="3"/>
      <c r="AG27" s="3"/>
      <c r="AH27" s="3"/>
      <c r="AJ27" s="3"/>
      <c r="AK27" s="3"/>
      <c r="AL27" s="3"/>
      <c r="AM27" s="3"/>
    </row>
    <row r="28" spans="1:39" x14ac:dyDescent="0.2">
      <c r="B28" s="1" t="s">
        <v>111</v>
      </c>
      <c r="D28" s="3">
        <v>12617</v>
      </c>
      <c r="F28" s="3">
        <v>12758</v>
      </c>
      <c r="G28" s="3">
        <v>13152</v>
      </c>
      <c r="H28" s="3">
        <v>13615</v>
      </c>
      <c r="I28" s="3">
        <v>14108</v>
      </c>
      <c r="K28" s="3">
        <v>14730</v>
      </c>
      <c r="L28" s="3">
        <v>15325</v>
      </c>
      <c r="M28" s="3">
        <v>15885</v>
      </c>
      <c r="N28" s="3">
        <v>16139</v>
      </c>
      <c r="P28" s="3">
        <v>16830</v>
      </c>
      <c r="Q28" s="3">
        <v>17167</v>
      </c>
      <c r="R28" s="3">
        <v>17837</v>
      </c>
      <c r="S28" s="3">
        <v>18459</v>
      </c>
      <c r="U28" s="3">
        <v>19715</v>
      </c>
      <c r="V28" s="3">
        <v>20280</v>
      </c>
      <c r="W28" s="3">
        <v>20915</v>
      </c>
      <c r="X28" s="3">
        <v>21554</v>
      </c>
      <c r="Z28" s="3">
        <v>21623</v>
      </c>
      <c r="AA28" s="3">
        <v>21584</v>
      </c>
      <c r="AB28" s="3">
        <v>14673</v>
      </c>
      <c r="AC28" s="3">
        <v>14331</v>
      </c>
      <c r="AE28" s="3">
        <v>12411</v>
      </c>
      <c r="AF28" s="3">
        <v>13145</v>
      </c>
      <c r="AG28" s="3">
        <v>10566</v>
      </c>
      <c r="AH28" s="3">
        <v>9491</v>
      </c>
      <c r="AJ28" s="3">
        <v>9772</v>
      </c>
      <c r="AK28" s="3">
        <v>9302</v>
      </c>
      <c r="AL28" s="3">
        <v>9590</v>
      </c>
      <c r="AM28" s="3">
        <v>9994</v>
      </c>
    </row>
    <row r="29" spans="1:39" x14ac:dyDescent="0.2">
      <c r="B29" s="1" t="s">
        <v>112</v>
      </c>
      <c r="D29" s="7">
        <v>132519</v>
      </c>
      <c r="F29" s="7">
        <v>140940</v>
      </c>
      <c r="G29" s="7">
        <v>129565</v>
      </c>
      <c r="H29" s="7">
        <v>147183</v>
      </c>
      <c r="I29" s="7">
        <v>174337</v>
      </c>
      <c r="K29" s="7">
        <v>152268</v>
      </c>
      <c r="L29" s="7">
        <v>171292</v>
      </c>
      <c r="M29" s="7">
        <v>169399</v>
      </c>
      <c r="N29" s="7">
        <v>182915</v>
      </c>
      <c r="P29" s="7">
        <v>207113</v>
      </c>
      <c r="Q29" s="7">
        <v>218104</v>
      </c>
      <c r="R29" s="7">
        <v>214535</v>
      </c>
      <c r="S29" s="7">
        <v>223938</v>
      </c>
      <c r="U29" s="7">
        <v>253972</v>
      </c>
      <c r="V29" s="7">
        <v>260425</v>
      </c>
      <c r="W29" s="7">
        <v>241807</v>
      </c>
      <c r="X29" s="7">
        <v>258163</v>
      </c>
      <c r="Z29" s="7">
        <v>287350</v>
      </c>
      <c r="AA29" s="7">
        <v>296867</v>
      </c>
      <c r="AB29" s="7">
        <v>275828</v>
      </c>
      <c r="AC29" s="7">
        <v>300750</v>
      </c>
      <c r="AE29" s="7">
        <v>319769</v>
      </c>
      <c r="AF29" s="7">
        <v>337656</v>
      </c>
      <c r="AG29" s="7">
        <v>312858</v>
      </c>
      <c r="AH29" s="7">
        <v>333713</v>
      </c>
      <c r="AJ29" s="7">
        <v>338832</v>
      </c>
      <c r="AK29" s="7">
        <v>357117</v>
      </c>
      <c r="AL29" s="7">
        <v>348114</v>
      </c>
      <c r="AM29" s="7">
        <v>355433</v>
      </c>
    </row>
    <row r="30" spans="1:39" x14ac:dyDescent="0.2">
      <c r="B30" s="1" t="s">
        <v>67</v>
      </c>
      <c r="D30" s="3">
        <f>SUM(D23:D29)</f>
        <v>522671</v>
      </c>
      <c r="F30" s="3">
        <f>SUM(F23:F29)</f>
        <v>591384</v>
      </c>
      <c r="G30" s="3">
        <f>SUM(G23:G29)</f>
        <v>505236</v>
      </c>
      <c r="H30" s="3">
        <f>SUM(H23:H29)</f>
        <v>546702</v>
      </c>
      <c r="I30" s="3">
        <f>SUM(I23:I29)</f>
        <v>646313</v>
      </c>
      <c r="K30" s="3">
        <f>SUM(K23:K29)</f>
        <v>618516</v>
      </c>
      <c r="L30" s="3">
        <f>SUM(L23:L29)</f>
        <v>525839</v>
      </c>
      <c r="M30" s="3">
        <f>SUM(M23:M29)</f>
        <v>575692</v>
      </c>
      <c r="N30" s="3">
        <f>SUM(N23:N29)</f>
        <v>684173</v>
      </c>
      <c r="P30" s="3">
        <f>SUM(P23:P29)</f>
        <v>710234</v>
      </c>
      <c r="Q30" s="3">
        <f>SUM(Q23:Q29)</f>
        <v>729919</v>
      </c>
      <c r="R30" s="3">
        <f>SUM(R23:R29)</f>
        <v>748601</v>
      </c>
      <c r="S30" s="3">
        <f>SUM(S23:S29)</f>
        <v>875497</v>
      </c>
      <c r="U30" s="3">
        <f>SUM(U23:U29)</f>
        <v>962158</v>
      </c>
      <c r="V30" s="3">
        <f>SUM(V23:V29)</f>
        <v>906927</v>
      </c>
      <c r="W30" s="3">
        <f>SUM(W23:W29)</f>
        <v>928182</v>
      </c>
      <c r="X30" s="3">
        <f>SUM(X23:X29)</f>
        <v>997173</v>
      </c>
      <c r="Z30" s="3">
        <f>SUM(Z23:Z29)</f>
        <v>999573</v>
      </c>
      <c r="AA30" s="3">
        <f>SUM(AA23:AA29)</f>
        <v>1001977</v>
      </c>
      <c r="AB30" s="3">
        <f>SUM(AB23:AB29)</f>
        <v>923554</v>
      </c>
      <c r="AC30" s="3">
        <f>SUM(AC23:AC29)</f>
        <v>1005193</v>
      </c>
      <c r="AE30" s="3">
        <f>SUM(AE23:AE29)</f>
        <v>1083374</v>
      </c>
      <c r="AF30" s="3">
        <f>SUM(AF23:AF29)</f>
        <v>1084363</v>
      </c>
      <c r="AG30" s="3">
        <f>SUM(AG23:AG29)</f>
        <v>1027717</v>
      </c>
      <c r="AH30" s="3">
        <f>SUM(AH23:AH29)</f>
        <v>1105787</v>
      </c>
      <c r="AJ30" s="3">
        <f>SUM(AJ23:AJ29)</f>
        <v>1166670</v>
      </c>
      <c r="AK30" s="3">
        <f>SUM(AK23:AK29)</f>
        <v>1201557</v>
      </c>
      <c r="AL30" s="3">
        <f t="shared" ref="AL30:AM30" si="2">SUM(AL23:AL29)</f>
        <v>1111678</v>
      </c>
      <c r="AM30" s="3">
        <f t="shared" si="2"/>
        <v>1174058</v>
      </c>
    </row>
    <row r="31" spans="1:39" s="44" customFormat="1" x14ac:dyDescent="0.2">
      <c r="A31" s="12"/>
      <c r="B31" s="12"/>
      <c r="C31" s="12"/>
      <c r="D31" s="43"/>
      <c r="E31" s="11"/>
      <c r="F31" s="43"/>
      <c r="G31" s="43"/>
      <c r="H31" s="43"/>
      <c r="I31" s="43"/>
      <c r="J31" s="11"/>
      <c r="K31" s="43"/>
      <c r="L31" s="43"/>
      <c r="M31" s="43"/>
      <c r="N31" s="43"/>
      <c r="P31" s="43"/>
      <c r="Q31" s="43"/>
      <c r="R31" s="43"/>
      <c r="S31" s="43"/>
      <c r="U31" s="43"/>
      <c r="V31" s="43"/>
      <c r="W31" s="43"/>
      <c r="X31" s="43"/>
      <c r="Z31" s="43"/>
      <c r="AA31" s="43"/>
      <c r="AB31" s="43"/>
      <c r="AC31" s="43"/>
      <c r="AE31" s="43"/>
      <c r="AF31" s="43"/>
      <c r="AG31" s="43"/>
      <c r="AH31" s="43"/>
      <c r="AJ31" s="43"/>
      <c r="AK31" s="43"/>
      <c r="AL31" s="43"/>
      <c r="AM31" s="43"/>
    </row>
    <row r="32" spans="1:39" x14ac:dyDescent="0.2">
      <c r="A32" s="8" t="s">
        <v>11</v>
      </c>
      <c r="B32" s="8"/>
      <c r="C32" s="8"/>
      <c r="D32" s="3"/>
      <c r="F32" s="3"/>
      <c r="G32" s="3"/>
      <c r="H32" s="3"/>
      <c r="I32" s="3"/>
      <c r="K32" s="3"/>
      <c r="L32" s="3"/>
      <c r="M32" s="3"/>
      <c r="N32" s="3"/>
      <c r="P32" s="3"/>
      <c r="Q32" s="3"/>
      <c r="R32" s="3"/>
      <c r="S32" s="3"/>
      <c r="U32" s="3"/>
      <c r="V32" s="3"/>
      <c r="W32" s="3"/>
      <c r="X32" s="3"/>
      <c r="Z32" s="3"/>
      <c r="AA32" s="3"/>
      <c r="AB32" s="3"/>
      <c r="AC32" s="3"/>
      <c r="AE32" s="3"/>
      <c r="AF32" s="3"/>
      <c r="AG32" s="3"/>
      <c r="AH32" s="3"/>
      <c r="AJ32" s="3"/>
      <c r="AK32" s="3"/>
      <c r="AL32" s="3"/>
      <c r="AM32" s="3"/>
    </row>
    <row r="33" spans="1:39" x14ac:dyDescent="0.2">
      <c r="A33" s="8"/>
      <c r="B33" s="1" t="s">
        <v>163</v>
      </c>
      <c r="C33" s="8"/>
      <c r="D33" s="3"/>
      <c r="F33" s="3"/>
      <c r="G33" s="3"/>
      <c r="H33" s="3"/>
      <c r="I33" s="3"/>
      <c r="K33" s="3"/>
      <c r="L33" s="3"/>
      <c r="M33" s="3"/>
      <c r="N33" s="3"/>
      <c r="P33" s="3"/>
      <c r="Q33" s="3"/>
      <c r="R33" s="3"/>
      <c r="S33" s="3"/>
      <c r="U33" s="3"/>
      <c r="V33" s="3"/>
      <c r="W33" s="3">
        <v>300000</v>
      </c>
      <c r="X33" s="3">
        <v>300000</v>
      </c>
      <c r="Z33" s="3">
        <v>299002</v>
      </c>
      <c r="AA33" s="3">
        <v>298802</v>
      </c>
      <c r="AB33" s="3">
        <v>862861</v>
      </c>
      <c r="AC33" s="3">
        <v>713910</v>
      </c>
      <c r="AE33" s="3">
        <v>597277</v>
      </c>
      <c r="AF33" s="3">
        <v>797357</v>
      </c>
      <c r="AG33" s="3">
        <v>888161</v>
      </c>
      <c r="AH33" s="3">
        <v>952562</v>
      </c>
      <c r="AJ33" s="3">
        <v>797666</v>
      </c>
      <c r="AK33" s="3">
        <v>815770</v>
      </c>
      <c r="AL33" s="3">
        <v>1042874</v>
      </c>
      <c r="AM33" s="3">
        <v>995479</v>
      </c>
    </row>
    <row r="34" spans="1:39" x14ac:dyDescent="0.2">
      <c r="B34" s="1" t="s">
        <v>113</v>
      </c>
      <c r="D34" s="3">
        <v>367617</v>
      </c>
      <c r="F34" s="3">
        <v>364479</v>
      </c>
      <c r="G34" s="3">
        <v>360989</v>
      </c>
      <c r="H34" s="3">
        <v>357288</v>
      </c>
      <c r="I34" s="3">
        <v>353566</v>
      </c>
      <c r="K34" s="3">
        <v>349648</v>
      </c>
      <c r="L34" s="3">
        <v>345628</v>
      </c>
      <c r="M34" s="3">
        <v>341424</v>
      </c>
      <c r="N34" s="3">
        <v>337452</v>
      </c>
      <c r="P34" s="3">
        <v>332965</v>
      </c>
      <c r="Q34" s="3">
        <v>325492</v>
      </c>
      <c r="R34" s="3">
        <v>320791</v>
      </c>
      <c r="S34" s="3">
        <v>315925</v>
      </c>
      <c r="U34" s="3">
        <v>315762</v>
      </c>
      <c r="V34" s="3">
        <v>310689</v>
      </c>
      <c r="W34" s="3">
        <v>311771</v>
      </c>
      <c r="X34" s="3">
        <v>306284</v>
      </c>
      <c r="Z34" s="3">
        <v>301480</v>
      </c>
      <c r="AA34" s="3">
        <v>357825</v>
      </c>
      <c r="AB34" s="3">
        <v>391856</v>
      </c>
      <c r="AC34" s="3">
        <v>400323</v>
      </c>
      <c r="AE34" s="3">
        <v>419875</v>
      </c>
      <c r="AF34" s="3">
        <v>427273</v>
      </c>
      <c r="AG34" s="3">
        <v>466965</v>
      </c>
      <c r="AH34" s="3">
        <v>486645</v>
      </c>
      <c r="AJ34" s="3">
        <v>484394</v>
      </c>
      <c r="AK34" s="3">
        <v>493200</v>
      </c>
      <c r="AL34" s="3">
        <v>490968</v>
      </c>
      <c r="AM34" s="3">
        <v>490369</v>
      </c>
    </row>
    <row r="35" spans="1:39" x14ac:dyDescent="0.2">
      <c r="B35" s="1" t="s">
        <v>114</v>
      </c>
      <c r="D35" s="3">
        <v>3881142</v>
      </c>
      <c r="F35" s="3">
        <v>4001122</v>
      </c>
      <c r="G35" s="3">
        <v>4169037</v>
      </c>
      <c r="H35" s="3">
        <v>4318046</v>
      </c>
      <c r="I35" s="3">
        <v>4509752</v>
      </c>
      <c r="K35" s="3">
        <v>4672921</v>
      </c>
      <c r="L35" s="3">
        <v>4909702</v>
      </c>
      <c r="M35" s="3">
        <v>5211064</v>
      </c>
      <c r="N35" s="3">
        <v>5672175</v>
      </c>
      <c r="P35" s="3">
        <v>6160242</v>
      </c>
      <c r="Q35" s="3">
        <v>6512328</v>
      </c>
      <c r="R35" s="3">
        <v>6755534</v>
      </c>
      <c r="S35" s="3">
        <v>7024506</v>
      </c>
      <c r="U35" s="3">
        <v>7373003</v>
      </c>
      <c r="V35" s="3">
        <v>7648284</v>
      </c>
      <c r="W35" s="3">
        <v>7938626</v>
      </c>
      <c r="X35" s="3">
        <v>8212466</v>
      </c>
      <c r="Z35" s="3">
        <v>8554543</v>
      </c>
      <c r="AA35" s="3">
        <v>8835783</v>
      </c>
      <c r="AB35" s="3">
        <v>9040092</v>
      </c>
      <c r="AC35" s="3">
        <v>9206425</v>
      </c>
      <c r="AE35" s="3">
        <v>9494180</v>
      </c>
      <c r="AF35" s="3">
        <v>9906016</v>
      </c>
      <c r="AG35" s="3">
        <v>10129401</v>
      </c>
      <c r="AH35" s="3">
        <v>10387231</v>
      </c>
      <c r="AJ35" s="3">
        <v>10643810</v>
      </c>
      <c r="AK35" s="3">
        <v>10925034</v>
      </c>
      <c r="AL35" s="3">
        <v>11117495</v>
      </c>
      <c r="AM35" s="3">
        <v>11266964</v>
      </c>
    </row>
    <row r="36" spans="1:39" x14ac:dyDescent="0.2">
      <c r="B36" s="1" t="s">
        <v>27</v>
      </c>
      <c r="D36" s="3">
        <v>114870</v>
      </c>
      <c r="F36" s="3">
        <v>107702</v>
      </c>
      <c r="G36" s="3">
        <v>103563</v>
      </c>
      <c r="H36" s="3">
        <v>103487</v>
      </c>
      <c r="I36" s="3">
        <v>148800</v>
      </c>
      <c r="K36" s="3">
        <v>136730</v>
      </c>
      <c r="L36" s="3">
        <v>140684</v>
      </c>
      <c r="M36" s="3">
        <v>145834</v>
      </c>
      <c r="N36" s="3">
        <v>175635</v>
      </c>
      <c r="P36" s="3">
        <v>171631</v>
      </c>
      <c r="Q36" s="3">
        <v>181256</v>
      </c>
      <c r="R36" s="3">
        <v>190580</v>
      </c>
      <c r="S36" s="3">
        <v>174232</v>
      </c>
      <c r="U36" s="3">
        <v>168665</v>
      </c>
      <c r="V36" s="3">
        <v>176026</v>
      </c>
      <c r="W36" s="3">
        <v>182675</v>
      </c>
      <c r="X36" s="3">
        <v>225493</v>
      </c>
      <c r="Z36" s="3">
        <v>220185</v>
      </c>
      <c r="AA36" s="3">
        <v>225552</v>
      </c>
      <c r="AB36" s="3">
        <v>229910</v>
      </c>
      <c r="AC36" s="3">
        <v>229274</v>
      </c>
      <c r="AE36" s="3">
        <v>222936</v>
      </c>
      <c r="AF36" s="3">
        <v>226978</v>
      </c>
      <c r="AG36" s="3">
        <v>232439</v>
      </c>
      <c r="AH36" s="3">
        <v>238551</v>
      </c>
      <c r="AJ36" s="3">
        <v>231021</v>
      </c>
      <c r="AK36" s="3">
        <v>239186</v>
      </c>
      <c r="AL36" s="3">
        <v>239672</v>
      </c>
      <c r="AM36" s="3">
        <v>242553</v>
      </c>
    </row>
    <row r="37" spans="1:39" x14ac:dyDescent="0.2">
      <c r="D37" s="3"/>
      <c r="F37" s="3"/>
      <c r="G37" s="3"/>
      <c r="H37" s="3"/>
      <c r="I37" s="3"/>
      <c r="K37" s="3"/>
      <c r="L37" s="3"/>
      <c r="M37" s="3"/>
      <c r="N37" s="3"/>
      <c r="P37" s="3"/>
      <c r="Q37" s="3"/>
      <c r="R37" s="3"/>
      <c r="S37" s="3"/>
      <c r="U37" s="3"/>
      <c r="V37" s="3"/>
      <c r="W37" s="3"/>
      <c r="X37" s="3"/>
      <c r="Z37" s="3"/>
      <c r="AA37" s="3"/>
      <c r="AB37" s="3"/>
      <c r="AC37" s="3"/>
      <c r="AE37" s="3"/>
      <c r="AF37" s="3"/>
      <c r="AG37" s="3"/>
      <c r="AH37" s="3"/>
      <c r="AJ37" s="3"/>
      <c r="AK37" s="3"/>
      <c r="AL37" s="3"/>
      <c r="AM37" s="3"/>
    </row>
    <row r="38" spans="1:39" x14ac:dyDescent="0.2">
      <c r="A38" s="8" t="s">
        <v>13</v>
      </c>
      <c r="B38" s="8"/>
      <c r="C38" s="8"/>
      <c r="D38" s="10">
        <f>+D30+(SUM(D34:D36))</f>
        <v>4886300</v>
      </c>
      <c r="F38" s="10">
        <f>+F30+(SUM(F34:F36))</f>
        <v>5064687</v>
      </c>
      <c r="G38" s="10">
        <f>+G30+(SUM(G34:G36))</f>
        <v>5138825</v>
      </c>
      <c r="H38" s="10">
        <f>+H30+(SUM(H34:H36))</f>
        <v>5325523</v>
      </c>
      <c r="I38" s="10">
        <f>+I30+(SUM(I34:I36))</f>
        <v>5658431</v>
      </c>
      <c r="K38" s="10">
        <f>+K30+(SUM(K34:K36))</f>
        <v>5777815</v>
      </c>
      <c r="L38" s="10">
        <f>+L30+(SUM(L34:L36))</f>
        <v>5921853</v>
      </c>
      <c r="M38" s="10">
        <f>+M30+(SUM(M34:M36))</f>
        <v>6274014</v>
      </c>
      <c r="N38" s="10">
        <f>+N30+(SUM(N34:N36))</f>
        <v>6869435</v>
      </c>
      <c r="P38" s="10">
        <f>+P30+(SUM(P34:P36))</f>
        <v>7375072</v>
      </c>
      <c r="Q38" s="10">
        <f>+Q30+(SUM(Q34:Q36))</f>
        <v>7748995</v>
      </c>
      <c r="R38" s="10">
        <f>+R30+(SUM(R34:R36))</f>
        <v>8015506</v>
      </c>
      <c r="S38" s="10">
        <f>+S30+(SUM(S34:S36))</f>
        <v>8390160</v>
      </c>
      <c r="U38" s="10">
        <f>+U30+(SUM(U34:U36))</f>
        <v>8819588</v>
      </c>
      <c r="V38" s="10">
        <f>+V30+(SUM(V34:V36))</f>
        <v>9041926</v>
      </c>
      <c r="W38" s="10">
        <f>+W30+(SUM(W33:W36))</f>
        <v>9661254</v>
      </c>
      <c r="X38" s="10">
        <f>+X30+(SUM(X33:X36))</f>
        <v>10041416</v>
      </c>
      <c r="Z38" s="10">
        <f>+Z30+(SUM(Z33:Z36))</f>
        <v>10374783</v>
      </c>
      <c r="AA38" s="10">
        <f>+AA30+(SUM(AA33:AA36))</f>
        <v>10719939</v>
      </c>
      <c r="AB38" s="10">
        <f>+AB30+(SUM(AB33:AB36))</f>
        <v>11448273</v>
      </c>
      <c r="AC38" s="10">
        <f>+AC30+(SUM(AC33:AC36))</f>
        <v>11555125</v>
      </c>
      <c r="AE38" s="10">
        <f>+AE30+(SUM(AE33:AE36))</f>
        <v>11817642</v>
      </c>
      <c r="AF38" s="10">
        <f>+AF30+(SUM(AF33:AF36))</f>
        <v>12441987</v>
      </c>
      <c r="AG38" s="10">
        <f>+AG30+(SUM(AG33:AG36))</f>
        <v>12744683</v>
      </c>
      <c r="AH38" s="10">
        <f>+AH30+(SUM(AH33:AH36))</f>
        <v>13170776</v>
      </c>
      <c r="AJ38" s="10">
        <f>+AJ30+(SUM(AJ33:AJ36))</f>
        <v>13323561</v>
      </c>
      <c r="AK38" s="10">
        <f>+AK30+(SUM(AK33:AK36))</f>
        <v>13674747</v>
      </c>
      <c r="AL38" s="10">
        <f t="shared" ref="AL38:AM38" si="3">+AL30+(SUM(AL33:AL36))</f>
        <v>14002687</v>
      </c>
      <c r="AM38" s="10">
        <f t="shared" si="3"/>
        <v>14169423</v>
      </c>
    </row>
    <row r="39" spans="1:39" x14ac:dyDescent="0.2">
      <c r="D39" s="3"/>
      <c r="F39" s="3"/>
      <c r="G39" s="3"/>
      <c r="H39" s="3"/>
      <c r="I39" s="3"/>
      <c r="K39" s="3"/>
      <c r="L39" s="3"/>
      <c r="M39" s="3"/>
      <c r="N39" s="3"/>
      <c r="P39" s="3"/>
      <c r="Q39" s="3"/>
      <c r="R39" s="3"/>
      <c r="S39" s="3"/>
      <c r="U39" s="3"/>
      <c r="V39" s="3"/>
      <c r="W39" s="3"/>
      <c r="X39" s="3"/>
      <c r="Z39" s="3"/>
      <c r="AA39" s="3"/>
      <c r="AB39" s="3"/>
      <c r="AC39" s="3"/>
      <c r="AE39" s="3"/>
      <c r="AF39" s="3"/>
      <c r="AG39" s="3"/>
      <c r="AH39" s="3"/>
      <c r="AJ39" s="3"/>
      <c r="AK39" s="3"/>
      <c r="AL39" s="3"/>
      <c r="AM39" s="3"/>
    </row>
    <row r="40" spans="1:39" x14ac:dyDescent="0.2">
      <c r="A40" s="8" t="s">
        <v>14</v>
      </c>
      <c r="B40" s="8"/>
      <c r="C40" s="8"/>
      <c r="D40" s="3"/>
      <c r="F40" s="3"/>
      <c r="G40" s="3"/>
      <c r="H40" s="3"/>
      <c r="I40" s="3"/>
      <c r="K40" s="3"/>
      <c r="L40" s="3"/>
      <c r="M40" s="3"/>
      <c r="N40" s="3"/>
      <c r="P40" s="3"/>
      <c r="Q40" s="3"/>
      <c r="R40" s="3"/>
      <c r="S40" s="3"/>
      <c r="U40" s="3"/>
      <c r="V40" s="3"/>
      <c r="W40" s="3"/>
      <c r="X40" s="3"/>
      <c r="Z40" s="3"/>
      <c r="AA40" s="3"/>
      <c r="AB40" s="3"/>
      <c r="AC40" s="3"/>
      <c r="AE40" s="3"/>
      <c r="AF40" s="3"/>
      <c r="AG40" s="3"/>
      <c r="AH40" s="3"/>
      <c r="AJ40" s="3"/>
      <c r="AK40" s="3"/>
      <c r="AL40" s="3"/>
      <c r="AM40" s="3"/>
    </row>
    <row r="41" spans="1:39" x14ac:dyDescent="0.2">
      <c r="B41" s="1" t="s">
        <v>115</v>
      </c>
      <c r="D41" s="3">
        <v>112943</v>
      </c>
      <c r="F41" s="3">
        <v>113018</v>
      </c>
      <c r="G41" s="3">
        <v>113213</v>
      </c>
      <c r="H41" s="3">
        <v>113237</v>
      </c>
      <c r="I41" s="3">
        <v>113559</v>
      </c>
      <c r="K41" s="3">
        <v>114153</v>
      </c>
      <c r="L41" s="3">
        <v>114222</v>
      </c>
      <c r="M41" s="3">
        <v>114108</v>
      </c>
      <c r="N41" s="3">
        <v>112953</v>
      </c>
      <c r="P41" s="3">
        <v>112073</v>
      </c>
      <c r="Q41" s="3">
        <v>111665</v>
      </c>
      <c r="R41" s="3">
        <v>111614</v>
      </c>
      <c r="S41" s="3">
        <v>110843</v>
      </c>
      <c r="U41" s="3">
        <v>109242</v>
      </c>
      <c r="V41" s="3">
        <v>108352</v>
      </c>
      <c r="W41" s="3">
        <v>105459</v>
      </c>
      <c r="X41" s="3">
        <v>104435</v>
      </c>
      <c r="Z41" s="3">
        <v>104341</v>
      </c>
      <c r="AA41" s="3">
        <v>102465</v>
      </c>
      <c r="AB41" s="3">
        <v>98781</v>
      </c>
      <c r="AC41" s="3">
        <v>97356</v>
      </c>
      <c r="AE41" s="3">
        <v>96248</v>
      </c>
      <c r="AF41" s="3">
        <v>95540</v>
      </c>
      <c r="AG41" s="3">
        <v>93676</v>
      </c>
      <c r="AH41" s="3">
        <v>93274</v>
      </c>
      <c r="AJ41" s="3">
        <v>91936</v>
      </c>
      <c r="AK41" s="3">
        <v>90952</v>
      </c>
      <c r="AL41" s="3">
        <v>90745</v>
      </c>
      <c r="AM41" s="3">
        <v>89874</v>
      </c>
    </row>
    <row r="42" spans="1:39" x14ac:dyDescent="0.2">
      <c r="B42" s="1" t="s">
        <v>116</v>
      </c>
      <c r="D42" s="3">
        <v>820639</v>
      </c>
      <c r="F42" s="3">
        <v>836022</v>
      </c>
      <c r="G42" s="3">
        <v>851137</v>
      </c>
      <c r="H42" s="3">
        <v>858790</v>
      </c>
      <c r="I42" s="3">
        <v>877493</v>
      </c>
      <c r="K42" s="3">
        <v>901725</v>
      </c>
      <c r="L42" s="3">
        <v>911875</v>
      </c>
      <c r="M42" s="3">
        <v>942017</v>
      </c>
      <c r="N42" s="3">
        <v>972250</v>
      </c>
      <c r="P42" s="3">
        <v>990778</v>
      </c>
      <c r="Q42" s="3">
        <v>1000258</v>
      </c>
      <c r="R42" s="3">
        <v>1013939</v>
      </c>
      <c r="S42" s="3">
        <v>1038209</v>
      </c>
      <c r="U42" s="3">
        <v>1036197</v>
      </c>
      <c r="V42" s="3">
        <v>1089317</v>
      </c>
      <c r="W42" s="3">
        <v>1080267</v>
      </c>
      <c r="X42" s="3">
        <v>1123520</v>
      </c>
      <c r="Z42" s="3">
        <v>1170030</v>
      </c>
      <c r="AA42" s="3">
        <v>1161678</v>
      </c>
      <c r="AB42" s="3">
        <v>1136607</v>
      </c>
      <c r="AC42" s="3">
        <v>1130822</v>
      </c>
      <c r="AE42" s="3">
        <v>1136469</v>
      </c>
      <c r="AF42" s="3">
        <v>1175166</v>
      </c>
      <c r="AG42" s="3">
        <v>1160484</v>
      </c>
      <c r="AH42" s="3">
        <v>1188578</v>
      </c>
      <c r="AJ42" s="3">
        <v>1184661</v>
      </c>
      <c r="AK42" s="3">
        <v>1193799</v>
      </c>
      <c r="AL42" s="3">
        <v>1233062</v>
      </c>
      <c r="AM42" s="3">
        <v>1234047</v>
      </c>
    </row>
    <row r="43" spans="1:39" x14ac:dyDescent="0.2">
      <c r="B43" s="1" t="s">
        <v>117</v>
      </c>
      <c r="D43" s="3">
        <v>-25057</v>
      </c>
      <c r="F43" s="3">
        <v>-28007</v>
      </c>
      <c r="G43" s="3">
        <v>-33416</v>
      </c>
      <c r="H43" s="3">
        <v>-39257</v>
      </c>
      <c r="I43" s="3">
        <v>-62459</v>
      </c>
      <c r="K43" s="3">
        <v>-60795</v>
      </c>
      <c r="L43" s="3">
        <v>-53411</v>
      </c>
      <c r="M43" s="3">
        <v>-51745</v>
      </c>
      <c r="N43" s="3">
        <v>-59808</v>
      </c>
      <c r="P43" s="3">
        <v>-57510</v>
      </c>
      <c r="Q43" s="3">
        <v>-53909</v>
      </c>
      <c r="R43" s="3">
        <v>-57127</v>
      </c>
      <c r="S43" s="3">
        <v>-46271</v>
      </c>
      <c r="U43" s="3">
        <v>-45776</v>
      </c>
      <c r="V43" s="3">
        <v>-44467</v>
      </c>
      <c r="W43" s="3">
        <v>-45858</v>
      </c>
      <c r="X43" s="3">
        <v>-65391</v>
      </c>
      <c r="Z43" s="3">
        <v>-66458</v>
      </c>
      <c r="AA43" s="3">
        <v>-66149</v>
      </c>
      <c r="AB43" s="3">
        <v>-66664</v>
      </c>
      <c r="AC43" s="3">
        <v>-70196</v>
      </c>
      <c r="AE43" s="3">
        <v>-66825</v>
      </c>
      <c r="AF43" s="3">
        <v>-66582</v>
      </c>
      <c r="AG43" s="3">
        <v>-60135</v>
      </c>
      <c r="AH43" s="3">
        <v>-56555</v>
      </c>
      <c r="AJ43" s="3">
        <v>-58229</v>
      </c>
      <c r="AK43" s="3">
        <v>-59627</v>
      </c>
      <c r="AL43" s="3">
        <v>-51304</v>
      </c>
      <c r="AM43" s="3">
        <v>-54312</v>
      </c>
    </row>
    <row r="44" spans="1:39" x14ac:dyDescent="0.2">
      <c r="B44" s="1" t="s">
        <v>118</v>
      </c>
      <c r="D44" s="5">
        <f>1383105-52381</f>
        <v>1330724</v>
      </c>
      <c r="F44" s="7">
        <f>1509393-53169</f>
        <v>1456224</v>
      </c>
      <c r="G44" s="7">
        <f>1621288-53910</f>
        <v>1567378</v>
      </c>
      <c r="H44" s="7">
        <v>1649488</v>
      </c>
      <c r="I44" s="7">
        <v>1744519</v>
      </c>
      <c r="K44" s="7">
        <v>1865265</v>
      </c>
      <c r="L44" s="7">
        <v>1976901</v>
      </c>
      <c r="M44" s="7">
        <v>2019289</v>
      </c>
      <c r="N44" s="7">
        <v>1993772</v>
      </c>
      <c r="P44" s="7">
        <v>2030041</v>
      </c>
      <c r="Q44" s="7">
        <v>2126765</v>
      </c>
      <c r="R44" s="7">
        <v>2219943</v>
      </c>
      <c r="S44" s="7">
        <v>2214216</v>
      </c>
      <c r="U44" s="7">
        <v>2229709</v>
      </c>
      <c r="V44" s="7">
        <v>2204785</v>
      </c>
      <c r="W44" s="7">
        <v>2042284</v>
      </c>
      <c r="X44" s="7">
        <v>1994221</v>
      </c>
      <c r="Z44" s="7">
        <v>2066753</v>
      </c>
      <c r="AA44" s="7">
        <v>2012990</v>
      </c>
      <c r="AB44" s="7">
        <v>1743031</v>
      </c>
      <c r="AC44" s="7">
        <v>1746804</v>
      </c>
      <c r="AE44" s="7">
        <v>1806393</v>
      </c>
      <c r="AF44" s="7">
        <v>1858221</v>
      </c>
      <c r="AG44" s="7">
        <v>1821359</v>
      </c>
      <c r="AH44" s="7">
        <v>1883283</v>
      </c>
      <c r="AJ44" s="7">
        <v>1933760</v>
      </c>
      <c r="AK44" s="7">
        <v>1975862</v>
      </c>
      <c r="AL44" s="7">
        <v>2028224</v>
      </c>
      <c r="AM44" s="7">
        <v>2047240</v>
      </c>
    </row>
    <row r="45" spans="1:39" x14ac:dyDescent="0.2">
      <c r="B45" s="1" t="s">
        <v>69</v>
      </c>
      <c r="D45" s="10">
        <f>SUM(D41:D44)</f>
        <v>2239249</v>
      </c>
      <c r="F45" s="10">
        <f>SUM(F41:F44)</f>
        <v>2377257</v>
      </c>
      <c r="G45" s="10">
        <f>SUM(G41:G44)</f>
        <v>2498312</v>
      </c>
      <c r="H45" s="10">
        <f>SUM(H41:H44)</f>
        <v>2582258</v>
      </c>
      <c r="I45" s="10">
        <f>SUM(I41:I44)</f>
        <v>2673112</v>
      </c>
      <c r="K45" s="10">
        <f>SUM(K41:K44)</f>
        <v>2820348</v>
      </c>
      <c r="L45" s="10">
        <f>SUM(L41:L44)</f>
        <v>2949587</v>
      </c>
      <c r="M45" s="10">
        <f>SUM(M41:M44)</f>
        <v>3023669</v>
      </c>
      <c r="N45" s="10">
        <f>SUM(N41:N44)</f>
        <v>3019167</v>
      </c>
      <c r="P45" s="10">
        <f>SUM(P41:P44)</f>
        <v>3075382</v>
      </c>
      <c r="Q45" s="10">
        <f>SUM(Q41:Q44)</f>
        <v>3184779</v>
      </c>
      <c r="R45" s="10">
        <f>SUM(R41:R44)</f>
        <v>3288369</v>
      </c>
      <c r="S45" s="10">
        <f>SUM(S41:S44)</f>
        <v>3316997</v>
      </c>
      <c r="U45" s="10">
        <f>SUM(U41:U44)</f>
        <v>3329372</v>
      </c>
      <c r="V45" s="10">
        <f>SUM(V41:V44)</f>
        <v>3357987</v>
      </c>
      <c r="W45" s="10">
        <f>SUM(W41:W44)</f>
        <v>3182152</v>
      </c>
      <c r="X45" s="10">
        <f>SUM(X41:X44)</f>
        <v>3156785</v>
      </c>
      <c r="Z45" s="10">
        <f>SUM(Z41:Z44)</f>
        <v>3274666</v>
      </c>
      <c r="AA45" s="10">
        <f>SUM(AA41:AA44)</f>
        <v>3210984</v>
      </c>
      <c r="AB45" s="10">
        <f>SUM(AB41:AB44)</f>
        <v>2911755</v>
      </c>
      <c r="AC45" s="10">
        <f>SUM(AC41:AC44)</f>
        <v>2904786</v>
      </c>
      <c r="AE45" s="10">
        <f>SUM(AE41:AE44)</f>
        <v>2972285</v>
      </c>
      <c r="AF45" s="10">
        <f>SUM(AF41:AF44)</f>
        <v>3062345</v>
      </c>
      <c r="AG45" s="10">
        <f>SUM(AG41:AG44)</f>
        <v>3015384</v>
      </c>
      <c r="AH45" s="10">
        <f>SUM(AH41:AH44)</f>
        <v>3108580</v>
      </c>
      <c r="AJ45" s="10">
        <f>SUM(AJ41:AJ44)</f>
        <v>3152128</v>
      </c>
      <c r="AK45" s="10">
        <f>SUM(AK41:AK44)</f>
        <v>3200986</v>
      </c>
      <c r="AL45" s="10">
        <f t="shared" ref="AL45:AM45" si="4">SUM(AL41:AL44)</f>
        <v>3300727</v>
      </c>
      <c r="AM45" s="10">
        <f t="shared" si="4"/>
        <v>3316849</v>
      </c>
    </row>
    <row r="46" spans="1:39" x14ac:dyDescent="0.2">
      <c r="D46" s="3"/>
      <c r="F46" s="3"/>
      <c r="G46" s="3"/>
      <c r="H46" s="3"/>
      <c r="I46" s="3"/>
      <c r="K46" s="3"/>
      <c r="L46" s="3"/>
      <c r="M46" s="3"/>
      <c r="N46" s="3"/>
      <c r="P46" s="3"/>
      <c r="Q46" s="3"/>
      <c r="R46" s="3"/>
      <c r="S46" s="3"/>
      <c r="U46" s="3"/>
      <c r="V46" s="3"/>
      <c r="W46" s="3"/>
      <c r="X46" s="3"/>
      <c r="Z46" s="3"/>
      <c r="AA46" s="3"/>
      <c r="AB46" s="3"/>
      <c r="AC46" s="3"/>
      <c r="AE46" s="3"/>
      <c r="AF46" s="3"/>
      <c r="AG46" s="3"/>
      <c r="AH46" s="3"/>
      <c r="AJ46" s="3"/>
      <c r="AK46" s="3"/>
      <c r="AL46" s="3"/>
      <c r="AM46" s="3"/>
    </row>
    <row r="47" spans="1:39" ht="13.5" thickBot="1" x14ac:dyDescent="0.25">
      <c r="A47" s="8" t="s">
        <v>87</v>
      </c>
      <c r="B47" s="8"/>
      <c r="C47" s="8"/>
      <c r="D47" s="48">
        <f>+D38+D45</f>
        <v>7125549</v>
      </c>
      <c r="E47" s="46"/>
      <c r="F47" s="48">
        <f>+F38+F45</f>
        <v>7441944</v>
      </c>
      <c r="G47" s="48">
        <f>+G38+G45</f>
        <v>7637137</v>
      </c>
      <c r="H47" s="48">
        <f>+H38+H45</f>
        <v>7907781</v>
      </c>
      <c r="I47" s="48">
        <f>+I38+I45</f>
        <v>8331543</v>
      </c>
      <c r="J47" s="46"/>
      <c r="K47" s="48">
        <f>+K38+K45</f>
        <v>8598163</v>
      </c>
      <c r="L47" s="48">
        <f>+L38+L45</f>
        <v>8871440</v>
      </c>
      <c r="M47" s="48">
        <f>+M38+M45</f>
        <v>9297683</v>
      </c>
      <c r="N47" s="48">
        <f>+N38+N45</f>
        <v>9888602</v>
      </c>
      <c r="O47" s="47"/>
      <c r="P47" s="48">
        <f>+P38+P45</f>
        <v>10450454</v>
      </c>
      <c r="Q47" s="48">
        <f>+Q38+Q45</f>
        <v>10933774</v>
      </c>
      <c r="R47" s="48">
        <f>+R38+R45</f>
        <v>11303875</v>
      </c>
      <c r="S47" s="48">
        <f>+S38+S45</f>
        <v>11707157</v>
      </c>
      <c r="U47" s="48">
        <f>+U38+U45</f>
        <v>12148960</v>
      </c>
      <c r="V47" s="48">
        <f>+V38+V45</f>
        <v>12399913</v>
      </c>
      <c r="W47" s="48">
        <f>+W38+W45</f>
        <v>12843406</v>
      </c>
      <c r="X47" s="48">
        <f>+X38+X45</f>
        <v>13198201</v>
      </c>
      <c r="Z47" s="48">
        <f>+Z38+Z45</f>
        <v>13649449</v>
      </c>
      <c r="AA47" s="48">
        <f>+AA38+AA45</f>
        <v>13930923</v>
      </c>
      <c r="AB47" s="48">
        <f>+AB38+AB45</f>
        <v>14360028</v>
      </c>
      <c r="AC47" s="48">
        <f>+AC38+AC45</f>
        <v>14459911</v>
      </c>
      <c r="AE47" s="48">
        <f>+AE38+AE45</f>
        <v>14789927</v>
      </c>
      <c r="AF47" s="48">
        <f>+AF38+AF45</f>
        <v>15504332</v>
      </c>
      <c r="AG47" s="48">
        <f>+AG38+AG45</f>
        <v>15760067</v>
      </c>
      <c r="AH47" s="48">
        <f>+AH38+AH45</f>
        <v>16279356</v>
      </c>
      <c r="AJ47" s="48">
        <f>+AJ38+AJ45</f>
        <v>16475689</v>
      </c>
      <c r="AK47" s="48">
        <f>+AK38+AK45</f>
        <v>16875733</v>
      </c>
      <c r="AL47" s="48">
        <f t="shared" ref="AL47:AM47" si="5">+AL38+AL45</f>
        <v>17303414</v>
      </c>
      <c r="AM47" s="48">
        <f t="shared" si="5"/>
        <v>17486272</v>
      </c>
    </row>
    <row r="48" spans="1:39" ht="13.5" thickTop="1" x14ac:dyDescent="0.2">
      <c r="D48" s="13" t="str">
        <f>IF(D20-D47=0," ",D20-D47)</f>
        <v xml:space="preserve"> </v>
      </c>
      <c r="F48" s="13" t="str">
        <f>IF(F20-F47=0," ",F20-F47)</f>
        <v xml:space="preserve"> </v>
      </c>
      <c r="G48" s="13" t="str">
        <f>IF(G20-G47=0," ",G20-G47)</f>
        <v xml:space="preserve"> </v>
      </c>
      <c r="H48" s="13" t="str">
        <f>IF(H20-H47=0," ",H20-H47)</f>
        <v xml:space="preserve"> </v>
      </c>
      <c r="I48" s="13" t="str">
        <f>IF(I20-I47=0," ",I20-I47)</f>
        <v xml:space="preserve"> </v>
      </c>
      <c r="K48" s="13" t="str">
        <f>IF(K20-K47=0," ",K20-K47)</f>
        <v xml:space="preserve"> </v>
      </c>
      <c r="L48" s="13" t="str">
        <f>IF(L20-L47=0," ",L20-L47)</f>
        <v xml:space="preserve"> </v>
      </c>
      <c r="M48" s="13" t="str">
        <f>IF(M20-M47=0," ",M20-M47)</f>
        <v xml:space="preserve"> </v>
      </c>
      <c r="N48" s="13" t="str">
        <f>IF(N20-N47=0," ",N20-N47)</f>
        <v xml:space="preserve"> </v>
      </c>
      <c r="P48" s="13" t="str">
        <f>IF(P20-P47=0," ",P20-P47)</f>
        <v xml:space="preserve"> </v>
      </c>
      <c r="Q48" s="13" t="str">
        <f>IF(Q20-Q47=0," ",Q20-Q47)</f>
        <v xml:space="preserve"> </v>
      </c>
      <c r="R48" s="13" t="str">
        <f>IF(R20-R47=0," ",R20-R47)</f>
        <v xml:space="preserve"> </v>
      </c>
      <c r="S48" s="13" t="str">
        <f>IF(S20-S47=0," ",S20-S47)</f>
        <v xml:space="preserve"> </v>
      </c>
      <c r="U48" s="13" t="str">
        <f>IF(U20-U47=0," ",U20-U47)</f>
        <v xml:space="preserve"> </v>
      </c>
      <c r="V48" s="13" t="str">
        <f>IF(V20-V47=0," ",V20-V47)</f>
        <v xml:space="preserve"> </v>
      </c>
      <c r="W48" s="13" t="str">
        <f>IF(W20-W47=0," ",W20-W47)</f>
        <v xml:space="preserve"> </v>
      </c>
      <c r="X48" s="13" t="str">
        <f>IF(X20-X47=0," ",X20-X47)</f>
        <v xml:space="preserve"> </v>
      </c>
      <c r="Z48" s="13" t="str">
        <f>IF(Z20-Z47=0," ",Z20-Z47)</f>
        <v xml:space="preserve"> </v>
      </c>
      <c r="AA48" s="13" t="str">
        <f>IF(AA20-AA47=0," ",AA20-AA47)</f>
        <v xml:space="preserve"> </v>
      </c>
      <c r="AB48" s="13" t="str">
        <f>IF(AB20-AB47=0," ",AB20-AB47)</f>
        <v xml:space="preserve"> </v>
      </c>
      <c r="AC48" s="13" t="str">
        <f>IF(AC20-AC47=0," ",AC20-AC47)</f>
        <v xml:space="preserve"> </v>
      </c>
      <c r="AE48" s="13" t="str">
        <f>IF(AE20-AE47=0," ",AE20-AE47)</f>
        <v xml:space="preserve"> </v>
      </c>
      <c r="AF48" s="13" t="str">
        <f>IF(AF20-AF47=0," ",AF20-AF47)</f>
        <v xml:space="preserve"> </v>
      </c>
      <c r="AG48" s="13"/>
      <c r="AH48" s="13"/>
      <c r="AJ48" s="13" t="str">
        <f>IF(AJ20-AJ47=0," ",AJ20-AJ47)</f>
        <v xml:space="preserve"> </v>
      </c>
      <c r="AK48" s="13"/>
      <c r="AL48" s="13"/>
      <c r="AM48" s="13"/>
    </row>
    <row r="50" spans="1:37" x14ac:dyDescent="0.2">
      <c r="AA50" s="13"/>
      <c r="AE50" s="13"/>
      <c r="AJ50" s="13"/>
    </row>
    <row r="51" spans="1:37" x14ac:dyDescent="0.2">
      <c r="A51" s="51" t="s">
        <v>99</v>
      </c>
      <c r="B51" s="51" t="s">
        <v>184</v>
      </c>
      <c r="J51" s="51"/>
      <c r="K51" s="51"/>
      <c r="L51" s="1"/>
      <c r="O51" s="51"/>
      <c r="P51" s="51"/>
      <c r="Q51" s="1"/>
      <c r="T51" s="51"/>
      <c r="U51" s="51"/>
      <c r="V51" s="1"/>
      <c r="Y51" s="51"/>
      <c r="Z51" s="51"/>
      <c r="AA51" s="1"/>
      <c r="AD51" s="51"/>
      <c r="AE51" s="51"/>
      <c r="AF51" s="1"/>
      <c r="AI51" s="51"/>
      <c r="AJ51" s="51"/>
      <c r="AK51" s="1"/>
    </row>
    <row r="52" spans="1:37" x14ac:dyDescent="0.2">
      <c r="B52" s="1" t="s">
        <v>178</v>
      </c>
      <c r="J52" s="1"/>
      <c r="K52" s="1"/>
      <c r="L52" s="1"/>
      <c r="O52" s="1"/>
      <c r="P52" s="1"/>
      <c r="Q52" s="1"/>
      <c r="T52" s="1"/>
      <c r="U52" s="1"/>
      <c r="V52" s="1"/>
      <c r="Y52" s="1"/>
      <c r="Z52" s="1"/>
      <c r="AA52" s="1"/>
      <c r="AD52" s="1"/>
      <c r="AE52" s="1"/>
      <c r="AF52" s="1"/>
      <c r="AI52" s="1"/>
      <c r="AJ52" s="1"/>
      <c r="AK52" s="1"/>
    </row>
    <row r="53" spans="1:37" x14ac:dyDescent="0.2">
      <c r="A53" s="51"/>
      <c r="B53" s="51" t="s">
        <v>179</v>
      </c>
      <c r="J53" s="51"/>
      <c r="K53" s="51"/>
      <c r="L53" s="1"/>
      <c r="O53" s="51"/>
      <c r="P53" s="51"/>
      <c r="Q53" s="1"/>
      <c r="T53" s="51"/>
      <c r="U53" s="51"/>
      <c r="V53" s="1"/>
      <c r="Y53" s="51"/>
      <c r="Z53" s="51"/>
      <c r="AA53" s="1"/>
      <c r="AD53" s="51"/>
      <c r="AE53" s="51"/>
      <c r="AF53" s="1"/>
      <c r="AI53" s="51"/>
      <c r="AJ53" s="51"/>
      <c r="AK53" s="1"/>
    </row>
    <row r="54" spans="1:37" x14ac:dyDescent="0.2">
      <c r="A54" s="50"/>
      <c r="B54" s="51" t="s">
        <v>180</v>
      </c>
      <c r="J54" s="50"/>
      <c r="K54" s="51"/>
      <c r="L54" s="1"/>
      <c r="O54" s="50"/>
      <c r="P54" s="51"/>
      <c r="Q54" s="1"/>
      <c r="T54" s="50"/>
      <c r="U54" s="51"/>
      <c r="V54" s="1"/>
      <c r="Y54" s="50"/>
      <c r="Z54" s="51"/>
      <c r="AA54" s="1"/>
      <c r="AD54" s="50"/>
      <c r="AE54" s="51"/>
      <c r="AF54" s="1"/>
      <c r="AI54" s="50"/>
      <c r="AJ54" s="51"/>
      <c r="AK54" s="1"/>
    </row>
    <row r="55" spans="1:37" x14ac:dyDescent="0.2">
      <c r="A55" s="1" t="s">
        <v>181</v>
      </c>
      <c r="J55" s="1"/>
      <c r="K55" s="1"/>
      <c r="L55" s="1"/>
      <c r="O55" s="1"/>
      <c r="P55" s="1"/>
      <c r="Q55" s="1"/>
      <c r="T55" s="1"/>
      <c r="U55" s="1"/>
      <c r="V55" s="1"/>
      <c r="Y55" s="1"/>
      <c r="Z55" s="1"/>
      <c r="AA55" s="1"/>
      <c r="AD55" s="1"/>
      <c r="AE55" s="1"/>
      <c r="AF55" s="1"/>
      <c r="AI55" s="1"/>
      <c r="AJ55" s="1"/>
      <c r="AK55" s="1"/>
    </row>
    <row r="56" spans="1:37" x14ac:dyDescent="0.2">
      <c r="B56" s="51" t="s">
        <v>182</v>
      </c>
      <c r="J56" s="1"/>
      <c r="K56" s="51"/>
      <c r="L56" s="1"/>
      <c r="O56" s="1"/>
      <c r="P56" s="51"/>
      <c r="Q56" s="1"/>
      <c r="T56" s="1"/>
      <c r="U56" s="51"/>
      <c r="V56" s="1"/>
      <c r="Y56" s="1"/>
      <c r="Z56" s="51"/>
      <c r="AA56" s="1"/>
      <c r="AD56" s="1"/>
      <c r="AE56" s="51"/>
      <c r="AF56" s="1"/>
      <c r="AI56" s="1"/>
      <c r="AJ56" s="51"/>
      <c r="AK56" s="1"/>
    </row>
    <row r="57" spans="1:37" x14ac:dyDescent="0.2">
      <c r="B57" s="1" t="s">
        <v>183</v>
      </c>
      <c r="J57" s="1"/>
      <c r="K57" s="1"/>
      <c r="L57" s="1"/>
      <c r="O57" s="1"/>
      <c r="P57" s="1"/>
      <c r="Q57" s="1"/>
      <c r="T57" s="1"/>
      <c r="U57" s="1"/>
      <c r="V57" s="1"/>
      <c r="Y57" s="1"/>
      <c r="Z57" s="1"/>
      <c r="AA57" s="1"/>
      <c r="AD57" s="1"/>
      <c r="AE57" s="1"/>
      <c r="AF57" s="1"/>
      <c r="AI57" s="1"/>
      <c r="AJ57" s="1"/>
      <c r="AK57" s="1"/>
    </row>
  </sheetData>
  <mergeCells count="7">
    <mergeCell ref="AJ3:AM3"/>
    <mergeCell ref="AE3:AH3"/>
    <mergeCell ref="F3:I3"/>
    <mergeCell ref="K3:N3"/>
    <mergeCell ref="P3:S3"/>
    <mergeCell ref="U3:X3"/>
    <mergeCell ref="Z3:AC3"/>
  </mergeCells>
  <phoneticPr fontId="2" type="noConversion"/>
  <pageMargins left="0.45" right="0.75" top="0.56999999999999995" bottom="0.57999999999999996" header="0.5" footer="0.5"/>
  <pageSetup fitToWidth="5" orientation="portrait" r:id="rId1"/>
  <headerFooter alignWithMargins="0"/>
  <colBreaks count="6" manualBreakCount="6">
    <brk id="9" max="52" man="1"/>
    <brk id="14" max="1048575" man="1"/>
    <brk id="19" max="1048575" man="1"/>
    <brk id="24" max="1048575" man="1"/>
    <brk id="29" max="1048575" man="1"/>
    <brk id="3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66"/>
  <sheetViews>
    <sheetView zoomScaleNormal="100" workbookViewId="0">
      <pane xSplit="4" ySplit="5" topLeftCell="AA12" activePane="bottomRight" state="frozen"/>
      <selection pane="topRight" activeCell="E1" sqref="E1"/>
      <selection pane="bottomLeft" activeCell="A6" sqref="A6"/>
      <selection pane="bottomRight" activeCell="C3" sqref="C3"/>
    </sheetView>
  </sheetViews>
  <sheetFormatPr defaultRowHeight="12.75" x14ac:dyDescent="0.2"/>
  <cols>
    <col min="1" max="1" width="4.140625" style="1" customWidth="1"/>
    <col min="2" max="2" width="3.85546875" style="1" customWidth="1"/>
    <col min="3" max="3" width="33.5703125" style="1" customWidth="1"/>
    <col min="4" max="4" width="3" style="4" customWidth="1"/>
    <col min="5" max="5" width="10.7109375" style="4" customWidth="1"/>
    <col min="6" max="6" width="3.7109375" style="4" customWidth="1"/>
    <col min="7" max="10" width="10.7109375" style="4" customWidth="1"/>
    <col min="11" max="11" width="3.7109375" style="4" customWidth="1"/>
    <col min="12" max="14" width="10.7109375" style="4" customWidth="1"/>
    <col min="15" max="15" width="10.7109375" style="13" customWidth="1"/>
    <col min="16" max="16" width="3.7109375" style="13" customWidth="1"/>
    <col min="17" max="17" width="10.7109375" style="13" customWidth="1"/>
    <col min="18" max="20" width="10.7109375" customWidth="1"/>
    <col min="21" max="21" width="3.7109375" customWidth="1"/>
    <col min="22" max="25" width="10.7109375" customWidth="1"/>
    <col min="26" max="26" width="3.7109375" customWidth="1"/>
    <col min="27" max="30" width="10.7109375" customWidth="1"/>
    <col min="31" max="31" width="3.7109375" customWidth="1"/>
    <col min="32" max="35" width="10.7109375" customWidth="1"/>
    <col min="36" max="36" width="3.7109375" customWidth="1"/>
    <col min="37" max="40" width="10.7109375" customWidth="1"/>
  </cols>
  <sheetData>
    <row r="1" spans="1:40" x14ac:dyDescent="0.2">
      <c r="A1" s="8" t="s">
        <v>147</v>
      </c>
    </row>
    <row r="2" spans="1:40" x14ac:dyDescent="0.2">
      <c r="A2" s="8" t="s">
        <v>97</v>
      </c>
    </row>
    <row r="3" spans="1:40" x14ac:dyDescent="0.2">
      <c r="A3" s="1" t="s">
        <v>162</v>
      </c>
      <c r="C3" s="53" t="str">
        <f>+'Income Statement Info'!C4</f>
        <v>April 4, 2018</v>
      </c>
      <c r="G3" s="57" t="s">
        <v>68</v>
      </c>
      <c r="H3" s="57"/>
      <c r="I3" s="57"/>
      <c r="J3" s="57"/>
      <c r="L3" s="57" t="s">
        <v>36</v>
      </c>
      <c r="M3" s="57"/>
      <c r="N3" s="57"/>
      <c r="O3" s="57"/>
      <c r="Q3" s="57" t="s">
        <v>45</v>
      </c>
      <c r="R3" s="57"/>
      <c r="S3" s="57"/>
      <c r="T3" s="57"/>
      <c r="V3" s="57" t="s">
        <v>148</v>
      </c>
      <c r="W3" s="57"/>
      <c r="X3" s="57"/>
      <c r="Y3" s="57"/>
      <c r="AA3" s="57" t="s">
        <v>167</v>
      </c>
      <c r="AB3" s="57"/>
      <c r="AC3" s="57"/>
      <c r="AD3" s="57"/>
      <c r="AF3" s="57" t="s">
        <v>194</v>
      </c>
      <c r="AG3" s="57"/>
      <c r="AH3" s="57"/>
      <c r="AI3" s="57"/>
      <c r="AK3" s="57" t="s">
        <v>200</v>
      </c>
      <c r="AL3" s="57"/>
      <c r="AM3" s="57"/>
      <c r="AN3" s="57"/>
    </row>
    <row r="4" spans="1:40" s="19" customFormat="1" x14ac:dyDescent="0.2">
      <c r="B4" s="8"/>
      <c r="C4" s="8"/>
      <c r="D4" s="17"/>
      <c r="E4" s="37" t="s">
        <v>85</v>
      </c>
      <c r="F4" s="17"/>
      <c r="G4" s="37" t="s">
        <v>70</v>
      </c>
      <c r="H4" s="37" t="s">
        <v>72</v>
      </c>
      <c r="I4" s="37" t="s">
        <v>74</v>
      </c>
      <c r="J4" s="37" t="s">
        <v>85</v>
      </c>
      <c r="K4" s="17"/>
      <c r="L4" s="37" t="s">
        <v>70</v>
      </c>
      <c r="M4" s="37" t="s">
        <v>72</v>
      </c>
      <c r="N4" s="37" t="s">
        <v>74</v>
      </c>
      <c r="O4" s="37" t="s">
        <v>85</v>
      </c>
      <c r="P4" s="18"/>
      <c r="Q4" s="37" t="s">
        <v>70</v>
      </c>
      <c r="R4" s="37" t="s">
        <v>72</v>
      </c>
      <c r="S4" s="37" t="s">
        <v>74</v>
      </c>
      <c r="T4" s="37" t="s">
        <v>85</v>
      </c>
      <c r="V4" s="37" t="s">
        <v>70</v>
      </c>
      <c r="W4" s="37" t="s">
        <v>72</v>
      </c>
      <c r="X4" s="37" t="s">
        <v>74</v>
      </c>
      <c r="Y4" s="37" t="s">
        <v>85</v>
      </c>
      <c r="AA4" s="37" t="s">
        <v>70</v>
      </c>
      <c r="AB4" s="37" t="s">
        <v>72</v>
      </c>
      <c r="AC4" s="37" t="s">
        <v>74</v>
      </c>
      <c r="AD4" s="37" t="s">
        <v>85</v>
      </c>
      <c r="AF4" s="37" t="s">
        <v>70</v>
      </c>
      <c r="AG4" s="37" t="s">
        <v>72</v>
      </c>
      <c r="AH4" s="37" t="s">
        <v>74</v>
      </c>
      <c r="AI4" s="37" t="s">
        <v>85</v>
      </c>
      <c r="AK4" s="37" t="s">
        <v>70</v>
      </c>
      <c r="AL4" s="37" t="s">
        <v>72</v>
      </c>
      <c r="AM4" s="37" t="s">
        <v>74</v>
      </c>
      <c r="AN4" s="37" t="s">
        <v>85</v>
      </c>
    </row>
    <row r="5" spans="1:40" s="19" customFormat="1" x14ac:dyDescent="0.2">
      <c r="A5" s="9"/>
      <c r="B5" s="8"/>
      <c r="C5" s="8"/>
      <c r="D5" s="17"/>
      <c r="E5" s="42" t="s">
        <v>86</v>
      </c>
      <c r="F5" s="20"/>
      <c r="G5" s="42" t="s">
        <v>71</v>
      </c>
      <c r="H5" s="42" t="s">
        <v>73</v>
      </c>
      <c r="I5" s="42" t="s">
        <v>75</v>
      </c>
      <c r="J5" s="42" t="s">
        <v>76</v>
      </c>
      <c r="K5" s="17"/>
      <c r="L5" s="42" t="s">
        <v>77</v>
      </c>
      <c r="M5" s="42" t="s">
        <v>78</v>
      </c>
      <c r="N5" s="42" t="s">
        <v>79</v>
      </c>
      <c r="O5" s="42" t="s">
        <v>80</v>
      </c>
      <c r="P5" s="18"/>
      <c r="Q5" s="42" t="s">
        <v>81</v>
      </c>
      <c r="R5" s="42" t="s">
        <v>82</v>
      </c>
      <c r="S5" s="42" t="s">
        <v>83</v>
      </c>
      <c r="T5" s="42" t="s">
        <v>84</v>
      </c>
      <c r="V5" s="42" t="s">
        <v>152</v>
      </c>
      <c r="W5" s="42" t="s">
        <v>153</v>
      </c>
      <c r="X5" s="42" t="s">
        <v>154</v>
      </c>
      <c r="Y5" s="42" t="s">
        <v>155</v>
      </c>
      <c r="AA5" s="42" t="s">
        <v>171</v>
      </c>
      <c r="AB5" s="42" t="s">
        <v>172</v>
      </c>
      <c r="AC5" s="42" t="s">
        <v>173</v>
      </c>
      <c r="AD5" s="42" t="s">
        <v>174</v>
      </c>
      <c r="AF5" s="42" t="s">
        <v>195</v>
      </c>
      <c r="AG5" s="42" t="s">
        <v>196</v>
      </c>
      <c r="AH5" s="42" t="s">
        <v>197</v>
      </c>
      <c r="AI5" s="42" t="s">
        <v>198</v>
      </c>
      <c r="AK5" s="42" t="s">
        <v>207</v>
      </c>
      <c r="AL5" s="42" t="s">
        <v>208</v>
      </c>
      <c r="AM5" s="42" t="s">
        <v>209</v>
      </c>
      <c r="AN5" s="42" t="s">
        <v>210</v>
      </c>
    </row>
    <row r="6" spans="1:40" x14ac:dyDescent="0.2">
      <c r="A6" s="8" t="s">
        <v>15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45"/>
      <c r="P6" s="45"/>
      <c r="Q6" s="45"/>
      <c r="R6" s="41"/>
    </row>
    <row r="7" spans="1:40" x14ac:dyDescent="0.2">
      <c r="A7" s="1" t="s">
        <v>16</v>
      </c>
      <c r="E7" s="24">
        <v>377495</v>
      </c>
      <c r="F7" s="24"/>
      <c r="G7" s="24">
        <v>125500</v>
      </c>
      <c r="H7" s="24">
        <v>236654</v>
      </c>
      <c r="I7" s="24">
        <v>318764</v>
      </c>
      <c r="J7" s="24">
        <v>413795</v>
      </c>
      <c r="K7" s="24"/>
      <c r="L7" s="24">
        <v>120746</v>
      </c>
      <c r="M7" s="24">
        <v>232382</v>
      </c>
      <c r="N7" s="24">
        <v>327063</v>
      </c>
      <c r="O7" s="24">
        <v>434284</v>
      </c>
      <c r="P7" s="47"/>
      <c r="Q7" s="24">
        <v>146651</v>
      </c>
      <c r="R7" s="24">
        <v>286925</v>
      </c>
      <c r="S7" s="24">
        <v>393377</v>
      </c>
      <c r="T7" s="24">
        <v>492586</v>
      </c>
      <c r="V7" s="24">
        <v>169653</v>
      </c>
      <c r="W7" s="24">
        <v>324171</v>
      </c>
      <c r="X7" s="24">
        <v>454220</v>
      </c>
      <c r="Y7" s="24">
        <v>597358</v>
      </c>
      <c r="AA7" s="24">
        <v>181974</v>
      </c>
      <c r="AB7" s="24">
        <v>354202</v>
      </c>
      <c r="AC7" s="24">
        <v>482401</v>
      </c>
      <c r="AD7" s="24">
        <v>623428</v>
      </c>
      <c r="AF7" s="24">
        <v>175360</v>
      </c>
      <c r="AG7" s="24">
        <v>337722</v>
      </c>
      <c r="AH7" s="24">
        <v>474367</v>
      </c>
      <c r="AI7" s="24">
        <v>626970</v>
      </c>
      <c r="AK7" s="24">
        <v>211702</v>
      </c>
      <c r="AL7" s="24">
        <v>393126</v>
      </c>
      <c r="AM7" s="24">
        <v>541966</v>
      </c>
      <c r="AN7" s="24">
        <v>664112</v>
      </c>
    </row>
    <row r="8" spans="1:40" x14ac:dyDescent="0.2">
      <c r="A8" s="1" t="s">
        <v>17</v>
      </c>
      <c r="O8" s="4"/>
      <c r="Q8" s="4"/>
      <c r="R8" s="4"/>
      <c r="S8" s="4"/>
      <c r="T8" s="4"/>
      <c r="V8" s="4"/>
      <c r="W8" s="4"/>
      <c r="AA8" s="4"/>
      <c r="AB8" s="4"/>
      <c r="AF8" s="4"/>
      <c r="AG8" s="4"/>
      <c r="AK8" s="4"/>
      <c r="AL8" s="4"/>
    </row>
    <row r="9" spans="1:40" x14ac:dyDescent="0.2">
      <c r="B9" s="1" t="s">
        <v>88</v>
      </c>
      <c r="E9" s="4">
        <v>76321</v>
      </c>
      <c r="G9" s="4">
        <v>19629</v>
      </c>
      <c r="H9" s="4">
        <v>39454</v>
      </c>
      <c r="I9" s="4">
        <v>60696</v>
      </c>
      <c r="J9" s="4">
        <v>82812</v>
      </c>
      <c r="L9" s="4">
        <v>22982</v>
      </c>
      <c r="M9" s="4">
        <v>46442</v>
      </c>
      <c r="N9" s="4">
        <v>70721</v>
      </c>
      <c r="O9" s="4">
        <v>95283</v>
      </c>
      <c r="Q9" s="4">
        <v>24335</v>
      </c>
      <c r="R9" s="4">
        <v>49160</v>
      </c>
      <c r="S9" s="4">
        <v>73983</v>
      </c>
      <c r="T9" s="4">
        <v>101911</v>
      </c>
      <c r="V9" s="4">
        <v>27343</v>
      </c>
      <c r="W9" s="4">
        <v>55766</v>
      </c>
      <c r="X9" s="4">
        <v>84994</v>
      </c>
      <c r="Y9" s="4">
        <v>115173</v>
      </c>
      <c r="AA9" s="4">
        <v>32066</v>
      </c>
      <c r="AB9" s="4">
        <v>65188</v>
      </c>
      <c r="AC9" s="4">
        <v>100504</v>
      </c>
      <c r="AD9" s="4">
        <v>137360</v>
      </c>
      <c r="AF9" s="4">
        <v>40801</v>
      </c>
      <c r="AG9" s="4">
        <v>83013</v>
      </c>
      <c r="AH9" s="4">
        <v>125654</v>
      </c>
      <c r="AI9" s="4">
        <v>168875</v>
      </c>
      <c r="AK9" s="4">
        <v>43894</v>
      </c>
      <c r="AL9" s="4">
        <v>88078</v>
      </c>
      <c r="AM9" s="4">
        <v>133175</v>
      </c>
      <c r="AN9" s="4">
        <v>179942</v>
      </c>
    </row>
    <row r="10" spans="1:40" x14ac:dyDescent="0.2">
      <c r="B10" s="1" t="s">
        <v>92</v>
      </c>
      <c r="E10" s="4">
        <v>43606</v>
      </c>
      <c r="G10" s="4">
        <v>15010</v>
      </c>
      <c r="H10" s="4">
        <v>26303</v>
      </c>
      <c r="I10" s="4">
        <v>37148</v>
      </c>
      <c r="J10" s="4">
        <v>48089</v>
      </c>
      <c r="L10" s="4">
        <v>15592</v>
      </c>
      <c r="M10" s="4">
        <v>30206</v>
      </c>
      <c r="N10" s="4">
        <v>46597</v>
      </c>
      <c r="O10" s="4">
        <v>62112</v>
      </c>
      <c r="Q10" s="4">
        <v>22941</v>
      </c>
      <c r="R10" s="4">
        <v>38002</v>
      </c>
      <c r="S10" s="4">
        <v>54948</v>
      </c>
      <c r="T10" s="4">
        <v>66480</v>
      </c>
      <c r="V10" s="4">
        <v>15388</v>
      </c>
      <c r="W10" s="4">
        <v>37778</v>
      </c>
      <c r="X10" s="4">
        <v>57192</v>
      </c>
      <c r="Y10" s="4">
        <v>81880</v>
      </c>
      <c r="AA10" s="4">
        <v>23409</v>
      </c>
      <c r="AB10" s="4">
        <v>33506</v>
      </c>
      <c r="AC10" s="4">
        <v>45284</v>
      </c>
      <c r="AD10" s="4">
        <v>51077</v>
      </c>
      <c r="AF10" s="4">
        <v>31437</v>
      </c>
      <c r="AG10" s="4">
        <v>60561</v>
      </c>
      <c r="AH10" s="4">
        <v>72026</v>
      </c>
      <c r="AI10" s="4">
        <v>91595</v>
      </c>
      <c r="AK10" s="4">
        <v>18726</v>
      </c>
      <c r="AL10" s="4">
        <v>36585</v>
      </c>
      <c r="AM10" s="4">
        <v>52363</v>
      </c>
      <c r="AN10" s="4">
        <v>61879</v>
      </c>
    </row>
    <row r="11" spans="1:40" x14ac:dyDescent="0.2">
      <c r="B11" s="1" t="s">
        <v>18</v>
      </c>
      <c r="E11" s="4">
        <v>27749</v>
      </c>
      <c r="G11" s="4">
        <v>-1047</v>
      </c>
      <c r="H11" s="4">
        <v>9783</v>
      </c>
      <c r="I11" s="4">
        <v>24878</v>
      </c>
      <c r="J11" s="4">
        <v>36439</v>
      </c>
      <c r="L11" s="4">
        <v>9176</v>
      </c>
      <c r="M11" s="4">
        <v>22090</v>
      </c>
      <c r="N11" s="4">
        <v>40154</v>
      </c>
      <c r="O11" s="4">
        <v>56168</v>
      </c>
      <c r="Q11" s="4">
        <v>11299</v>
      </c>
      <c r="R11" s="4">
        <v>29318</v>
      </c>
      <c r="S11" s="4">
        <v>48993</v>
      </c>
      <c r="T11" s="4">
        <v>72212</v>
      </c>
      <c r="V11" s="4">
        <v>15847</v>
      </c>
      <c r="W11" s="4">
        <v>36208</v>
      </c>
      <c r="X11" s="4">
        <v>60274</v>
      </c>
      <c r="Y11" s="4">
        <v>82343</v>
      </c>
      <c r="AA11" s="4">
        <v>13598</v>
      </c>
      <c r="AB11" s="4">
        <v>39244</v>
      </c>
      <c r="AC11" s="4">
        <v>70165</v>
      </c>
      <c r="AD11" s="4">
        <v>101199</v>
      </c>
      <c r="AF11" s="4">
        <v>26591</v>
      </c>
      <c r="AG11" s="4">
        <v>62349</v>
      </c>
      <c r="AH11" s="4">
        <v>104249</v>
      </c>
      <c r="AI11" s="4">
        <v>150598</v>
      </c>
      <c r="AK11" s="4">
        <v>28579</v>
      </c>
      <c r="AL11" s="4">
        <v>61465</v>
      </c>
      <c r="AM11" s="4">
        <v>98982</v>
      </c>
      <c r="AN11" s="4">
        <v>137591</v>
      </c>
    </row>
    <row r="12" spans="1:40" x14ac:dyDescent="0.2">
      <c r="B12" s="1" t="s">
        <v>98</v>
      </c>
      <c r="E12" s="16">
        <v>19374</v>
      </c>
      <c r="G12" s="16">
        <v>6289</v>
      </c>
      <c r="H12" s="16">
        <v>12294</v>
      </c>
      <c r="I12" s="16">
        <v>17701</v>
      </c>
      <c r="J12" s="4">
        <v>22840</v>
      </c>
      <c r="L12" s="16">
        <v>6824</v>
      </c>
      <c r="M12" s="16">
        <v>13557</v>
      </c>
      <c r="N12" s="16">
        <v>20129</v>
      </c>
      <c r="O12" s="4">
        <v>31667</v>
      </c>
      <c r="Q12" s="16">
        <v>9123</v>
      </c>
      <c r="R12" s="16">
        <v>18324</v>
      </c>
      <c r="S12" s="16">
        <v>35247</v>
      </c>
      <c r="T12" s="4">
        <v>76746</v>
      </c>
      <c r="V12" s="4">
        <v>21118</v>
      </c>
      <c r="W12" s="4">
        <v>38463</v>
      </c>
      <c r="X12" s="4">
        <v>53764</v>
      </c>
      <c r="Y12" s="4">
        <v>70987</v>
      </c>
      <c r="AA12" s="4">
        <v>20330</v>
      </c>
      <c r="AB12" s="4">
        <v>42459</v>
      </c>
      <c r="AC12" s="4">
        <v>61048</v>
      </c>
      <c r="AD12" s="4">
        <v>77118</v>
      </c>
      <c r="AF12" s="4">
        <v>18692</v>
      </c>
      <c r="AG12" s="4">
        <v>35893</v>
      </c>
      <c r="AH12" s="4">
        <v>51768</v>
      </c>
      <c r="AI12" s="4">
        <v>64120</v>
      </c>
      <c r="AK12" s="4">
        <v>17113</v>
      </c>
      <c r="AL12" s="4">
        <v>34488</v>
      </c>
      <c r="AM12" s="4">
        <v>50850</v>
      </c>
      <c r="AN12" s="4">
        <v>62749</v>
      </c>
    </row>
    <row r="13" spans="1:40" x14ac:dyDescent="0.2">
      <c r="B13" s="1" t="s">
        <v>93</v>
      </c>
      <c r="E13" s="4">
        <v>17493</v>
      </c>
      <c r="G13" s="4">
        <v>8426</v>
      </c>
      <c r="H13" s="4">
        <v>3608</v>
      </c>
      <c r="I13" s="4">
        <v>-5014</v>
      </c>
      <c r="J13" s="4">
        <v>-872</v>
      </c>
      <c r="L13" s="4">
        <v>7511</v>
      </c>
      <c r="M13" s="4">
        <v>-76</v>
      </c>
      <c r="N13" s="4">
        <v>-6569</v>
      </c>
      <c r="O13" s="4">
        <v>3858</v>
      </c>
      <c r="Q13" s="4">
        <v>6695</v>
      </c>
      <c r="R13" s="4">
        <v>-3200</v>
      </c>
      <c r="S13" s="4">
        <v>-4576</v>
      </c>
      <c r="T13" s="4">
        <v>-17185</v>
      </c>
      <c r="V13" s="4">
        <v>771</v>
      </c>
      <c r="W13" s="4">
        <v>-6530</v>
      </c>
      <c r="X13" s="4">
        <v>-13347</v>
      </c>
      <c r="Y13" s="4">
        <f>-4300+1</f>
        <v>-4299</v>
      </c>
      <c r="AA13" s="4">
        <v>10475</v>
      </c>
      <c r="AB13" s="4">
        <v>-738</v>
      </c>
      <c r="AC13" s="4">
        <v>-8322</v>
      </c>
      <c r="AD13" s="4">
        <v>17237</v>
      </c>
      <c r="AF13" s="4">
        <v>7374</v>
      </c>
      <c r="AG13" s="4">
        <v>6728</v>
      </c>
      <c r="AH13" s="4">
        <v>-584</v>
      </c>
      <c r="AI13" s="4">
        <v>2324</v>
      </c>
      <c r="AK13" s="4">
        <v>6782</v>
      </c>
      <c r="AL13" s="4">
        <v>2271</v>
      </c>
      <c r="AM13" s="4">
        <v>14384</v>
      </c>
      <c r="AN13" s="4">
        <v>81007</v>
      </c>
    </row>
    <row r="14" spans="1:40" x14ac:dyDescent="0.2">
      <c r="B14" s="1" t="s">
        <v>186</v>
      </c>
      <c r="E14" s="4">
        <v>1143</v>
      </c>
      <c r="G14" s="4">
        <v>191</v>
      </c>
      <c r="H14" s="4">
        <v>1195</v>
      </c>
      <c r="I14" s="4">
        <v>1331</v>
      </c>
      <c r="J14" s="4">
        <f>2569+248</f>
        <v>2817</v>
      </c>
      <c r="L14" s="4">
        <v>192</v>
      </c>
      <c r="M14" s="4">
        <v>446</v>
      </c>
      <c r="N14" s="4">
        <v>1554</v>
      </c>
      <c r="O14" s="4">
        <v>1945</v>
      </c>
      <c r="Q14" s="4">
        <v>-178</v>
      </c>
      <c r="R14" s="4">
        <v>930</v>
      </c>
      <c r="S14" s="4">
        <v>1844</v>
      </c>
      <c r="T14" s="4">
        <f>2268+389+50</f>
        <v>2707</v>
      </c>
      <c r="V14" s="4">
        <v>424</v>
      </c>
      <c r="W14" s="4">
        <v>917</v>
      </c>
      <c r="X14" s="4">
        <v>2486</v>
      </c>
      <c r="Y14" s="4">
        <v>3852</v>
      </c>
      <c r="AA14" s="4">
        <v>77</v>
      </c>
      <c r="AB14" s="4">
        <v>1810</v>
      </c>
      <c r="AC14" s="4">
        <v>3007</v>
      </c>
      <c r="AD14" s="4">
        <v>13136</v>
      </c>
      <c r="AF14" s="4">
        <v>268</v>
      </c>
      <c r="AG14" s="4">
        <v>302</v>
      </c>
      <c r="AH14" s="4">
        <v>2118</v>
      </c>
      <c r="AI14" s="4">
        <v>4169</v>
      </c>
      <c r="AK14" s="4">
        <v>621</v>
      </c>
      <c r="AL14" s="4">
        <v>1013</v>
      </c>
      <c r="AM14" s="4">
        <v>1223</v>
      </c>
      <c r="AN14" s="4">
        <v>1298</v>
      </c>
    </row>
    <row r="15" spans="1:40" x14ac:dyDescent="0.2">
      <c r="B15" s="1" t="s">
        <v>19</v>
      </c>
      <c r="O15" s="4"/>
      <c r="Q15" s="4"/>
      <c r="R15" s="4"/>
      <c r="S15" s="4"/>
      <c r="T15" s="4"/>
      <c r="V15" s="4"/>
      <c r="W15" s="4"/>
      <c r="AA15" s="4"/>
      <c r="AB15" s="4"/>
      <c r="AF15" s="4"/>
      <c r="AG15" s="4"/>
      <c r="AK15" s="4"/>
      <c r="AL15" s="4"/>
    </row>
    <row r="16" spans="1:40" x14ac:dyDescent="0.2">
      <c r="C16" s="1" t="s">
        <v>20</v>
      </c>
      <c r="E16" s="4">
        <v>-40538</v>
      </c>
      <c r="G16" s="4">
        <v>34539</v>
      </c>
      <c r="H16" s="4">
        <v>54748</v>
      </c>
      <c r="I16" s="4">
        <v>65075</v>
      </c>
      <c r="J16" s="4">
        <v>33163</v>
      </c>
      <c r="L16" s="4">
        <v>20729</v>
      </c>
      <c r="M16" s="4">
        <v>16008</v>
      </c>
      <c r="N16" s="4">
        <v>23774</v>
      </c>
      <c r="O16" s="4">
        <v>-5527</v>
      </c>
      <c r="Q16" s="4">
        <v>21509</v>
      </c>
      <c r="R16" s="4">
        <v>6412</v>
      </c>
      <c r="S16" s="4">
        <v>23934</v>
      </c>
      <c r="T16" s="4">
        <v>12038</v>
      </c>
      <c r="V16" s="4">
        <v>-17887</v>
      </c>
      <c r="W16" s="4">
        <v>-28936</v>
      </c>
      <c r="X16" s="4">
        <v>-8257</v>
      </c>
      <c r="Y16" s="4">
        <v>-57767</v>
      </c>
      <c r="AA16" s="4">
        <v>34027</v>
      </c>
      <c r="AB16" s="4">
        <v>36858</v>
      </c>
      <c r="AC16" s="4">
        <v>49160</v>
      </c>
      <c r="AD16" s="4">
        <v>5519</v>
      </c>
      <c r="AF16" s="4">
        <v>29630</v>
      </c>
      <c r="AG16" s="4">
        <v>37594</v>
      </c>
      <c r="AH16" s="4">
        <v>40168</v>
      </c>
      <c r="AI16" s="4">
        <v>-20217</v>
      </c>
      <c r="AK16" s="4">
        <v>47643</v>
      </c>
      <c r="AL16" s="4">
        <v>52655</v>
      </c>
      <c r="AM16" s="4">
        <v>56547</v>
      </c>
      <c r="AN16" s="4">
        <v>19067</v>
      </c>
    </row>
    <row r="17" spans="1:40" x14ac:dyDescent="0.2">
      <c r="C17" s="1" t="s">
        <v>89</v>
      </c>
      <c r="E17" s="4">
        <v>43746</v>
      </c>
      <c r="O17" s="4"/>
      <c r="Q17" s="4"/>
      <c r="R17" s="4"/>
      <c r="S17" s="4"/>
      <c r="T17" s="4"/>
      <c r="V17" s="4"/>
      <c r="W17" s="4"/>
      <c r="AA17" s="4"/>
      <c r="AB17" s="4"/>
      <c r="AF17" s="4"/>
      <c r="AG17" s="4"/>
      <c r="AK17" s="4"/>
      <c r="AL17" s="4"/>
    </row>
    <row r="18" spans="1:40" x14ac:dyDescent="0.2">
      <c r="C18" s="1" t="s">
        <v>21</v>
      </c>
      <c r="E18" s="4">
        <v>-206344</v>
      </c>
      <c r="G18" s="4">
        <v>-66864</v>
      </c>
      <c r="H18" s="4">
        <v>-11832</v>
      </c>
      <c r="I18" s="4">
        <v>36294</v>
      </c>
      <c r="J18" s="4">
        <v>-43115</v>
      </c>
      <c r="L18" s="4">
        <v>-117604</v>
      </c>
      <c r="M18" s="4">
        <v>-105421</v>
      </c>
      <c r="N18" s="4">
        <v>-246452</v>
      </c>
      <c r="O18" s="4">
        <v>-425221</v>
      </c>
      <c r="Q18" s="4">
        <v>119613</v>
      </c>
      <c r="R18" s="4">
        <v>153797</v>
      </c>
      <c r="S18" s="4">
        <v>-38464</v>
      </c>
      <c r="T18" s="4">
        <v>-123611</v>
      </c>
      <c r="V18" s="4">
        <v>-40376</v>
      </c>
      <c r="W18" s="4">
        <v>-67531</v>
      </c>
      <c r="X18" s="4">
        <v>-323249</v>
      </c>
      <c r="Y18" s="4">
        <v>-445450</v>
      </c>
      <c r="AA18" s="4">
        <v>242797</v>
      </c>
      <c r="AB18" s="4">
        <v>175325</v>
      </c>
      <c r="AC18" s="4">
        <v>-66396</v>
      </c>
      <c r="AD18" s="4">
        <v>154845</v>
      </c>
      <c r="AF18" s="4">
        <v>67038</v>
      </c>
      <c r="AG18" s="4">
        <v>13226</v>
      </c>
      <c r="AH18" s="4">
        <v>-238146</v>
      </c>
      <c r="AI18" s="4">
        <v>-328534</v>
      </c>
      <c r="AK18" s="4">
        <v>112316</v>
      </c>
      <c r="AL18" s="4">
        <v>28794</v>
      </c>
      <c r="AM18" s="4">
        <v>-179988</v>
      </c>
      <c r="AN18" s="4">
        <v>-130131</v>
      </c>
    </row>
    <row r="19" spans="1:40" x14ac:dyDescent="0.2">
      <c r="C19" s="1" t="s">
        <v>22</v>
      </c>
      <c r="E19" s="4">
        <v>-27403</v>
      </c>
      <c r="G19" s="4">
        <v>24128</v>
      </c>
      <c r="H19" s="4">
        <v>11648</v>
      </c>
      <c r="I19" s="4">
        <v>24038</v>
      </c>
      <c r="J19" s="4">
        <v>15919</v>
      </c>
      <c r="L19" s="4">
        <v>7242</v>
      </c>
      <c r="M19" s="4">
        <v>-4605</v>
      </c>
      <c r="N19" s="4">
        <v>-7336</v>
      </c>
      <c r="O19" s="4">
        <v>-3252</v>
      </c>
      <c r="Q19" s="4">
        <v>7293</v>
      </c>
      <c r="R19" s="4">
        <v>-746</v>
      </c>
      <c r="S19" s="4">
        <v>3480</v>
      </c>
      <c r="T19" s="4">
        <v>-3019</v>
      </c>
      <c r="V19" s="4">
        <v>664</v>
      </c>
      <c r="W19" s="4">
        <v>-11706</v>
      </c>
      <c r="X19" s="4">
        <v>-22061</v>
      </c>
      <c r="Y19" s="4">
        <v>-16947</v>
      </c>
      <c r="AA19" s="4">
        <v>14423</v>
      </c>
      <c r="AB19" s="4">
        <v>-1923</v>
      </c>
      <c r="AC19" s="4">
        <v>12397</v>
      </c>
      <c r="AD19" s="4">
        <v>15229</v>
      </c>
      <c r="AF19" s="4">
        <v>-4031</v>
      </c>
      <c r="AG19" s="4">
        <v>-16993</v>
      </c>
      <c r="AH19" s="4">
        <v>-5802</v>
      </c>
      <c r="AI19" s="4">
        <v>-2781</v>
      </c>
      <c r="AK19" s="4">
        <v>5451</v>
      </c>
      <c r="AL19" s="4">
        <v>-1063</v>
      </c>
      <c r="AM19" s="4">
        <v>-5422</v>
      </c>
      <c r="AN19" s="4">
        <v>-34620</v>
      </c>
    </row>
    <row r="20" spans="1:40" x14ac:dyDescent="0.2">
      <c r="C20" s="1" t="s">
        <v>23</v>
      </c>
      <c r="E20" s="4">
        <v>-304729</v>
      </c>
      <c r="G20" s="4">
        <v>-161990</v>
      </c>
      <c r="H20" s="4">
        <v>-388282</v>
      </c>
      <c r="I20" s="4">
        <v>-512107</v>
      </c>
      <c r="J20" s="4">
        <v>-675711</v>
      </c>
      <c r="L20" s="4">
        <v>-181492</v>
      </c>
      <c r="M20" s="4">
        <v>-377475</v>
      </c>
      <c r="N20" s="4">
        <v>-632342</v>
      </c>
      <c r="O20" s="4">
        <v>-992239</v>
      </c>
      <c r="Q20" s="4">
        <v>-425827</v>
      </c>
      <c r="R20" s="4">
        <v>-799385</v>
      </c>
      <c r="S20" s="4">
        <v>-1045386</v>
      </c>
      <c r="T20" s="4">
        <v>-1324142</v>
      </c>
      <c r="V20" s="4">
        <v>-415664</v>
      </c>
      <c r="W20" s="4">
        <v>-732628</v>
      </c>
      <c r="X20" s="4">
        <v>-1050733</v>
      </c>
      <c r="Y20" s="4">
        <v>-1369999</v>
      </c>
      <c r="AA20" s="4">
        <v>-390977</v>
      </c>
      <c r="AB20" s="4">
        <v>-720252</v>
      </c>
      <c r="AC20" s="4">
        <v>-952974</v>
      </c>
      <c r="AD20" s="4">
        <v>-1202587</v>
      </c>
      <c r="AF20" s="4">
        <v>-343067</v>
      </c>
      <c r="AG20" s="4">
        <v>-656835</v>
      </c>
      <c r="AH20" s="4">
        <v>-900675</v>
      </c>
      <c r="AI20" s="4">
        <v>-1209782</v>
      </c>
      <c r="AK20" s="4">
        <v>-325347</v>
      </c>
      <c r="AL20" s="4">
        <v>-637719</v>
      </c>
      <c r="AM20" s="4">
        <v>-879731</v>
      </c>
      <c r="AN20" s="4">
        <v>-1077219</v>
      </c>
    </row>
    <row r="21" spans="1:40" x14ac:dyDescent="0.2">
      <c r="C21" s="1" t="s">
        <v>24</v>
      </c>
      <c r="E21" s="4">
        <v>-7173</v>
      </c>
      <c r="G21" s="4">
        <v>-3034</v>
      </c>
      <c r="H21" s="4">
        <v>-1969</v>
      </c>
      <c r="I21" s="4">
        <v>-5334</v>
      </c>
      <c r="J21" s="4">
        <v>-6986</v>
      </c>
      <c r="L21" s="4">
        <v>2225</v>
      </c>
      <c r="M21" s="4">
        <v>971</v>
      </c>
      <c r="N21" s="4">
        <v>-506</v>
      </c>
      <c r="O21" s="4">
        <v>-1722</v>
      </c>
      <c r="Q21" s="4">
        <v>-2592</v>
      </c>
      <c r="R21" s="4">
        <v>-6736</v>
      </c>
      <c r="S21" s="4">
        <v>-6714</v>
      </c>
      <c r="T21" s="4">
        <v>-6754</v>
      </c>
      <c r="V21" s="4">
        <v>3467</v>
      </c>
      <c r="W21" s="4">
        <v>-313</v>
      </c>
      <c r="X21" s="4">
        <v>-2910</v>
      </c>
      <c r="Y21" s="4">
        <v>825</v>
      </c>
      <c r="AA21" s="4">
        <v>57</v>
      </c>
      <c r="AB21" s="4">
        <v>371</v>
      </c>
      <c r="AC21" s="4">
        <v>268</v>
      </c>
      <c r="AD21" s="4">
        <v>-160</v>
      </c>
      <c r="AF21" s="4">
        <v>399</v>
      </c>
      <c r="AG21" s="4">
        <v>732</v>
      </c>
      <c r="AH21" s="4">
        <v>1193</v>
      </c>
      <c r="AI21" s="4">
        <v>143</v>
      </c>
      <c r="AK21" s="4">
        <v>809</v>
      </c>
      <c r="AL21" s="4">
        <v>83</v>
      </c>
      <c r="AM21" s="4">
        <v>-348</v>
      </c>
      <c r="AN21" s="4">
        <v>-2361</v>
      </c>
    </row>
    <row r="22" spans="1:40" x14ac:dyDescent="0.2">
      <c r="B22" s="1" t="s">
        <v>25</v>
      </c>
      <c r="O22" s="4"/>
      <c r="Q22" s="4"/>
      <c r="R22" s="4"/>
      <c r="S22" s="4"/>
      <c r="T22" s="4"/>
      <c r="V22" s="4"/>
      <c r="W22" s="4"/>
      <c r="AA22" s="4"/>
      <c r="AB22" s="4"/>
      <c r="AF22" s="4"/>
      <c r="AG22" s="4"/>
      <c r="AK22" s="4"/>
      <c r="AL22" s="4"/>
    </row>
    <row r="23" spans="1:40" x14ac:dyDescent="0.2">
      <c r="C23" s="1" t="s">
        <v>26</v>
      </c>
      <c r="E23" s="4">
        <f>-8802+8911</f>
        <v>109</v>
      </c>
      <c r="G23" s="4">
        <f>40920+6015</f>
        <v>46935</v>
      </c>
      <c r="H23" s="4">
        <f>-42095+7312</f>
        <v>-34783</v>
      </c>
      <c r="I23" s="4">
        <f>-21673+7459</f>
        <v>-14214</v>
      </c>
      <c r="J23" s="4">
        <f>43138+9717</f>
        <v>52855</v>
      </c>
      <c r="L23" s="4">
        <f>-7641+9513</f>
        <v>1872</v>
      </c>
      <c r="M23" s="4">
        <f>-132469+9830</f>
        <v>-122639</v>
      </c>
      <c r="N23" s="4">
        <f>-102666+16728</f>
        <v>-85938</v>
      </c>
      <c r="O23" s="4">
        <f>-575+24100</f>
        <v>23525</v>
      </c>
      <c r="Q23" s="4">
        <f>533+9919</f>
        <v>10452</v>
      </c>
      <c r="R23" s="4">
        <f>-13913+11693</f>
        <v>-2220</v>
      </c>
      <c r="S23" s="4">
        <f>1707+13066</f>
        <v>14773</v>
      </c>
      <c r="T23" s="4">
        <f>117405+22644</f>
        <v>140049</v>
      </c>
      <c r="V23" s="4">
        <f>40424+4306</f>
        <v>44730</v>
      </c>
      <c r="W23" s="4">
        <f>-36052+29790</f>
        <v>-6262</v>
      </c>
      <c r="X23" s="4">
        <f>-16321+33961</f>
        <v>17640</v>
      </c>
      <c r="Y23" s="4">
        <f>51960+50142</f>
        <v>102102</v>
      </c>
      <c r="AA23" s="4">
        <f>-31043+26680</f>
        <v>-4363</v>
      </c>
      <c r="AB23" s="4">
        <f>-58705+28070</f>
        <v>-30635</v>
      </c>
      <c r="AC23" s="4">
        <f>-109243+31138</f>
        <v>-78105</v>
      </c>
      <c r="AD23" s="4">
        <f>-55187+32136</f>
        <v>-23051</v>
      </c>
      <c r="AF23" s="4">
        <f>66871+2243</f>
        <v>69114</v>
      </c>
      <c r="AG23" s="4">
        <v>52946</v>
      </c>
      <c r="AH23" s="4">
        <v>1840</v>
      </c>
      <c r="AI23" s="4">
        <v>74579</v>
      </c>
      <c r="AK23" s="4">
        <v>52673</v>
      </c>
      <c r="AL23" s="4">
        <v>66939</v>
      </c>
      <c r="AM23" s="4">
        <v>-9373</v>
      </c>
      <c r="AN23" s="4">
        <v>38286</v>
      </c>
    </row>
    <row r="24" spans="1:40" x14ac:dyDescent="0.2">
      <c r="C24" s="1" t="s">
        <v>27</v>
      </c>
      <c r="E24" s="16">
        <v>-18696</v>
      </c>
      <c r="G24" s="16">
        <v>-16793</v>
      </c>
      <c r="H24" s="16">
        <v>-27433</v>
      </c>
      <c r="I24" s="16">
        <v>-35464</v>
      </c>
      <c r="J24" s="4">
        <v>-34492</v>
      </c>
      <c r="L24" s="16">
        <v>-22002</v>
      </c>
      <c r="M24" s="16">
        <v>-27988</v>
      </c>
      <c r="N24" s="16">
        <v>-33349</v>
      </c>
      <c r="O24" s="4">
        <v>-35222</v>
      </c>
      <c r="Q24" s="16">
        <v>-18974</v>
      </c>
      <c r="R24" s="16">
        <v>-22497</v>
      </c>
      <c r="S24" s="16">
        <v>-35513</v>
      </c>
      <c r="T24" s="4">
        <v>-80537</v>
      </c>
      <c r="V24" s="4">
        <v>-30252</v>
      </c>
      <c r="W24" s="4">
        <v>-46226</v>
      </c>
      <c r="X24" s="4">
        <v>-60667</v>
      </c>
      <c r="Y24" s="4">
        <f>-78045-1</f>
        <v>-78046</v>
      </c>
      <c r="AA24" s="4">
        <v>-33659</v>
      </c>
      <c r="AB24" s="4">
        <v>-52089</v>
      </c>
      <c r="AC24" s="4">
        <v>-68878</v>
      </c>
      <c r="AD24" s="4">
        <v>-87107</v>
      </c>
      <c r="AF24" s="4">
        <v>-31999</v>
      </c>
      <c r="AG24" s="4">
        <v>-50247</v>
      </c>
      <c r="AH24" s="4">
        <v>-64222</v>
      </c>
      <c r="AI24" s="4">
        <v>-77370</v>
      </c>
      <c r="AK24" s="4">
        <v>-29469</v>
      </c>
      <c r="AL24" s="4">
        <v>-45618</v>
      </c>
      <c r="AM24" s="4">
        <v>-67750</v>
      </c>
      <c r="AN24" s="4">
        <v>-82150</v>
      </c>
    </row>
    <row r="25" spans="1:40" x14ac:dyDescent="0.2">
      <c r="A25" s="8" t="s">
        <v>28</v>
      </c>
      <c r="E25" s="15">
        <f>SUM(E7:E24)</f>
        <v>2153</v>
      </c>
      <c r="G25" s="15">
        <f>SUM(G7:G24)</f>
        <v>30919</v>
      </c>
      <c r="H25" s="15">
        <f>SUM(H7:H24)</f>
        <v>-68612</v>
      </c>
      <c r="I25" s="15">
        <f>SUM(I7:I24)</f>
        <v>13792</v>
      </c>
      <c r="J25" s="15">
        <f>SUM(J7:J24)</f>
        <v>-52447</v>
      </c>
      <c r="L25" s="15">
        <f>SUM(L7:L24)</f>
        <v>-106007</v>
      </c>
      <c r="M25" s="15">
        <f>SUM(M7:M24)</f>
        <v>-276102</v>
      </c>
      <c r="N25" s="15">
        <f>SUM(N7:N24)</f>
        <v>-482500</v>
      </c>
      <c r="O25" s="15">
        <f>SUM(O7:O24)</f>
        <v>-754341</v>
      </c>
      <c r="Q25" s="15">
        <f>SUM(Q7:Q24)</f>
        <v>-67660</v>
      </c>
      <c r="R25" s="15">
        <f>SUM(R7:R24)</f>
        <v>-251916</v>
      </c>
      <c r="S25" s="15">
        <f>SUM(S7:S24)</f>
        <v>-480074</v>
      </c>
      <c r="T25" s="15">
        <f>SUM(T7:T24)</f>
        <v>-590519</v>
      </c>
      <c r="V25" s="15">
        <f>SUM(V7:V24)</f>
        <v>-204774</v>
      </c>
      <c r="W25" s="15">
        <f>SUM(W7:W24)</f>
        <v>-406829</v>
      </c>
      <c r="X25" s="15">
        <f>SUM(X7:X24)</f>
        <v>-750654</v>
      </c>
      <c r="Y25" s="15">
        <f>SUM(Y7:Y24)</f>
        <v>-917988</v>
      </c>
      <c r="AA25" s="15">
        <f>SUM(AA7:AA24)</f>
        <v>144234</v>
      </c>
      <c r="AB25" s="15">
        <f>SUM(AB7:AB24)</f>
        <v>-56674</v>
      </c>
      <c r="AC25" s="15">
        <f>SUM(AC7:AC24)</f>
        <v>-350441</v>
      </c>
      <c r="AD25" s="15">
        <f>SUM(AD7:AD24)</f>
        <v>-116757</v>
      </c>
      <c r="AF25" s="15">
        <f>SUM(AF7:AF24)</f>
        <v>87607</v>
      </c>
      <c r="AG25" s="15">
        <f>SUM(AG7:AG24)</f>
        <v>-33009</v>
      </c>
      <c r="AH25" s="15">
        <f>SUM(AH7:AH24)</f>
        <v>-336046</v>
      </c>
      <c r="AI25" s="15">
        <f>SUM(AI7:AI24)</f>
        <v>-455311</v>
      </c>
      <c r="AK25" s="15">
        <f>SUM(AK7:AK24)</f>
        <v>191493</v>
      </c>
      <c r="AL25" s="15">
        <f>SUM(AL7:AL24)</f>
        <v>81097</v>
      </c>
      <c r="AM25" s="15">
        <f t="shared" ref="AM25:AN25" si="0">SUM(AM7:AM24)</f>
        <v>-193122</v>
      </c>
      <c r="AN25" s="15">
        <f t="shared" si="0"/>
        <v>-80550</v>
      </c>
    </row>
    <row r="26" spans="1:40" x14ac:dyDescent="0.2">
      <c r="O26" s="4"/>
      <c r="Q26" s="4"/>
      <c r="R26" s="4"/>
      <c r="S26" s="4"/>
      <c r="T26" s="4"/>
      <c r="V26" s="4"/>
      <c r="W26" s="4"/>
      <c r="AA26" s="4"/>
      <c r="AB26" s="4"/>
      <c r="AF26" s="4"/>
      <c r="AG26" s="4"/>
      <c r="AK26" s="4"/>
      <c r="AL26" s="4"/>
    </row>
    <row r="27" spans="1:40" x14ac:dyDescent="0.2">
      <c r="A27" s="8" t="s">
        <v>29</v>
      </c>
      <c r="O27" s="4"/>
      <c r="Q27" s="4"/>
      <c r="R27" s="4"/>
      <c r="S27" s="4"/>
      <c r="T27" s="4"/>
      <c r="V27" s="4"/>
      <c r="W27" s="4"/>
      <c r="AA27" s="4"/>
      <c r="AB27" s="4"/>
      <c r="AF27" s="4"/>
      <c r="AG27" s="4"/>
      <c r="AK27" s="4"/>
      <c r="AL27" s="4"/>
    </row>
    <row r="28" spans="1:40" x14ac:dyDescent="0.2">
      <c r="B28" s="1" t="s">
        <v>30</v>
      </c>
      <c r="E28" s="4">
        <v>-76572</v>
      </c>
      <c r="G28" s="4">
        <v>-31046</v>
      </c>
      <c r="H28" s="4">
        <v>-80225</v>
      </c>
      <c r="I28" s="4">
        <v>-105990</v>
      </c>
      <c r="J28" s="4">
        <v>-172608</v>
      </c>
      <c r="L28" s="4">
        <v>-47636</v>
      </c>
      <c r="M28" s="4">
        <v>-103918</v>
      </c>
      <c r="N28" s="4">
        <v>-184942</v>
      </c>
      <c r="O28" s="4">
        <v>-235707</v>
      </c>
      <c r="Q28" s="4">
        <v>-42045</v>
      </c>
      <c r="R28" s="4">
        <v>-136011</v>
      </c>
      <c r="S28" s="4">
        <v>-212900</v>
      </c>
      <c r="T28" s="4">
        <v>-310317</v>
      </c>
      <c r="V28" s="4">
        <v>-53709</v>
      </c>
      <c r="W28" s="4">
        <v>-135293</v>
      </c>
      <c r="X28" s="4">
        <v>-238860</v>
      </c>
      <c r="Y28" s="4">
        <v>-309817</v>
      </c>
      <c r="AA28" s="4">
        <v>-59437</v>
      </c>
      <c r="AB28" s="4">
        <v>-145727</v>
      </c>
      <c r="AC28" s="4">
        <v>-240835</v>
      </c>
      <c r="AD28" s="4">
        <v>-315584</v>
      </c>
      <c r="AF28" s="4">
        <v>-97463</v>
      </c>
      <c r="AG28" s="4">
        <v>-214587</v>
      </c>
      <c r="AH28" s="4">
        <v>-315543</v>
      </c>
      <c r="AI28" s="4">
        <v>-418144</v>
      </c>
      <c r="AK28" s="4">
        <v>-79416</v>
      </c>
      <c r="AL28" s="4">
        <v>-155110</v>
      </c>
      <c r="AM28" s="4">
        <v>-227559</v>
      </c>
      <c r="AN28" s="4">
        <v>-296816</v>
      </c>
    </row>
    <row r="29" spans="1:40" x14ac:dyDescent="0.2">
      <c r="B29" s="1" t="s">
        <v>211</v>
      </c>
      <c r="O29" s="4"/>
      <c r="Q29" s="4">
        <v>4610</v>
      </c>
      <c r="R29" s="4">
        <v>4716</v>
      </c>
      <c r="S29" s="4">
        <v>5143</v>
      </c>
      <c r="T29" s="4">
        <v>5095</v>
      </c>
      <c r="V29" s="4"/>
      <c r="W29" s="4">
        <v>5829</v>
      </c>
      <c r="X29" s="4">
        <v>5833</v>
      </c>
      <c r="Y29" s="4">
        <v>5869</v>
      </c>
      <c r="AA29" s="4">
        <v>1419</v>
      </c>
      <c r="AB29" s="4">
        <v>1419</v>
      </c>
      <c r="AC29" s="4">
        <v>1520</v>
      </c>
      <c r="AD29" s="4">
        <v>1542</v>
      </c>
      <c r="AF29" s="4">
        <v>0</v>
      </c>
      <c r="AG29" s="4">
        <v>2</v>
      </c>
      <c r="AH29" s="4">
        <v>728</v>
      </c>
      <c r="AI29" s="4">
        <v>1229</v>
      </c>
      <c r="AK29" s="4">
        <v>0</v>
      </c>
      <c r="AL29" s="4">
        <v>96</v>
      </c>
      <c r="AM29" s="4">
        <v>96</v>
      </c>
      <c r="AN29" s="4">
        <v>97</v>
      </c>
    </row>
    <row r="30" spans="1:40" x14ac:dyDescent="0.2">
      <c r="B30" s="1" t="s">
        <v>156</v>
      </c>
      <c r="O30" s="4"/>
      <c r="Q30" s="4"/>
      <c r="R30" s="4"/>
      <c r="S30" s="4"/>
      <c r="T30" s="4"/>
      <c r="V30" s="4"/>
      <c r="W30" s="4"/>
      <c r="AA30" s="4"/>
      <c r="AB30" s="4"/>
      <c r="AF30" s="4"/>
      <c r="AG30" s="4"/>
      <c r="AK30" s="4"/>
      <c r="AL30" s="4"/>
    </row>
    <row r="31" spans="1:40" x14ac:dyDescent="0.2">
      <c r="C31" s="1" t="s">
        <v>161</v>
      </c>
      <c r="E31" s="4">
        <v>1556</v>
      </c>
      <c r="G31" s="4">
        <v>-9044</v>
      </c>
      <c r="H31" s="4">
        <v>6108</v>
      </c>
      <c r="I31" s="4">
        <v>-13340</v>
      </c>
      <c r="J31" s="4">
        <v>-43262</v>
      </c>
      <c r="L31" s="4">
        <v>21998</v>
      </c>
      <c r="M31" s="4">
        <v>-417</v>
      </c>
      <c r="N31" s="4">
        <v>-46</v>
      </c>
      <c r="O31" s="4">
        <v>-19973</v>
      </c>
      <c r="Q31" s="4">
        <v>-16428</v>
      </c>
      <c r="R31" s="4">
        <v>-27053</v>
      </c>
      <c r="S31" s="4">
        <v>-22508</v>
      </c>
      <c r="T31" s="4">
        <v>-35012</v>
      </c>
      <c r="V31" s="4">
        <v>-31354</v>
      </c>
      <c r="W31" s="4">
        <v>-37769</v>
      </c>
      <c r="X31" s="4">
        <v>-16419</v>
      </c>
      <c r="Y31" s="4">
        <v>-34823</v>
      </c>
      <c r="AA31" s="4">
        <v>-33932</v>
      </c>
      <c r="AB31" s="4">
        <v>-40953</v>
      </c>
      <c r="AC31" s="4">
        <v>-22064</v>
      </c>
      <c r="AD31" s="4">
        <v>-49707</v>
      </c>
      <c r="AF31" s="4">
        <v>-20327</v>
      </c>
      <c r="AG31" s="4">
        <v>-36834</v>
      </c>
      <c r="AH31" s="4">
        <v>-13211</v>
      </c>
      <c r="AI31" s="4">
        <v>-36524</v>
      </c>
      <c r="AK31" s="4">
        <v>-5339</v>
      </c>
      <c r="AL31" s="4">
        <v>-23923</v>
      </c>
      <c r="AM31" s="4">
        <v>-8592</v>
      </c>
      <c r="AN31" s="4">
        <v>-19089</v>
      </c>
    </row>
    <row r="32" spans="1:40" x14ac:dyDescent="0.2">
      <c r="B32" s="1" t="s">
        <v>213</v>
      </c>
      <c r="E32" s="4">
        <v>-12631</v>
      </c>
      <c r="G32" s="4">
        <v>-2582</v>
      </c>
      <c r="H32" s="4">
        <v>-4562</v>
      </c>
      <c r="I32" s="4">
        <v>-8573</v>
      </c>
      <c r="J32" s="4">
        <v>-12364</v>
      </c>
      <c r="L32" s="4">
        <v>-236</v>
      </c>
      <c r="M32" s="4">
        <v>-3151</v>
      </c>
      <c r="N32" s="4">
        <v>-6912</v>
      </c>
      <c r="O32" s="4">
        <v>-13385</v>
      </c>
      <c r="Q32" s="4">
        <v>-2812</v>
      </c>
      <c r="R32" s="4">
        <v>-5319</v>
      </c>
      <c r="S32" s="4">
        <v>-7826</v>
      </c>
      <c r="T32" s="4">
        <v>-10403</v>
      </c>
      <c r="V32" s="4">
        <v>-3259</v>
      </c>
      <c r="W32" s="4">
        <v>-6640</v>
      </c>
      <c r="X32" s="4">
        <v>-11323</v>
      </c>
      <c r="Y32" s="4">
        <v>-16556</v>
      </c>
      <c r="AA32" s="4">
        <v>-2972</v>
      </c>
      <c r="AB32" s="4">
        <v>-5484</v>
      </c>
      <c r="AC32" s="4">
        <v>-8383</v>
      </c>
      <c r="AD32" s="4">
        <v>-12264</v>
      </c>
      <c r="AF32" s="4">
        <v>-3101</v>
      </c>
      <c r="AG32" s="4">
        <v>-7114</v>
      </c>
      <c r="AH32" s="4">
        <v>-11663</v>
      </c>
      <c r="AI32" s="4">
        <v>-17390</v>
      </c>
      <c r="AK32" s="4">
        <v>-6308</v>
      </c>
      <c r="AL32" s="4">
        <v>-11409</v>
      </c>
      <c r="AM32" s="4">
        <v>-16799</v>
      </c>
      <c r="AN32" s="4">
        <v>-22343</v>
      </c>
    </row>
    <row r="33" spans="1:40" x14ac:dyDescent="0.2">
      <c r="B33" s="1" t="s">
        <v>214</v>
      </c>
      <c r="E33" s="4">
        <v>11434</v>
      </c>
      <c r="G33" s="4">
        <v>3193</v>
      </c>
      <c r="H33" s="4">
        <v>6997</v>
      </c>
      <c r="I33" s="4">
        <v>12088</v>
      </c>
      <c r="J33" s="4">
        <v>12096</v>
      </c>
      <c r="L33" s="4">
        <v>6382</v>
      </c>
      <c r="M33" s="4">
        <v>7992</v>
      </c>
      <c r="N33" s="4">
        <v>15980</v>
      </c>
      <c r="O33" s="4">
        <v>17368</v>
      </c>
      <c r="Q33" s="4">
        <v>10011</v>
      </c>
      <c r="R33" s="4">
        <v>15017</v>
      </c>
      <c r="S33" s="4">
        <v>15022</v>
      </c>
      <c r="T33" s="4">
        <v>19202</v>
      </c>
      <c r="V33" s="4">
        <v>4</v>
      </c>
      <c r="W33" s="4">
        <v>1634</v>
      </c>
      <c r="X33" s="4">
        <v>6340</v>
      </c>
      <c r="Y33" s="4">
        <v>6346</v>
      </c>
      <c r="AA33" s="4">
        <v>1633</v>
      </c>
      <c r="AB33" s="4">
        <v>1643</v>
      </c>
      <c r="AC33" s="4">
        <v>5907</v>
      </c>
      <c r="AD33" s="4">
        <v>8357</v>
      </c>
      <c r="AF33" s="4">
        <v>41</v>
      </c>
      <c r="AG33" s="4">
        <v>2434</v>
      </c>
      <c r="AH33" s="4">
        <v>8083</v>
      </c>
      <c r="AI33" s="4">
        <v>11250</v>
      </c>
      <c r="AK33" s="4">
        <v>3344</v>
      </c>
      <c r="AL33" s="4">
        <v>8396</v>
      </c>
      <c r="AM33" s="4">
        <v>13411</v>
      </c>
      <c r="AN33" s="4">
        <v>18321</v>
      </c>
    </row>
    <row r="34" spans="1:40" x14ac:dyDescent="0.2">
      <c r="B34" s="1" t="s">
        <v>215</v>
      </c>
      <c r="H34" s="4">
        <v>-2455</v>
      </c>
      <c r="I34" s="4">
        <v>-2772</v>
      </c>
      <c r="J34" s="4">
        <v>-3316</v>
      </c>
      <c r="L34" s="4">
        <v>-1096</v>
      </c>
      <c r="M34" s="4">
        <v>-3331</v>
      </c>
      <c r="N34" s="4">
        <v>-3613</v>
      </c>
      <c r="O34" s="4">
        <v>-33895</v>
      </c>
      <c r="Q34" s="4">
        <v>-1161</v>
      </c>
      <c r="R34" s="4">
        <v>-1405</v>
      </c>
      <c r="S34" s="4">
        <v>-5701</v>
      </c>
      <c r="T34" s="4">
        <v>-5712</v>
      </c>
      <c r="V34" s="4">
        <v>-5833</v>
      </c>
      <c r="W34" s="4">
        <v>-11860</v>
      </c>
      <c r="X34" s="4">
        <v>-12072</v>
      </c>
      <c r="Y34" s="4">
        <v>-12418</v>
      </c>
      <c r="AA34" s="4">
        <v>-3942</v>
      </c>
      <c r="AB34" s="4">
        <v>-10481</v>
      </c>
      <c r="AC34" s="4">
        <v>-10865</v>
      </c>
      <c r="AD34" s="4">
        <v>-11463</v>
      </c>
      <c r="AF34" s="4">
        <v>-2644</v>
      </c>
      <c r="AG34" s="4">
        <v>-6302</v>
      </c>
      <c r="AH34" s="4">
        <v>-6924</v>
      </c>
      <c r="AI34" s="4">
        <v>-6724</v>
      </c>
      <c r="AK34" s="4">
        <v>-2879</v>
      </c>
      <c r="AL34" s="4">
        <v>-3476</v>
      </c>
      <c r="AM34" s="4">
        <v>-8525</v>
      </c>
      <c r="AN34" s="4">
        <v>-8649</v>
      </c>
    </row>
    <row r="35" spans="1:40" x14ac:dyDescent="0.2">
      <c r="B35" s="1" t="s">
        <v>216</v>
      </c>
      <c r="E35" s="4">
        <v>4001</v>
      </c>
      <c r="I35" s="4">
        <v>52</v>
      </c>
      <c r="J35" s="4">
        <v>52</v>
      </c>
      <c r="L35" s="4">
        <v>169</v>
      </c>
      <c r="M35" s="4">
        <v>318</v>
      </c>
      <c r="N35" s="4">
        <v>318</v>
      </c>
      <c r="O35" s="4">
        <v>30318</v>
      </c>
      <c r="Q35" s="4">
        <v>1313</v>
      </c>
      <c r="R35" s="4">
        <v>1370</v>
      </c>
      <c r="S35" s="4">
        <v>71</v>
      </c>
      <c r="T35" s="4">
        <v>466</v>
      </c>
      <c r="V35" s="4">
        <v>32</v>
      </c>
      <c r="W35" s="4">
        <v>306</v>
      </c>
      <c r="X35" s="4">
        <v>333</v>
      </c>
      <c r="Y35" s="4">
        <v>655</v>
      </c>
      <c r="AA35" s="4">
        <v>154</v>
      </c>
      <c r="AB35" s="4">
        <v>101</v>
      </c>
      <c r="AC35" s="4">
        <v>101</v>
      </c>
      <c r="AD35" s="4">
        <v>324</v>
      </c>
      <c r="AF35" s="4">
        <v>244</v>
      </c>
      <c r="AG35" s="4">
        <v>244</v>
      </c>
      <c r="AH35" s="4">
        <v>318</v>
      </c>
      <c r="AI35" s="4">
        <v>730</v>
      </c>
      <c r="AK35" s="4">
        <v>238</v>
      </c>
      <c r="AL35" s="4">
        <v>370</v>
      </c>
      <c r="AM35" s="4">
        <v>466</v>
      </c>
      <c r="AN35" s="4">
        <v>1692</v>
      </c>
    </row>
    <row r="36" spans="1:40" x14ac:dyDescent="0.2">
      <c r="A36" s="8" t="s">
        <v>94</v>
      </c>
      <c r="E36" s="15">
        <f>SUM(E28:E35)</f>
        <v>-72212</v>
      </c>
      <c r="G36" s="15">
        <f>SUM(G28:G35)</f>
        <v>-39479</v>
      </c>
      <c r="H36" s="15">
        <f>SUM(H28:H35)</f>
        <v>-74137</v>
      </c>
      <c r="I36" s="15">
        <f>SUM(I28:I35)</f>
        <v>-118535</v>
      </c>
      <c r="J36" s="15">
        <f>SUM(J28:J35)</f>
        <v>-219402</v>
      </c>
      <c r="L36" s="15">
        <f>SUM(L28:L35)</f>
        <v>-20419</v>
      </c>
      <c r="M36" s="15">
        <f>SUM(M28:M35)</f>
        <v>-102507</v>
      </c>
      <c r="N36" s="15">
        <f>SUM(N28:N35)</f>
        <v>-179215</v>
      </c>
      <c r="O36" s="15">
        <f>SUM(O28:O35)</f>
        <v>-255274</v>
      </c>
      <c r="Q36" s="15">
        <f>SUM(Q28:Q35)</f>
        <v>-46512</v>
      </c>
      <c r="R36" s="15">
        <f>SUM(R28:R35)</f>
        <v>-148685</v>
      </c>
      <c r="S36" s="15">
        <f>SUM(S28:S35)</f>
        <v>-228699</v>
      </c>
      <c r="T36" s="15">
        <f>SUM(T28:T35)</f>
        <v>-336681</v>
      </c>
      <c r="V36" s="15">
        <f>SUM(V28:V35)</f>
        <v>-94119</v>
      </c>
      <c r="W36" s="15">
        <f>SUM(W28:W35)</f>
        <v>-183793</v>
      </c>
      <c r="X36" s="15">
        <f>SUM(X28:X35)</f>
        <v>-266168</v>
      </c>
      <c r="Y36" s="15">
        <f>SUM(Y28:Y35)</f>
        <v>-360744</v>
      </c>
      <c r="AA36" s="15">
        <f>SUM(AA28:AA35)</f>
        <v>-97077</v>
      </c>
      <c r="AB36" s="15">
        <f>SUM(AB28:AB35)</f>
        <v>-199482</v>
      </c>
      <c r="AC36" s="15">
        <f>SUM(AC28:AC35)</f>
        <v>-274619</v>
      </c>
      <c r="AD36" s="15">
        <f>SUM(AD28:AD35)</f>
        <v>-378795</v>
      </c>
      <c r="AF36" s="15">
        <f>SUM(AF28:AF35)</f>
        <v>-123250</v>
      </c>
      <c r="AG36" s="15">
        <f>SUM(AG28:AG35)</f>
        <v>-262157</v>
      </c>
      <c r="AH36" s="15">
        <f>SUM(AH28:AH35)</f>
        <v>-338212</v>
      </c>
      <c r="AI36" s="15">
        <f>SUM(AI28:AI35)</f>
        <v>-465573</v>
      </c>
      <c r="AK36" s="15">
        <f>SUM(AK28:AK35)</f>
        <v>-90360</v>
      </c>
      <c r="AL36" s="15">
        <f>SUM(AL28:AL35)</f>
        <v>-185056</v>
      </c>
      <c r="AM36" s="15">
        <f>SUM(AM28:AM35)</f>
        <v>-247502</v>
      </c>
      <c r="AN36" s="15">
        <f>SUM(AN28:AN35)</f>
        <v>-326787</v>
      </c>
    </row>
    <row r="37" spans="1:40" x14ac:dyDescent="0.2">
      <c r="H37" s="13"/>
      <c r="I37" s="13"/>
      <c r="J37" s="13"/>
      <c r="M37" s="13"/>
      <c r="N37" s="13"/>
      <c r="Q37" s="4"/>
      <c r="R37" s="4"/>
      <c r="S37" s="13"/>
      <c r="T37" s="13"/>
      <c r="V37" s="13"/>
      <c r="W37" s="13"/>
      <c r="X37" s="13"/>
      <c r="Y37" s="13"/>
      <c r="AA37" s="4"/>
      <c r="AB37" s="13"/>
      <c r="AC37" s="13"/>
      <c r="AD37" s="13"/>
      <c r="AF37" s="4"/>
      <c r="AG37" s="4"/>
      <c r="AK37" s="4"/>
      <c r="AL37" s="4"/>
    </row>
    <row r="38" spans="1:40" x14ac:dyDescent="0.2">
      <c r="A38" s="8" t="s">
        <v>31</v>
      </c>
      <c r="O38" s="4"/>
      <c r="Q38" s="4"/>
      <c r="R38" s="4"/>
      <c r="S38" s="4"/>
      <c r="T38" s="4"/>
      <c r="V38" s="4"/>
      <c r="W38" s="4"/>
      <c r="AA38" s="4"/>
      <c r="AB38" s="4"/>
      <c r="AF38" s="4"/>
      <c r="AG38" s="4"/>
      <c r="AK38" s="4"/>
      <c r="AL38" s="4"/>
    </row>
    <row r="39" spans="1:40" x14ac:dyDescent="0.2">
      <c r="B39" s="1" t="s">
        <v>32</v>
      </c>
      <c r="E39" s="4">
        <v>119</v>
      </c>
      <c r="G39" s="4">
        <v>170</v>
      </c>
      <c r="H39" s="4">
        <v>331</v>
      </c>
      <c r="I39" s="4">
        <v>-243</v>
      </c>
      <c r="J39" s="4">
        <v>-59</v>
      </c>
      <c r="L39" s="4">
        <v>-152</v>
      </c>
      <c r="M39" s="4">
        <v>125</v>
      </c>
      <c r="N39" s="4">
        <v>-237</v>
      </c>
      <c r="O39" s="4">
        <v>-588</v>
      </c>
      <c r="Q39" s="4">
        <v>617</v>
      </c>
      <c r="R39" s="4">
        <v>1384</v>
      </c>
      <c r="S39" s="4">
        <v>932</v>
      </c>
      <c r="T39" s="4">
        <v>227</v>
      </c>
      <c r="V39" s="4">
        <v>660</v>
      </c>
      <c r="W39" s="4">
        <v>1647</v>
      </c>
      <c r="X39" s="4">
        <v>1992</v>
      </c>
      <c r="Y39" s="4">
        <v>203</v>
      </c>
      <c r="AA39" s="4">
        <v>-4</v>
      </c>
      <c r="AB39" s="4">
        <v>1337</v>
      </c>
      <c r="AC39" s="4">
        <v>-749</v>
      </c>
      <c r="AD39" s="4">
        <v>-357</v>
      </c>
      <c r="AF39" s="4">
        <v>827</v>
      </c>
      <c r="AG39" s="4">
        <v>-67</v>
      </c>
      <c r="AH39" s="4">
        <v>452</v>
      </c>
      <c r="AI39" s="4">
        <v>-366</v>
      </c>
      <c r="AK39" s="4">
        <v>631</v>
      </c>
      <c r="AL39" s="4">
        <v>209</v>
      </c>
      <c r="AM39" s="4">
        <v>531</v>
      </c>
      <c r="AN39" s="4">
        <v>65</v>
      </c>
    </row>
    <row r="40" spans="1:40" x14ac:dyDescent="0.2">
      <c r="B40" s="1" t="s">
        <v>189</v>
      </c>
      <c r="E40" s="4">
        <v>243300</v>
      </c>
      <c r="O40" s="4"/>
      <c r="Q40" s="4"/>
      <c r="R40" s="4"/>
      <c r="S40" s="4"/>
      <c r="T40" s="4"/>
      <c r="V40" s="4"/>
      <c r="W40" s="4"/>
      <c r="X40" s="4">
        <v>300000</v>
      </c>
      <c r="Y40" s="4">
        <v>985000</v>
      </c>
      <c r="AA40" s="4">
        <v>20000</v>
      </c>
      <c r="AB40" s="4">
        <v>20000</v>
      </c>
      <c r="AC40" s="4">
        <v>1137300</v>
      </c>
      <c r="AD40" s="4">
        <v>2057100</v>
      </c>
      <c r="AF40" s="4">
        <v>1093800</v>
      </c>
      <c r="AG40" s="4">
        <v>1310800</v>
      </c>
      <c r="AH40" s="4">
        <v>1660600</v>
      </c>
      <c r="AI40" s="4">
        <v>2974600</v>
      </c>
      <c r="AK40" s="4">
        <v>762000</v>
      </c>
      <c r="AL40" s="4">
        <v>1552000</v>
      </c>
      <c r="AM40" s="4">
        <v>2996700</v>
      </c>
      <c r="AN40" s="4">
        <v>4203150</v>
      </c>
    </row>
    <row r="41" spans="1:40" x14ac:dyDescent="0.2">
      <c r="B41" s="1" t="s">
        <v>188</v>
      </c>
      <c r="E41" s="4">
        <v>-364900</v>
      </c>
      <c r="O41" s="4"/>
      <c r="Q41" s="4"/>
      <c r="R41" s="4"/>
      <c r="S41" s="4"/>
      <c r="T41" s="4"/>
      <c r="V41" s="4"/>
      <c r="W41" s="4"/>
      <c r="X41" s="4"/>
      <c r="Y41" s="4">
        <v>-675000</v>
      </c>
      <c r="AA41" s="4">
        <v>-30000</v>
      </c>
      <c r="AB41" s="4">
        <v>-30000</v>
      </c>
      <c r="AC41" s="4">
        <v>-583300</v>
      </c>
      <c r="AD41" s="4">
        <v>-1652100</v>
      </c>
      <c r="AF41" s="4">
        <v>-1208800</v>
      </c>
      <c r="AG41" s="4">
        <v>-1225800</v>
      </c>
      <c r="AH41" s="4">
        <v>-1484900</v>
      </c>
      <c r="AI41" s="4">
        <v>-2734600</v>
      </c>
      <c r="AK41" s="4">
        <v>-917000</v>
      </c>
      <c r="AL41" s="4">
        <v>-1689000</v>
      </c>
      <c r="AM41" s="4">
        <v>-2906700</v>
      </c>
      <c r="AN41" s="4">
        <v>-4160650</v>
      </c>
    </row>
    <row r="42" spans="1:40" x14ac:dyDescent="0.2">
      <c r="B42" s="1" t="s">
        <v>177</v>
      </c>
      <c r="O42" s="4"/>
      <c r="Q42" s="4"/>
      <c r="R42" s="4"/>
      <c r="S42" s="4"/>
      <c r="T42" s="4"/>
      <c r="V42" s="4"/>
      <c r="W42" s="4"/>
      <c r="X42" s="4">
        <v>-496</v>
      </c>
      <c r="Y42" s="4">
        <v>-1190</v>
      </c>
      <c r="AA42" s="4"/>
      <c r="AB42" s="4">
        <v>-2981</v>
      </c>
      <c r="AC42" s="4">
        <v>-3104</v>
      </c>
      <c r="AD42" s="4">
        <v>-3104</v>
      </c>
      <c r="AF42" s="4">
        <v>-4680</v>
      </c>
      <c r="AG42" s="4">
        <v>-9009</v>
      </c>
      <c r="AH42" s="4">
        <v>-12568</v>
      </c>
      <c r="AI42" s="4">
        <v>-17118</v>
      </c>
      <c r="AK42" s="4">
        <v>-2920</v>
      </c>
      <c r="AL42" s="4">
        <v>-7623</v>
      </c>
      <c r="AM42" s="4">
        <v>-11524</v>
      </c>
      <c r="AN42" s="4">
        <v>-16261</v>
      </c>
    </row>
    <row r="43" spans="1:40" x14ac:dyDescent="0.2">
      <c r="B43" s="1" t="s">
        <v>90</v>
      </c>
      <c r="E43" s="4">
        <v>-11145</v>
      </c>
      <c r="G43" s="4">
        <v>-2997</v>
      </c>
      <c r="H43" s="4">
        <v>-6093</v>
      </c>
      <c r="I43" s="4">
        <v>-9331</v>
      </c>
      <c r="J43" s="4">
        <v>-12560</v>
      </c>
      <c r="L43" s="4">
        <v>-3296</v>
      </c>
      <c r="M43" s="4">
        <v>-6721</v>
      </c>
      <c r="N43" s="4">
        <v>-10365</v>
      </c>
      <c r="O43" s="4">
        <v>-14083</v>
      </c>
      <c r="Q43" s="4">
        <v>-3796</v>
      </c>
      <c r="R43" s="4">
        <v>-10932</v>
      </c>
      <c r="S43" s="4">
        <v>-14963</v>
      </c>
      <c r="T43" s="4">
        <v>-19596</v>
      </c>
      <c r="V43" s="4">
        <v>-4204</v>
      </c>
      <c r="W43" s="4">
        <v>-8712</v>
      </c>
      <c r="X43" s="4">
        <v>-13395</v>
      </c>
      <c r="Y43" s="4">
        <v>-18243</v>
      </c>
      <c r="AA43" s="4">
        <v>-4652</v>
      </c>
      <c r="AB43" s="4">
        <v>-9741</v>
      </c>
      <c r="AC43" s="4">
        <v>-13310</v>
      </c>
      <c r="AD43" s="4">
        <v>-16417</v>
      </c>
      <c r="AF43" s="4">
        <v>-3040</v>
      </c>
      <c r="AG43" s="4">
        <v>-5916</v>
      </c>
      <c r="AH43" s="4">
        <v>-8407</v>
      </c>
      <c r="AI43" s="4">
        <v>-10817</v>
      </c>
      <c r="AK43" s="4">
        <v>-2268</v>
      </c>
      <c r="AL43" s="4">
        <v>-4475</v>
      </c>
      <c r="AM43" s="4">
        <v>-6704</v>
      </c>
      <c r="AN43" s="4">
        <v>-8997</v>
      </c>
    </row>
    <row r="44" spans="1:40" x14ac:dyDescent="0.2">
      <c r="B44" s="1" t="s">
        <v>212</v>
      </c>
      <c r="E44" s="4">
        <v>3348000</v>
      </c>
      <c r="G44" s="4">
        <v>1234000</v>
      </c>
      <c r="H44" s="4">
        <v>1869000</v>
      </c>
      <c r="I44" s="4">
        <v>3633000</v>
      </c>
      <c r="J44" s="4">
        <v>5130000</v>
      </c>
      <c r="L44" s="4">
        <v>698000</v>
      </c>
      <c r="M44" s="4">
        <v>2345000</v>
      </c>
      <c r="N44" s="4">
        <v>4010000</v>
      </c>
      <c r="O44" s="4">
        <v>5851000</v>
      </c>
      <c r="Q44" s="4">
        <v>1774000</v>
      </c>
      <c r="R44" s="4">
        <v>3530000</v>
      </c>
      <c r="S44" s="4">
        <v>5300000</v>
      </c>
      <c r="T44" s="4">
        <v>6907000</v>
      </c>
      <c r="V44" s="4">
        <v>1897000</v>
      </c>
      <c r="W44" s="4">
        <v>3803000</v>
      </c>
      <c r="X44" s="4">
        <v>5882000</v>
      </c>
      <c r="Y44" s="4">
        <v>7783000</v>
      </c>
      <c r="AA44" s="4">
        <v>3047805</v>
      </c>
      <c r="AB44" s="4">
        <v>5106805</v>
      </c>
      <c r="AC44" s="4">
        <v>7430805</v>
      </c>
      <c r="AD44" s="4">
        <v>9553805</v>
      </c>
      <c r="AF44" s="4">
        <v>2259000</v>
      </c>
      <c r="AG44" s="4">
        <v>4844000</v>
      </c>
      <c r="AH44" s="4">
        <v>7235000</v>
      </c>
      <c r="AI44" s="4">
        <v>9610035</v>
      </c>
      <c r="AK44" s="4">
        <v>2410000</v>
      </c>
      <c r="AL44" s="4">
        <v>4987000</v>
      </c>
      <c r="AM44" s="4">
        <v>7720963</v>
      </c>
      <c r="AN44" s="4">
        <v>10198962</v>
      </c>
    </row>
    <row r="45" spans="1:40" x14ac:dyDescent="0.2">
      <c r="B45" s="1" t="s">
        <v>33</v>
      </c>
      <c r="E45" s="4">
        <v>-3160749</v>
      </c>
      <c r="G45" s="4">
        <v>-1105599</v>
      </c>
      <c r="H45" s="4">
        <v>-1584059</v>
      </c>
      <c r="I45" s="4">
        <v>-3181432</v>
      </c>
      <c r="J45" s="4">
        <v>-4459572</v>
      </c>
      <c r="L45" s="4">
        <v>-556900</v>
      </c>
      <c r="M45" s="4">
        <v>-1948095</v>
      </c>
      <c r="N45" s="4">
        <v>-3313626</v>
      </c>
      <c r="O45" s="4">
        <f>-4679999</f>
        <v>-4679999</v>
      </c>
      <c r="Q45" s="4">
        <v>-1261735</v>
      </c>
      <c r="R45" s="4">
        <v>-2654658</v>
      </c>
      <c r="S45" s="4">
        <v>-4185021</v>
      </c>
      <c r="T45" s="4">
        <v>-5513646</v>
      </c>
      <c r="V45" s="4">
        <v>-1518469</v>
      </c>
      <c r="W45" s="4">
        <v>-3142735</v>
      </c>
      <c r="X45" s="4">
        <v>-4950011</v>
      </c>
      <c r="Y45" s="4">
        <v>-6560815</v>
      </c>
      <c r="AA45" s="4">
        <v>-2656311</v>
      </c>
      <c r="AB45" s="4">
        <v>-4424340</v>
      </c>
      <c r="AC45" s="4">
        <v>-6565516</v>
      </c>
      <c r="AD45" s="4">
        <v>-8496684</v>
      </c>
      <c r="AF45" s="4">
        <v>-1952428</v>
      </c>
      <c r="AG45" s="4">
        <v>-4107206</v>
      </c>
      <c r="AH45" s="4">
        <v>-6299802</v>
      </c>
      <c r="AI45" s="4">
        <v>-8395360</v>
      </c>
      <c r="AK45" s="4">
        <v>-2149135</v>
      </c>
      <c r="AL45" s="4">
        <v>-4425923</v>
      </c>
      <c r="AM45" s="4">
        <v>-6976360</v>
      </c>
      <c r="AN45" s="4">
        <v>-9296773</v>
      </c>
    </row>
    <row r="46" spans="1:40" x14ac:dyDescent="0.2">
      <c r="B46" s="1" t="s">
        <v>91</v>
      </c>
      <c r="N46" s="4">
        <v>-51091</v>
      </c>
      <c r="O46" s="4">
        <v>-203405</v>
      </c>
      <c r="Q46" s="4">
        <v>-130215</v>
      </c>
      <c r="R46" s="4">
        <v>-179278</v>
      </c>
      <c r="S46" s="4">
        <v>-196748</v>
      </c>
      <c r="T46" s="4">
        <v>-307248</v>
      </c>
      <c r="V46" s="4">
        <v>-171924</v>
      </c>
      <c r="W46" s="4">
        <v>-380149</v>
      </c>
      <c r="X46" s="4">
        <v>-688619</v>
      </c>
      <c r="Y46" s="4">
        <v>-924328</v>
      </c>
      <c r="AA46" s="4">
        <v>-134226</v>
      </c>
      <c r="AB46" s="4">
        <v>-369210</v>
      </c>
      <c r="AC46" s="4">
        <v>-816181</v>
      </c>
      <c r="AD46" s="4">
        <v>-983941</v>
      </c>
      <c r="AF46" s="4">
        <v>-137989</v>
      </c>
      <c r="AG46" s="4">
        <v>-266025</v>
      </c>
      <c r="AH46" s="4">
        <v>-464352</v>
      </c>
      <c r="AI46" s="4">
        <v>-564337</v>
      </c>
      <c r="AK46" s="4">
        <v>-187385</v>
      </c>
      <c r="AL46" s="4">
        <v>-344785</v>
      </c>
      <c r="AM46" s="4">
        <v>-454960</v>
      </c>
      <c r="AN46" s="4">
        <v>-579570</v>
      </c>
    </row>
    <row r="47" spans="1:40" x14ac:dyDescent="0.2">
      <c r="B47" s="1" t="s">
        <v>199</v>
      </c>
      <c r="E47" s="4">
        <v>38277</v>
      </c>
      <c r="G47" s="4">
        <v>-2132</v>
      </c>
      <c r="H47" s="4">
        <v>4362</v>
      </c>
      <c r="I47" s="4">
        <v>5039</v>
      </c>
      <c r="J47" s="4">
        <v>15577</v>
      </c>
      <c r="L47" s="4">
        <v>2529</v>
      </c>
      <c r="M47" s="4">
        <v>4209</v>
      </c>
      <c r="N47" s="4">
        <v>29486</v>
      </c>
      <c r="O47" s="4">
        <v>63396</v>
      </c>
      <c r="Q47" s="4">
        <v>11204</v>
      </c>
      <c r="R47" s="4">
        <v>14753</v>
      </c>
      <c r="S47" s="4">
        <v>19967</v>
      </c>
      <c r="T47" s="4">
        <v>39000</v>
      </c>
      <c r="V47" s="4">
        <v>120</v>
      </c>
      <c r="W47" s="4">
        <v>44270</v>
      </c>
      <c r="X47" s="4">
        <v>47330</v>
      </c>
      <c r="Y47" s="4">
        <v>89810</v>
      </c>
      <c r="AA47" s="4">
        <v>34323</v>
      </c>
      <c r="AB47" s="4">
        <v>37157</v>
      </c>
      <c r="AC47" s="4">
        <v>44855</v>
      </c>
      <c r="AD47" s="4">
        <v>47038</v>
      </c>
      <c r="AF47" s="4">
        <v>4134</v>
      </c>
      <c r="AG47" s="4">
        <v>33026</v>
      </c>
      <c r="AH47" s="4">
        <v>34554</v>
      </c>
      <c r="AI47" s="4">
        <v>59869</v>
      </c>
      <c r="AK47" s="4">
        <v>6608</v>
      </c>
      <c r="AL47" s="4">
        <v>23905</v>
      </c>
      <c r="AM47" s="4">
        <v>66549</v>
      </c>
      <c r="AN47" s="4">
        <v>73520</v>
      </c>
    </row>
    <row r="48" spans="1:40" x14ac:dyDescent="0.2">
      <c r="A48" s="8" t="s">
        <v>95</v>
      </c>
      <c r="E48" s="15">
        <f>SUM(E39:E47)</f>
        <v>92902</v>
      </c>
      <c r="G48" s="15">
        <f>SUM(G39:G47)</f>
        <v>123442</v>
      </c>
      <c r="H48" s="15">
        <f>SUM(H39:H47)</f>
        <v>283541</v>
      </c>
      <c r="I48" s="15">
        <f>SUM(I39:I47)</f>
        <v>447033</v>
      </c>
      <c r="J48" s="15">
        <f>SUM(J39:J47)</f>
        <v>673386</v>
      </c>
      <c r="L48" s="15">
        <f>SUM(L39:L47)</f>
        <v>140181</v>
      </c>
      <c r="M48" s="15">
        <f>SUM(M39:M47)</f>
        <v>394518</v>
      </c>
      <c r="N48" s="15">
        <f>SUM(N39:N47)</f>
        <v>664167</v>
      </c>
      <c r="O48" s="15">
        <f>SUM(O39:O47)</f>
        <v>1016321</v>
      </c>
      <c r="Q48" s="15">
        <f>SUM(Q39:Q47)</f>
        <v>390075</v>
      </c>
      <c r="R48" s="15">
        <f>SUM(R39:R47)</f>
        <v>701269</v>
      </c>
      <c r="S48" s="15">
        <f>SUM(S39:S47)</f>
        <v>924167</v>
      </c>
      <c r="T48" s="15">
        <f>SUM(T39:T47)</f>
        <v>1105737</v>
      </c>
      <c r="V48" s="15">
        <f>SUM(V39:V47)</f>
        <v>203183</v>
      </c>
      <c r="W48" s="15">
        <f>SUM(W39:W47)</f>
        <v>317321</v>
      </c>
      <c r="X48" s="15">
        <f>SUM(X39:X47)</f>
        <v>578801</v>
      </c>
      <c r="Y48" s="15">
        <f>SUM(Y39:Y47)</f>
        <v>678437</v>
      </c>
      <c r="AA48" s="15">
        <f>SUM(AA39:AA47)</f>
        <v>276935</v>
      </c>
      <c r="AB48" s="15">
        <f>SUM(AB39:AB47)</f>
        <v>329027</v>
      </c>
      <c r="AC48" s="15">
        <f>SUM(AC39:AC47)</f>
        <v>630800</v>
      </c>
      <c r="AD48" s="15">
        <f>SUM(AD39:AD47)</f>
        <v>505340</v>
      </c>
      <c r="AF48" s="15">
        <f>SUM(AF39:AF47)</f>
        <v>50824</v>
      </c>
      <c r="AG48" s="15">
        <f>SUM(AG39:AG47)</f>
        <v>573803</v>
      </c>
      <c r="AH48" s="15">
        <f>SUM(AH39:AH47)</f>
        <v>660577</v>
      </c>
      <c r="AI48" s="15">
        <f>SUM(AI39:AI47)</f>
        <v>921906</v>
      </c>
      <c r="AK48" s="15">
        <f>SUM(AK39:AK47)</f>
        <v>-79469</v>
      </c>
      <c r="AL48" s="15">
        <f>SUM(AL39:AL47)</f>
        <v>91308</v>
      </c>
      <c r="AM48" s="15">
        <f>SUM(AM39:AM47)</f>
        <v>428495</v>
      </c>
      <c r="AN48" s="15">
        <f>SUM(AN39:AN47)</f>
        <v>413446</v>
      </c>
    </row>
    <row r="49" spans="1:40" x14ac:dyDescent="0.2">
      <c r="O49" s="4"/>
      <c r="Q49" s="4"/>
      <c r="R49" s="4"/>
      <c r="S49" s="4"/>
      <c r="T49" s="4"/>
      <c r="V49" s="4"/>
      <c r="W49" s="4"/>
      <c r="X49" s="4"/>
      <c r="Y49" s="4"/>
      <c r="AA49" s="4"/>
      <c r="AB49" s="4"/>
      <c r="AC49" s="4"/>
      <c r="AD49" s="4"/>
      <c r="AF49" s="4"/>
      <c r="AG49" s="4"/>
      <c r="AH49" s="4"/>
      <c r="AI49" s="4"/>
      <c r="AK49" s="4"/>
      <c r="AL49" s="4"/>
      <c r="AM49" s="4"/>
      <c r="AN49" s="4"/>
    </row>
    <row r="50" spans="1:40" x14ac:dyDescent="0.2">
      <c r="A50" s="1" t="s">
        <v>34</v>
      </c>
      <c r="E50" s="4">
        <f>+E25+E36+E48</f>
        <v>22843</v>
      </c>
      <c r="G50" s="4">
        <f>+G25+G36+G48</f>
        <v>114882</v>
      </c>
      <c r="H50" s="4">
        <f>+H25+H36+H48</f>
        <v>140792</v>
      </c>
      <c r="I50" s="4">
        <f>+I25+I36+I48</f>
        <v>342290</v>
      </c>
      <c r="J50" s="4">
        <f>+J25+J36+J48</f>
        <v>401537</v>
      </c>
      <c r="L50" s="4">
        <f>+L25+L36+L48</f>
        <v>13755</v>
      </c>
      <c r="M50" s="4">
        <f>+M25+M36+M48</f>
        <v>15909</v>
      </c>
      <c r="N50" s="4">
        <f>+N25+N36+N48</f>
        <v>2452</v>
      </c>
      <c r="O50" s="4">
        <f>+O25+O36+O48</f>
        <v>6706</v>
      </c>
      <c r="Q50" s="4">
        <f>+Q25+Q36+Q48</f>
        <v>275903</v>
      </c>
      <c r="R50" s="4">
        <f>+R25+R36+R48</f>
        <v>300668</v>
      </c>
      <c r="S50" s="4">
        <f>+S25+S36+S48</f>
        <v>215394</v>
      </c>
      <c r="T50" s="4">
        <f>+T25+T36+T48</f>
        <v>178537</v>
      </c>
      <c r="V50" s="4">
        <f>+V25+V36+V48</f>
        <v>-95710</v>
      </c>
      <c r="W50" s="4">
        <f>+W25+W36+W48</f>
        <v>-273301</v>
      </c>
      <c r="X50" s="4">
        <f>+X25+X36+X48</f>
        <v>-438021</v>
      </c>
      <c r="Y50" s="4">
        <f>+Y25+Y36+Y48</f>
        <v>-600295</v>
      </c>
      <c r="AA50" s="4">
        <f>+AA25+AA36+AA48</f>
        <v>324092</v>
      </c>
      <c r="AB50" s="4">
        <f>+AB25+AB36+AB48</f>
        <v>72871</v>
      </c>
      <c r="AC50" s="4">
        <f>+AC25+AC36+AC48</f>
        <v>5740</v>
      </c>
      <c r="AD50" s="4">
        <f>+AD25+AD36+AD48</f>
        <v>9788</v>
      </c>
      <c r="AF50" s="4">
        <f>+AF25+AF36+AF48</f>
        <v>15181</v>
      </c>
      <c r="AG50" s="4">
        <f>+AG25+AG36+AG48</f>
        <v>278637</v>
      </c>
      <c r="AH50" s="4">
        <f>+AH25+AH36+AH48</f>
        <v>-13681</v>
      </c>
      <c r="AI50" s="4">
        <f>+AI25+AI36+AI48</f>
        <v>1022</v>
      </c>
      <c r="AK50" s="4">
        <f>+AK25+AK36+AK48</f>
        <v>21664</v>
      </c>
      <c r="AL50" s="4">
        <f>+AL25+AL36+AL48</f>
        <v>-12651</v>
      </c>
      <c r="AM50" s="4">
        <f>+AM25+AM36+AM48</f>
        <v>-12129</v>
      </c>
      <c r="AN50" s="4">
        <f>+AN25+AN36+AN48</f>
        <v>6109</v>
      </c>
    </row>
    <row r="51" spans="1:40" x14ac:dyDescent="0.2">
      <c r="A51" s="1" t="s">
        <v>96</v>
      </c>
      <c r="E51" s="4">
        <v>18278</v>
      </c>
      <c r="G51" s="4">
        <f>+E52</f>
        <v>41121</v>
      </c>
      <c r="H51" s="4">
        <f>+E52</f>
        <v>41121</v>
      </c>
      <c r="I51" s="4">
        <f>+E52</f>
        <v>41121</v>
      </c>
      <c r="J51" s="4">
        <f>+E52</f>
        <v>41121</v>
      </c>
      <c r="L51" s="4">
        <f>+J52</f>
        <v>442658</v>
      </c>
      <c r="M51" s="4">
        <f>+J52</f>
        <v>442658</v>
      </c>
      <c r="N51" s="4">
        <f>+J52</f>
        <v>442658</v>
      </c>
      <c r="O51" s="4">
        <f>+J52</f>
        <v>442658</v>
      </c>
      <c r="Q51" s="4">
        <f>+O52</f>
        <v>449364</v>
      </c>
      <c r="R51" s="4">
        <f>+O52</f>
        <v>449364</v>
      </c>
      <c r="S51" s="4">
        <f>+O52</f>
        <v>449364</v>
      </c>
      <c r="T51" s="4">
        <f>+O52</f>
        <v>449364</v>
      </c>
      <c r="V51" s="4">
        <f>+T52</f>
        <v>627901</v>
      </c>
      <c r="W51" s="4">
        <f>+T52</f>
        <v>627901</v>
      </c>
      <c r="X51" s="4">
        <f>+T52</f>
        <v>627901</v>
      </c>
      <c r="Y51" s="4">
        <f>+T52</f>
        <v>627901</v>
      </c>
      <c r="AA51" s="4">
        <f>+Y52</f>
        <v>27606</v>
      </c>
      <c r="AB51" s="4">
        <f>+Y52</f>
        <v>27606</v>
      </c>
      <c r="AC51" s="4">
        <f>+Y52</f>
        <v>27606</v>
      </c>
      <c r="AD51" s="4">
        <f>+Y52</f>
        <v>27606</v>
      </c>
      <c r="AF51" s="4">
        <f>+AD52</f>
        <v>37394</v>
      </c>
      <c r="AG51" s="4">
        <f>+AD52</f>
        <v>37394</v>
      </c>
      <c r="AH51" s="4">
        <f>+AD52</f>
        <v>37394</v>
      </c>
      <c r="AI51" s="4">
        <f>+AD52</f>
        <v>37394</v>
      </c>
      <c r="AK51" s="4">
        <f>+AI52</f>
        <v>38416</v>
      </c>
      <c r="AL51" s="4">
        <f>+AI52</f>
        <v>38416</v>
      </c>
      <c r="AM51" s="4">
        <f>+AI52</f>
        <v>38416</v>
      </c>
      <c r="AN51" s="4">
        <f>+AI52</f>
        <v>38416</v>
      </c>
    </row>
    <row r="52" spans="1:40" ht="13.5" thickBot="1" x14ac:dyDescent="0.25">
      <c r="A52" s="1" t="s">
        <v>35</v>
      </c>
      <c r="E52" s="34">
        <f>SUM(E50:E51)</f>
        <v>41121</v>
      </c>
      <c r="F52" s="24"/>
      <c r="G52" s="34">
        <f>SUM(G50:G51)</f>
        <v>156003</v>
      </c>
      <c r="H52" s="34">
        <f>SUM(H50:H51)</f>
        <v>181913</v>
      </c>
      <c r="I52" s="34">
        <f>SUM(I50:I51)</f>
        <v>383411</v>
      </c>
      <c r="J52" s="34">
        <f>SUM(J50:J51)</f>
        <v>442658</v>
      </c>
      <c r="K52" s="24"/>
      <c r="L52" s="34">
        <f>SUM(L50:L51)</f>
        <v>456413</v>
      </c>
      <c r="M52" s="34">
        <f>SUM(M50:M51)</f>
        <v>458567</v>
      </c>
      <c r="N52" s="34">
        <f>SUM(N50:N51)</f>
        <v>445110</v>
      </c>
      <c r="O52" s="34">
        <f>SUM(O50:O51)</f>
        <v>449364</v>
      </c>
      <c r="P52" s="47"/>
      <c r="Q52" s="34">
        <f>SUM(Q50:Q51)</f>
        <v>725267</v>
      </c>
      <c r="R52" s="34">
        <f>SUM(R50:R51)</f>
        <v>750032</v>
      </c>
      <c r="S52" s="34">
        <f>SUM(S50:S51)</f>
        <v>664758</v>
      </c>
      <c r="T52" s="34">
        <f>SUM(T50:T51)</f>
        <v>627901</v>
      </c>
      <c r="U52" s="47"/>
      <c r="V52" s="34">
        <f>SUM(V50:V51)</f>
        <v>532191</v>
      </c>
      <c r="W52" s="34">
        <f>SUM(W50:W51)</f>
        <v>354600</v>
      </c>
      <c r="X52" s="34">
        <f>SUM(X50:X51)</f>
        <v>189880</v>
      </c>
      <c r="Y52" s="34">
        <f>SUM(Y50:Y51)</f>
        <v>27606</v>
      </c>
      <c r="AA52" s="34">
        <f>SUM(AA50:AA51)</f>
        <v>351698</v>
      </c>
      <c r="AB52" s="34">
        <f>SUM(AB50:AB51)</f>
        <v>100477</v>
      </c>
      <c r="AC52" s="34">
        <f>SUM(AC50:AC51)</f>
        <v>33346</v>
      </c>
      <c r="AD52" s="34">
        <f>SUM(AD50:AD51)</f>
        <v>37394</v>
      </c>
      <c r="AF52" s="34">
        <f>SUM(AF50:AF51)</f>
        <v>52575</v>
      </c>
      <c r="AG52" s="34">
        <f>SUM(AG50:AG51)</f>
        <v>316031</v>
      </c>
      <c r="AH52" s="34">
        <f>SUM(AH50:AH51)</f>
        <v>23713</v>
      </c>
      <c r="AI52" s="34">
        <f>SUM(AI50:AI51)</f>
        <v>38416</v>
      </c>
      <c r="AK52" s="34">
        <f>SUM(AK50:AK51)</f>
        <v>60080</v>
      </c>
      <c r="AL52" s="34">
        <f>SUM(AL50:AL51)</f>
        <v>25765</v>
      </c>
      <c r="AM52" s="34">
        <f t="shared" ref="AM52:AN52" si="1">SUM(AM50:AM51)</f>
        <v>26287</v>
      </c>
      <c r="AN52" s="34">
        <f t="shared" si="1"/>
        <v>44525</v>
      </c>
    </row>
    <row r="53" spans="1:40" ht="13.5" thickTop="1" x14ac:dyDescent="0.2">
      <c r="O53" s="4"/>
      <c r="Q53" s="4"/>
      <c r="R53" s="4"/>
      <c r="S53" s="4"/>
      <c r="T53" s="4"/>
    </row>
    <row r="54" spans="1:40" x14ac:dyDescent="0.2">
      <c r="O54" s="4"/>
      <c r="Q54" s="4"/>
      <c r="R54" s="4"/>
      <c r="S54" s="4"/>
      <c r="T54" s="4"/>
    </row>
    <row r="55" spans="1:40" x14ac:dyDescent="0.2">
      <c r="A55" s="1" t="s">
        <v>185</v>
      </c>
      <c r="R55" s="13"/>
      <c r="S55" s="13"/>
      <c r="T55" s="13"/>
    </row>
    <row r="56" spans="1:40" x14ac:dyDescent="0.2">
      <c r="B56" s="1" t="s">
        <v>28</v>
      </c>
      <c r="E56" s="24">
        <f>+E25</f>
        <v>2153</v>
      </c>
      <c r="G56" s="54">
        <f>+G25</f>
        <v>30919</v>
      </c>
      <c r="H56" s="54">
        <f>+H25</f>
        <v>-68612</v>
      </c>
      <c r="I56" s="54">
        <f>+I25</f>
        <v>13792</v>
      </c>
      <c r="J56" s="54">
        <f>+J25</f>
        <v>-52447</v>
      </c>
      <c r="L56" s="54">
        <f>+L25</f>
        <v>-106007</v>
      </c>
      <c r="M56" s="54">
        <f>+M25</f>
        <v>-276102</v>
      </c>
      <c r="N56" s="54">
        <f>+N25</f>
        <v>-482500</v>
      </c>
      <c r="O56" s="54">
        <f>+O25</f>
        <v>-754341</v>
      </c>
      <c r="Q56" s="54">
        <f>+Q25</f>
        <v>-67660</v>
      </c>
      <c r="R56" s="54">
        <f>+R25</f>
        <v>-251916</v>
      </c>
      <c r="S56" s="54">
        <f>+S25</f>
        <v>-480074</v>
      </c>
      <c r="T56" s="54">
        <f>+T25</f>
        <v>-590519</v>
      </c>
      <c r="V56" s="54">
        <f>+V25</f>
        <v>-204774</v>
      </c>
      <c r="W56" s="54">
        <f>+W25</f>
        <v>-406829</v>
      </c>
      <c r="X56" s="54">
        <f>+X25</f>
        <v>-750654</v>
      </c>
      <c r="Y56" s="54">
        <f>+Y25</f>
        <v>-917988</v>
      </c>
      <c r="AA56" s="54">
        <f>+AA25</f>
        <v>144234</v>
      </c>
      <c r="AB56" s="54">
        <f>+AB25</f>
        <v>-56674</v>
      </c>
      <c r="AC56" s="54">
        <f>+AC25</f>
        <v>-350441</v>
      </c>
      <c r="AD56" s="54">
        <f>+AD25</f>
        <v>-116757</v>
      </c>
      <c r="AF56" s="54">
        <f>+AF25</f>
        <v>87607</v>
      </c>
      <c r="AG56" s="54">
        <f>+AG25</f>
        <v>-33009</v>
      </c>
      <c r="AH56" s="54">
        <f>+AH25</f>
        <v>-336046</v>
      </c>
      <c r="AI56" s="54">
        <f>+AI25</f>
        <v>-455311</v>
      </c>
      <c r="AK56" s="54">
        <f>+AK25</f>
        <v>191493</v>
      </c>
      <c r="AL56" s="54">
        <f>+AL25</f>
        <v>81097</v>
      </c>
      <c r="AM56" s="54">
        <f>+AM25</f>
        <v>-193122</v>
      </c>
      <c r="AN56" s="54">
        <f>+AN25</f>
        <v>-80550</v>
      </c>
    </row>
    <row r="57" spans="1:40" x14ac:dyDescent="0.2">
      <c r="B57" s="1" t="s">
        <v>165</v>
      </c>
      <c r="E57" s="4">
        <f>(+E44+E45)</f>
        <v>187251</v>
      </c>
      <c r="G57" s="4">
        <f>(+G44+G45)</f>
        <v>128401</v>
      </c>
      <c r="H57" s="4">
        <f>(+H44+H45)</f>
        <v>284941</v>
      </c>
      <c r="I57" s="4">
        <f>(+I44+I45)</f>
        <v>451568</v>
      </c>
      <c r="J57" s="4">
        <f>(+J44+J45)</f>
        <v>670428</v>
      </c>
      <c r="L57" s="4">
        <f>(+L44+L45)</f>
        <v>141100</v>
      </c>
      <c r="M57" s="4">
        <f>(+M44+M45)</f>
        <v>396905</v>
      </c>
      <c r="N57" s="4">
        <f>(+N44+N45)</f>
        <v>696374</v>
      </c>
      <c r="O57" s="4">
        <f>(+O44+O45)</f>
        <v>1171001</v>
      </c>
      <c r="Q57" s="4">
        <f>(+Q44+Q45)</f>
        <v>512265</v>
      </c>
      <c r="R57" s="4">
        <f>(+R44+R45)</f>
        <v>875342</v>
      </c>
      <c r="S57" s="4">
        <f>(+S44+S45)</f>
        <v>1114979</v>
      </c>
      <c r="T57" s="4">
        <f>(+T44+T45)</f>
        <v>1393354</v>
      </c>
      <c r="V57" s="4">
        <f>(+V44+V45)</f>
        <v>378531</v>
      </c>
      <c r="W57" s="4">
        <f>(+W44+W45)</f>
        <v>660265</v>
      </c>
      <c r="X57" s="4">
        <f>(+X44+X45)</f>
        <v>931989</v>
      </c>
      <c r="Y57" s="4">
        <f>(+Y44+Y45)</f>
        <v>1222185</v>
      </c>
      <c r="AA57" s="4">
        <f>(+AA44+AA45)</f>
        <v>391494</v>
      </c>
      <c r="AB57" s="4">
        <f>(+AB44+AB45)</f>
        <v>682465</v>
      </c>
      <c r="AC57" s="4">
        <f>(+AC44+AC45)</f>
        <v>865289</v>
      </c>
      <c r="AD57" s="4">
        <f>(+AD44+AD45)</f>
        <v>1057121</v>
      </c>
      <c r="AF57" s="4">
        <f>(+AF44+AF45)</f>
        <v>306572</v>
      </c>
      <c r="AG57" s="4">
        <f>(+AG44+AG45)</f>
        <v>736794</v>
      </c>
      <c r="AH57" s="4">
        <f>(+AH44+AH45)</f>
        <v>935198</v>
      </c>
      <c r="AI57" s="4">
        <f>(+AI44+AI45)</f>
        <v>1214675</v>
      </c>
      <c r="AK57" s="4">
        <f>(+AK44+AK45)</f>
        <v>260865</v>
      </c>
      <c r="AL57" s="4">
        <f>(+AL44+AL45)</f>
        <v>561077</v>
      </c>
      <c r="AM57" s="4">
        <f>(+AM44+AM45)</f>
        <v>744603</v>
      </c>
      <c r="AN57" s="4">
        <f>(+AN44+AN45)</f>
        <v>902189</v>
      </c>
    </row>
    <row r="58" spans="1:40" ht="13.5" thickBot="1" x14ac:dyDescent="0.25">
      <c r="B58" s="1" t="s">
        <v>166</v>
      </c>
      <c r="E58" s="6">
        <f>SUM(E56:E57)</f>
        <v>189404</v>
      </c>
      <c r="G58" s="55">
        <f>SUM(G56:G57)</f>
        <v>159320</v>
      </c>
      <c r="H58" s="55">
        <f>SUM(H56:H57)</f>
        <v>216329</v>
      </c>
      <c r="I58" s="55">
        <f>SUM(I56:I57)</f>
        <v>465360</v>
      </c>
      <c r="J58" s="55">
        <f>SUM(J56:J57)</f>
        <v>617981</v>
      </c>
      <c r="L58" s="55">
        <f>SUM(L56:L57)</f>
        <v>35093</v>
      </c>
      <c r="M58" s="55">
        <f>SUM(M56:M57)</f>
        <v>120803</v>
      </c>
      <c r="N58" s="55">
        <f>SUM(N56:N57)</f>
        <v>213874</v>
      </c>
      <c r="O58" s="55">
        <f>SUM(O56:O57)</f>
        <v>416660</v>
      </c>
      <c r="Q58" s="55">
        <f>SUM(Q56:Q57)</f>
        <v>444605</v>
      </c>
      <c r="R58" s="55">
        <f>SUM(R56:R57)</f>
        <v>623426</v>
      </c>
      <c r="S58" s="55">
        <f>SUM(S56:S57)</f>
        <v>634905</v>
      </c>
      <c r="T58" s="55">
        <f>SUM(T56:T57)</f>
        <v>802835</v>
      </c>
      <c r="V58" s="55">
        <f>SUM(V56:V57)</f>
        <v>173757</v>
      </c>
      <c r="W58" s="55">
        <f>SUM(W56:W57)</f>
        <v>253436</v>
      </c>
      <c r="X58" s="55">
        <f>SUM(X56:X57)</f>
        <v>181335</v>
      </c>
      <c r="Y58" s="55">
        <f>SUM(Y56:Y57)</f>
        <v>304197</v>
      </c>
      <c r="AA58" s="55">
        <f>SUM(AA56:AA57)</f>
        <v>535728</v>
      </c>
      <c r="AB58" s="55">
        <f>SUM(AB56:AB57)</f>
        <v>625791</v>
      </c>
      <c r="AC58" s="55">
        <f>SUM(AC56:AC57)</f>
        <v>514848</v>
      </c>
      <c r="AD58" s="55">
        <f>SUM(AD56:AD57)</f>
        <v>940364</v>
      </c>
      <c r="AF58" s="55">
        <f>SUM(AF56:AF57)</f>
        <v>394179</v>
      </c>
      <c r="AG58" s="55">
        <f>SUM(AG56:AG57)</f>
        <v>703785</v>
      </c>
      <c r="AH58" s="55">
        <f>SUM(AH56:AH57)</f>
        <v>599152</v>
      </c>
      <c r="AI58" s="55">
        <f>SUM(AI56:AI57)</f>
        <v>759364</v>
      </c>
      <c r="AK58" s="55">
        <f>SUM(AK56:AK57)</f>
        <v>452358</v>
      </c>
      <c r="AL58" s="55">
        <f>SUM(AL56:AL57)</f>
        <v>642174</v>
      </c>
      <c r="AM58" s="55">
        <f t="shared" ref="AM58:AN58" si="2">SUM(AM56:AM57)</f>
        <v>551481</v>
      </c>
      <c r="AN58" s="55">
        <f t="shared" si="2"/>
        <v>821639</v>
      </c>
    </row>
    <row r="59" spans="1:40" ht="13.5" thickTop="1" x14ac:dyDescent="0.2"/>
    <row r="60" spans="1:40" x14ac:dyDescent="0.2">
      <c r="A60" s="51" t="s">
        <v>99</v>
      </c>
      <c r="B60" s="51" t="s">
        <v>184</v>
      </c>
    </row>
    <row r="61" spans="1:40" x14ac:dyDescent="0.2">
      <c r="B61" s="1" t="s">
        <v>178</v>
      </c>
    </row>
    <row r="62" spans="1:40" x14ac:dyDescent="0.2">
      <c r="A62" s="51"/>
      <c r="B62" s="51" t="s">
        <v>179</v>
      </c>
    </row>
    <row r="63" spans="1:40" x14ac:dyDescent="0.2">
      <c r="A63" s="50"/>
      <c r="B63" s="51" t="s">
        <v>180</v>
      </c>
    </row>
    <row r="64" spans="1:40" x14ac:dyDescent="0.2">
      <c r="A64" s="1" t="s">
        <v>181</v>
      </c>
    </row>
    <row r="65" spans="2:2" x14ac:dyDescent="0.2">
      <c r="B65" s="51" t="s">
        <v>182</v>
      </c>
    </row>
    <row r="66" spans="2:2" x14ac:dyDescent="0.2">
      <c r="B66" s="1" t="s">
        <v>183</v>
      </c>
    </row>
  </sheetData>
  <mergeCells count="7">
    <mergeCell ref="AK3:AN3"/>
    <mergeCell ref="AF3:AI3"/>
    <mergeCell ref="G3:J3"/>
    <mergeCell ref="L3:O3"/>
    <mergeCell ref="Q3:T3"/>
    <mergeCell ref="V3:Y3"/>
    <mergeCell ref="AA3:AD3"/>
  </mergeCells>
  <phoneticPr fontId="2" type="noConversion"/>
  <pageMargins left="0.42" right="0.42" top="0.62" bottom="1" header="0.5" footer="0.5"/>
  <pageSetup scale="72" fitToWidth="4" orientation="portrait" r:id="rId1"/>
  <headerFooter alignWithMargins="0"/>
  <colBreaks count="2" manualBreakCount="2">
    <brk id="11" max="1048575" man="1"/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Income Statement Info</vt:lpstr>
      <vt:lpstr>Balance Sheet Info</vt:lpstr>
      <vt:lpstr>Cash Flow Info</vt:lpstr>
      <vt:lpstr>'Income Statement Info'!Print_Area</vt:lpstr>
      <vt:lpstr>'Balance Sheet Info'!Print_Titles</vt:lpstr>
      <vt:lpstr>'Cash Flow Info'!Print_Titles</vt:lpstr>
      <vt:lpstr>'Income Statement Info'!Print_Titles</vt:lpstr>
    </vt:vector>
  </TitlesOfParts>
  <Company>CarMax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Shah Bijal R. (KGKE 32)</cp:lastModifiedBy>
  <cp:lastPrinted>2018-04-03T15:31:05Z</cp:lastPrinted>
  <dcterms:created xsi:type="dcterms:W3CDTF">2011-05-12T17:22:28Z</dcterms:created>
  <dcterms:modified xsi:type="dcterms:W3CDTF">2018-05-23T21:28:59Z</dcterms:modified>
</cp:coreProperties>
</file>