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Blatt 1 - Auswertung V2" sheetId="1" r:id="rId4"/>
  </sheets>
</workbook>
</file>

<file path=xl/sharedStrings.xml><?xml version="1.0" encoding="utf-8"?>
<sst xmlns="http://schemas.openxmlformats.org/spreadsheetml/2006/main" uniqueCount="21">
  <si>
    <t>Auswertung V2</t>
  </si>
  <si>
    <t>T/K</t>
  </si>
  <si>
    <t>Delta T</t>
  </si>
  <si>
    <t>1/T /1/K</t>
  </si>
  <si>
    <t>EMK</t>
  </si>
  <si>
    <t>Delta_EMK</t>
  </si>
  <si>
    <t>Delta G</t>
  </si>
  <si>
    <t>Delta H</t>
  </si>
  <si>
    <t>Delta S</t>
  </si>
  <si>
    <t>z</t>
  </si>
  <si>
    <t xml:space="preserve">F </t>
  </si>
  <si>
    <t>R</t>
  </si>
  <si>
    <t>K</t>
  </si>
  <si>
    <t>ln(K)</t>
  </si>
  <si>
    <t>Delta ln(K)</t>
  </si>
  <si>
    <t>Delta_Delta G</t>
  </si>
  <si>
    <t>Delta_Delta H</t>
  </si>
  <si>
    <t>Delta_Delta S</t>
  </si>
  <si>
    <t>m_EMK/T</t>
  </si>
  <si>
    <t>Fehler m_EMK/T</t>
  </si>
  <si>
    <t>GrößtFehler Habib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</si>
</sst>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U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10" width="16.3516" style="1" customWidth="1"/>
    <col min="11" max="11" width="16.3516" style="1" customWidth="1"/>
    <col min="12" max="12" width="16.3516" style="1" customWidth="1"/>
    <col min="13" max="13" width="16.3516" style="1" customWidth="1"/>
    <col min="14" max="14" width="16.3516" style="1" customWidth="1"/>
    <col min="15" max="15" width="16.3516" style="1" customWidth="1"/>
    <col min="16" max="16" width="16.3516" style="1" customWidth="1"/>
    <col min="17" max="17" width="16.3516" style="1" customWidth="1"/>
    <col min="18" max="18" width="16.3516" style="1" customWidth="1"/>
    <col min="19" max="19" width="16.3516" style="1" customWidth="1"/>
    <col min="20" max="20" width="16.3516" style="1" customWidth="1"/>
    <col min="21" max="21" width="16.3516" style="1" customWidth="1"/>
    <col min="22" max="256" width="16.3516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20.5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  <c r="J2" t="s" s="3">
        <v>10</v>
      </c>
      <c r="K2" t="s" s="3">
        <v>11</v>
      </c>
      <c r="L2" t="s" s="3">
        <v>12</v>
      </c>
      <c r="M2" t="s" s="3">
        <v>13</v>
      </c>
      <c r="N2" t="s" s="3">
        <v>14</v>
      </c>
      <c r="O2" t="s" s="3">
        <v>15</v>
      </c>
      <c r="P2" t="s" s="3">
        <v>16</v>
      </c>
      <c r="Q2" t="s" s="3">
        <v>17</v>
      </c>
      <c r="R2" s="3"/>
      <c r="S2" s="3"/>
      <c r="T2" t="s" s="3">
        <v>18</v>
      </c>
      <c r="U2" t="s" s="3">
        <v>19</v>
      </c>
    </row>
    <row r="3" ht="20.55" customHeight="1">
      <c r="A3" s="4">
        <f>160.55+273.15</f>
        <v>433.7</v>
      </c>
      <c r="B3" s="5">
        <v>0.05</v>
      </c>
      <c r="C3" s="6">
        <f>(1/A3)</f>
        <v>0.002305741295826608</v>
      </c>
      <c r="D3" s="6">
        <v>0.2889</v>
      </c>
      <c r="E3" s="6">
        <v>0.005</v>
      </c>
      <c r="F3" s="6">
        <f>-D3*I3*J3</f>
        <v>-55749.227429699989</v>
      </c>
      <c r="G3" s="7"/>
      <c r="H3" s="6">
        <f>I3*J3*T3</f>
        <v>43.33561700628299</v>
      </c>
      <c r="I3" s="6">
        <v>2</v>
      </c>
      <c r="J3" s="6">
        <f t="shared" si="4" ref="J3:J23">9.64853365*10^(4)</f>
        <v>96485.336499999990</v>
      </c>
      <c r="K3" s="6">
        <v>8.3144621</v>
      </c>
      <c r="L3" s="6">
        <f>EXP((D3*I3*J3)/(K3*A3))</f>
        <v>5179431.637517609</v>
      </c>
      <c r="M3" s="6">
        <f>LN(L3)</f>
        <v>15.46020588572877</v>
      </c>
      <c r="N3" s="6">
        <f>(((D3*I3*J3*B3)/(K3*A3^2))^2+((I3*J3*E3)/(K3*A3))^2)^(1/2)</f>
        <v>0.2675761316678058</v>
      </c>
      <c r="O3" s="6">
        <f>((-I3*J3*E3)^2)^(1/2)</f>
        <v>964.8533649999999</v>
      </c>
      <c r="P3" t="s" s="8">
        <v>20</v>
      </c>
      <c r="Q3" s="6">
        <f>((-I3*J3*U3)^2)^(1/2)</f>
        <v>0.71745531368035</v>
      </c>
      <c r="R3" s="6">
        <f>M3*10^3</f>
        <v>15460.205885728765</v>
      </c>
      <c r="S3" s="6">
        <f>N3*10^3</f>
        <v>267.5761316678058</v>
      </c>
      <c r="T3" s="6">
        <f>2.24571*10^(-4)</f>
        <v>0.000224571</v>
      </c>
      <c r="U3" s="6">
        <f>3.71795*10^(-6)</f>
        <v>3.71795e-06</v>
      </c>
    </row>
    <row r="4" ht="20.35" customHeight="1">
      <c r="A4" s="9">
        <f>165.35+273.15</f>
        <v>438.5</v>
      </c>
      <c r="B4" s="10">
        <v>0.05</v>
      </c>
      <c r="C4" s="11">
        <f>(1/A4)</f>
        <v>0.002280501710376283</v>
      </c>
      <c r="D4" s="11">
        <v>0.2971</v>
      </c>
      <c r="E4" s="11">
        <v>0.003</v>
      </c>
      <c r="F4" s="11">
        <f>-D4*I4*J4</f>
        <v>-57331.586948299991</v>
      </c>
      <c r="G4" s="12"/>
      <c r="H4" s="11">
        <f>I4*J4*T4</f>
        <v>0</v>
      </c>
      <c r="I4" s="11">
        <v>2</v>
      </c>
      <c r="J4" s="11">
        <f t="shared" si="4"/>
        <v>96485.336499999990</v>
      </c>
      <c r="K4" s="11">
        <v>8.3144621</v>
      </c>
      <c r="L4" s="11">
        <f>EXP((D4*I4*J4)/(K4*A4))</f>
        <v>6749532.707872143</v>
      </c>
      <c r="M4" s="11">
        <f>LN(L4)</f>
        <v>15.72498383198893</v>
      </c>
      <c r="N4" s="11">
        <f>(((D4*I4*J4*B4)/(K4*A4^2))^2+((I4*J4*E4)/(K4*A4))^2)^(1/2)</f>
        <v>0.1587948810946157</v>
      </c>
      <c r="O4" s="11">
        <f>((-I4*J4*E4)^2)^(1/2)</f>
        <v>578.912019</v>
      </c>
      <c r="P4" s="11"/>
      <c r="Q4" s="11">
        <f>((-I4*J4*U4)^2)^(1/2)</f>
        <v>0</v>
      </c>
      <c r="R4" s="11">
        <f>M4*10^3</f>
        <v>15724.983831988926</v>
      </c>
      <c r="S4" s="11">
        <f>N4*10^3</f>
        <v>158.7948810946157</v>
      </c>
      <c r="T4" s="12"/>
      <c r="U4" s="12"/>
    </row>
    <row r="5" ht="20.35" customHeight="1">
      <c r="A5" s="9">
        <f>170.1+273.15</f>
        <v>443.25</v>
      </c>
      <c r="B5" s="10">
        <v>0.1</v>
      </c>
      <c r="C5" s="11">
        <f>(1/A5)</f>
        <v>0.002256063169768754</v>
      </c>
      <c r="D5" s="11">
        <v>0.2872</v>
      </c>
      <c r="E5" s="11">
        <v>0.003</v>
      </c>
      <c r="F5" s="11">
        <f>-D5*I5*J5</f>
        <v>-55421.1772856</v>
      </c>
      <c r="G5" s="12"/>
      <c r="H5" s="11">
        <f>I5*J5*T5</f>
        <v>0</v>
      </c>
      <c r="I5" s="11">
        <v>2</v>
      </c>
      <c r="J5" s="11">
        <f t="shared" si="4"/>
        <v>96485.336499999990</v>
      </c>
      <c r="K5" s="11">
        <v>8.3144621</v>
      </c>
      <c r="L5" s="11">
        <f>EXP((D5*I5*J5)/(K5*A5))</f>
        <v>3395955.482397751</v>
      </c>
      <c r="M5" s="11">
        <f>LN(L5)</f>
        <v>15.03809571749287</v>
      </c>
      <c r="N5" s="11">
        <f>(((D5*I5*J5*B5)/(K5*A5^2))^2+((I5*J5*E5)/(K5*A5))^2)^(1/2)</f>
        <v>0.1571198059934476</v>
      </c>
      <c r="O5" s="11">
        <f>((-I5*J5*E5)^2)^(1/2)</f>
        <v>578.912019</v>
      </c>
      <c r="P5" s="11"/>
      <c r="Q5" s="11">
        <f>((-I5*J5*U5)^2)^(1/2)</f>
        <v>0</v>
      </c>
      <c r="R5" s="11">
        <f>M5*10^3</f>
        <v>15038.095717492868</v>
      </c>
      <c r="S5" s="11">
        <f>N5*10^3</f>
        <v>157.1198059934476</v>
      </c>
      <c r="T5" s="12"/>
      <c r="U5" s="12"/>
    </row>
    <row r="6" ht="20.35" customHeight="1">
      <c r="A6" s="9">
        <f>175+273.15</f>
        <v>448.15</v>
      </c>
      <c r="B6" s="10">
        <v>0.05</v>
      </c>
      <c r="C6" s="11">
        <f>(1/A6)</f>
        <v>0.00223139573803414</v>
      </c>
      <c r="D6" s="11">
        <v>0.2782</v>
      </c>
      <c r="E6" s="11">
        <v>0.0005</v>
      </c>
      <c r="F6" s="11">
        <f>-D6*I6*J6</f>
        <v>-53684.441228599993</v>
      </c>
      <c r="G6" s="12"/>
      <c r="H6" s="11">
        <f>I6*J6*T6</f>
        <v>30.861799732890</v>
      </c>
      <c r="I6" s="11">
        <v>2</v>
      </c>
      <c r="J6" s="11">
        <f t="shared" si="4"/>
        <v>96485.336499999990</v>
      </c>
      <c r="K6" s="11">
        <v>8.3144621</v>
      </c>
      <c r="L6" s="11">
        <f>EXP((D6*I6*J6)/(K6*A6))</f>
        <v>1807715.85384812</v>
      </c>
      <c r="M6" s="11">
        <f>LN(L6)</f>
        <v>14.40757464710102</v>
      </c>
      <c r="N6" s="11">
        <f>(((D6*I6*J6*B6)/(K6*A6^2))^2+((I6*J6*E6)/(K6*A6))^2)^(1/2)</f>
        <v>0.02594412027489035</v>
      </c>
      <c r="O6" s="11">
        <f>((-I6*J6*E6)^2)^(1/2)</f>
        <v>96.48533649999999</v>
      </c>
      <c r="P6" s="11"/>
      <c r="Q6" s="11">
        <f>((-I6*J6*U6)^2)^(1/2)</f>
        <v>0.2103573306373</v>
      </c>
      <c r="R6" s="11">
        <f>M6*10^3</f>
        <v>14407.574647101022</v>
      </c>
      <c r="S6" s="11">
        <f>N6*10^3</f>
        <v>25.94412027489035</v>
      </c>
      <c r="T6" s="11">
        <f>1.5993*10^(-4)</f>
        <v>0.00015993</v>
      </c>
      <c r="U6" s="11">
        <f>1.0901*10^(-6)</f>
        <v>1.0901e-06</v>
      </c>
    </row>
    <row r="7" ht="20.35" customHeight="1">
      <c r="A7" s="9">
        <f>180+273.15</f>
        <v>453.15</v>
      </c>
      <c r="B7" s="10">
        <v>0.05</v>
      </c>
      <c r="C7" s="11">
        <f>(1/A7)</f>
        <v>0.0022067747986318</v>
      </c>
      <c r="D7" s="11">
        <v>0.2792</v>
      </c>
      <c r="E7" s="11">
        <v>0.0005</v>
      </c>
      <c r="F7" s="11">
        <f>-D7*I7*J7</f>
        <v>-53877.4119016</v>
      </c>
      <c r="G7" s="12"/>
      <c r="H7" s="11">
        <f>I7*J7*T7</f>
        <v>0</v>
      </c>
      <c r="I7" s="11">
        <v>2</v>
      </c>
      <c r="J7" s="11">
        <f t="shared" si="4"/>
        <v>96485.336499999990</v>
      </c>
      <c r="K7" s="11">
        <v>8.3144621</v>
      </c>
      <c r="L7" s="11">
        <f>EXP((D7*I7*J7)/(K7*A7))</f>
        <v>1623054.467492375</v>
      </c>
      <c r="M7" s="11">
        <f>LN(L7)</f>
        <v>14.29982040569478</v>
      </c>
      <c r="N7" s="11">
        <f>(((D7*I7*J7*B7)/(K7*A7^2))^2+((I7*J7*E7)/(K7*A7))^2)^(1/2)</f>
        <v>0.02565712221557039</v>
      </c>
      <c r="O7" s="11">
        <f>((-I7*J7*E7)^2)^(1/2)</f>
        <v>96.48533649999999</v>
      </c>
      <c r="P7" s="11"/>
      <c r="Q7" s="11">
        <f>((-I7*J7*U7)^2)^(1/2)</f>
        <v>0</v>
      </c>
      <c r="R7" s="11">
        <f>M7*10^3</f>
        <v>14299.820405694780</v>
      </c>
      <c r="S7" s="11">
        <f>N7*10^3</f>
        <v>25.65712221557039</v>
      </c>
      <c r="T7" s="12"/>
      <c r="U7" s="12"/>
    </row>
    <row r="8" ht="20.35" customHeight="1">
      <c r="A8" s="9">
        <f>185+273.15</f>
        <v>458.15</v>
      </c>
      <c r="B8" s="10">
        <v>0.05</v>
      </c>
      <c r="C8" s="11">
        <f>(1/A8)</f>
        <v>0.002182691258321511</v>
      </c>
      <c r="D8" s="11">
        <v>0.2803</v>
      </c>
      <c r="E8" s="11">
        <v>0.0005</v>
      </c>
      <c r="F8" s="11">
        <f>-D8*I8*J8</f>
        <v>-54089.679641899995</v>
      </c>
      <c r="G8" s="12"/>
      <c r="H8" s="11">
        <f>I8*J8*T8</f>
        <v>0</v>
      </c>
      <c r="I8" s="11">
        <v>2</v>
      </c>
      <c r="J8" s="11">
        <f t="shared" si="4"/>
        <v>96485.336499999990</v>
      </c>
      <c r="K8" s="11">
        <v>8.3144621</v>
      </c>
      <c r="L8" s="11">
        <f>EXP((D8*I8*J8)/(K8*A8))</f>
        <v>1468106.338632778</v>
      </c>
      <c r="M8" s="11">
        <f>LN(L8)</f>
        <v>14.19948392329386</v>
      </c>
      <c r="N8" s="11">
        <f>(((D8*I8*J8*B8)/(K8*A8^2))^2+((I8*J8*E8)/(K8*A8))^2)^(1/2)</f>
        <v>0.02537644328928552</v>
      </c>
      <c r="O8" s="11">
        <f>((-I8*J8*E8)^2)^(1/2)</f>
        <v>96.48533649999999</v>
      </c>
      <c r="P8" s="11"/>
      <c r="Q8" s="11"/>
      <c r="R8" s="11">
        <f>M8*10^3</f>
        <v>14199.483923293858</v>
      </c>
      <c r="S8" s="11">
        <f>N8*10^3</f>
        <v>25.37644328928552</v>
      </c>
      <c r="T8" s="12"/>
      <c r="U8" s="12"/>
    </row>
    <row r="9" ht="20.35" customHeight="1">
      <c r="A9" s="9">
        <f>190+273.15</f>
        <v>463.15</v>
      </c>
      <c r="B9" s="10">
        <v>0.05</v>
      </c>
      <c r="C9" s="11">
        <f>(1/A9)</f>
        <v>0.002159127712404189</v>
      </c>
      <c r="D9" s="11">
        <v>0.2814</v>
      </c>
      <c r="E9" s="11">
        <v>0.0005</v>
      </c>
      <c r="F9" s="11">
        <f>-D9*I9*J9</f>
        <v>-54301.947382199993</v>
      </c>
      <c r="G9" s="12"/>
      <c r="H9" s="11">
        <f>I9*J9*T9</f>
        <v>0</v>
      </c>
      <c r="I9" s="11">
        <v>2</v>
      </c>
      <c r="J9" s="11">
        <f t="shared" si="4"/>
        <v>96485.336499999990</v>
      </c>
      <c r="K9" s="11">
        <v>8.3144621</v>
      </c>
      <c r="L9" s="11">
        <f>EXP((D9*I9*J9)/(K9*A9))</f>
        <v>1330830.622810428</v>
      </c>
      <c r="M9" s="11">
        <f>LN(L9)</f>
        <v>14.10131383369011</v>
      </c>
      <c r="N9" s="11">
        <f>(((D9*I9*J9*B9)/(K9*A9^2))^2+((I9*J9*E9)/(K9*A9))^2)^(1/2)</f>
        <v>0.0251018434187055</v>
      </c>
      <c r="O9" s="11">
        <f>((-I9*J9*E9)^2)^(1/2)</f>
        <v>96.48533649999999</v>
      </c>
      <c r="P9" s="11"/>
      <c r="Q9" s="11"/>
      <c r="R9" s="11">
        <f>M9*10^3</f>
        <v>14101.313833690108</v>
      </c>
      <c r="S9" s="11">
        <f>N9*10^3</f>
        <v>25.1018434187055</v>
      </c>
      <c r="T9" s="12"/>
      <c r="U9" s="12"/>
    </row>
    <row r="10" ht="20.35" customHeight="1">
      <c r="A10" s="9">
        <f>195+273.15</f>
        <v>468.15</v>
      </c>
      <c r="B10" s="10">
        <v>0.05</v>
      </c>
      <c r="C10" s="11">
        <f>(1/A10)</f>
        <v>0.002136067499732992</v>
      </c>
      <c r="D10" s="11">
        <v>0.2826</v>
      </c>
      <c r="E10" s="11">
        <v>0.0005</v>
      </c>
      <c r="F10" s="11">
        <f>-D10*I10*J10</f>
        <v>-54533.5121898</v>
      </c>
      <c r="G10" s="12"/>
      <c r="H10" s="12"/>
      <c r="I10" s="11">
        <v>2</v>
      </c>
      <c r="J10" s="11">
        <f t="shared" si="4"/>
        <v>96485.336499999990</v>
      </c>
      <c r="K10" s="11">
        <v>8.3144621</v>
      </c>
      <c r="L10" s="11">
        <f>EXP((D10*I10*J10)/(K10*A10))</f>
        <v>1214931.592619034</v>
      </c>
      <c r="M10" s="11">
        <f>LN(L10)</f>
        <v>14.01019833080058</v>
      </c>
      <c r="N10" s="11">
        <f>(((D10*I10*J10*B10)/(K10*A10^2))^2+((I10*J10*E10)/(K10*A10))^2)^(1/2)</f>
        <v>0.02483315898559597</v>
      </c>
      <c r="O10" s="11">
        <f>((-I10*J10*E10)^2)^(1/2)</f>
        <v>96.48533649999999</v>
      </c>
      <c r="P10" s="11"/>
      <c r="Q10" s="11"/>
      <c r="R10" s="11">
        <f>M10*10^3</f>
        <v>14010.198330800582</v>
      </c>
      <c r="S10" s="11">
        <f>N10*10^3</f>
        <v>24.83315898559597</v>
      </c>
      <c r="T10" s="12"/>
      <c r="U10" s="12"/>
    </row>
    <row r="11" ht="20.35" customHeight="1">
      <c r="A11" s="9">
        <f>200+273.15</f>
        <v>473.15</v>
      </c>
      <c r="B11" s="10">
        <v>0.05</v>
      </c>
      <c r="C11" s="11">
        <f>(1/A11)</f>
        <v>0.002113494663425975</v>
      </c>
      <c r="D11" s="11">
        <v>0.2838</v>
      </c>
      <c r="E11" s="11">
        <v>0.0005</v>
      </c>
      <c r="F11" s="11">
        <f>-D11*I11*J11</f>
        <v>-54765.076997399992</v>
      </c>
      <c r="G11" s="12"/>
      <c r="H11" s="12"/>
      <c r="I11" s="11">
        <v>2</v>
      </c>
      <c r="J11" s="11">
        <f t="shared" si="4"/>
        <v>96485.336499999990</v>
      </c>
      <c r="K11" s="11">
        <v>8.3144621</v>
      </c>
      <c r="L11" s="11">
        <f>EXP((D11*I11*J11)/(K11*A11))</f>
        <v>1111263.872255866</v>
      </c>
      <c r="M11" s="11">
        <f>LN(L11)</f>
        <v>13.92100854920218</v>
      </c>
      <c r="N11" s="11">
        <f>(((D11*I11*J11*B11)/(K11*A11^2))^2+((I11*J11*E11)/(K11*A11))^2)^(1/2)</f>
        <v>0.02457016912652886</v>
      </c>
      <c r="O11" s="11">
        <f>((-I11*J11*E11)^2)^(1/2)</f>
        <v>96.48533649999999</v>
      </c>
      <c r="P11" s="11"/>
      <c r="Q11" s="11"/>
      <c r="R11" s="11">
        <f>M11*10^3</f>
        <v>13921.008549202179</v>
      </c>
      <c r="S11" s="11">
        <f>N11*10^3</f>
        <v>24.57016912652886</v>
      </c>
      <c r="T11" s="12"/>
      <c r="U11" s="12"/>
    </row>
    <row r="12" ht="20.35" customHeight="1">
      <c r="A12" s="9">
        <f>205+273.15</f>
        <v>478.15</v>
      </c>
      <c r="B12" s="10">
        <v>0.05</v>
      </c>
      <c r="C12" s="11">
        <f>(1/A12)</f>
        <v>0.00209139391404371</v>
      </c>
      <c r="D12" s="11">
        <v>0.2844</v>
      </c>
      <c r="E12" s="11">
        <v>0.0005</v>
      </c>
      <c r="F12" s="11">
        <f>-D12*I12*J12</f>
        <v>-54880.859401199988</v>
      </c>
      <c r="G12" s="12"/>
      <c r="H12" s="12"/>
      <c r="I12" s="11">
        <v>2</v>
      </c>
      <c r="J12" s="11">
        <f t="shared" si="4"/>
        <v>96485.336499999990</v>
      </c>
      <c r="K12" s="11">
        <v>8.3144621</v>
      </c>
      <c r="L12" s="11">
        <f>EXP((D12*I12*J12)/(K12*A12))</f>
        <v>989109.7071881008</v>
      </c>
      <c r="M12" s="11">
        <f>LN(L12)</f>
        <v>13.80456053184225</v>
      </c>
      <c r="N12" s="11">
        <f>(((D12*I12*J12*B12)/(K12*A12^2))^2+((I12*J12*E12)/(K12*A12))^2)^(1/2)</f>
        <v>0.02431251358004012</v>
      </c>
      <c r="O12" s="11">
        <f>((-I12*J12*E12)^2)^(1/2)</f>
        <v>96.48533649999999</v>
      </c>
      <c r="P12" s="11"/>
      <c r="Q12" s="11"/>
      <c r="R12" s="11">
        <f>M12*10^3</f>
        <v>13804.560531842246</v>
      </c>
      <c r="S12" s="11">
        <f>N12*10^3</f>
        <v>24.31251358004012</v>
      </c>
      <c r="T12" s="12"/>
      <c r="U12" s="12"/>
    </row>
    <row r="13" ht="20.35" customHeight="1">
      <c r="A13" s="9">
        <f>210+273.15</f>
        <v>483.15</v>
      </c>
      <c r="B13" s="10">
        <v>0.05</v>
      </c>
      <c r="C13" s="11">
        <f>(1/A13)</f>
        <v>0.002069750595053296</v>
      </c>
      <c r="D13" s="11">
        <v>0.2852</v>
      </c>
      <c r="E13" s="11">
        <v>0.0005</v>
      </c>
      <c r="F13" s="11">
        <f>-D13*I13*J13</f>
        <v>-55035.2359396</v>
      </c>
      <c r="G13" s="12"/>
      <c r="H13" s="12"/>
      <c r="I13" s="11">
        <v>2</v>
      </c>
      <c r="J13" s="11">
        <f t="shared" si="4"/>
        <v>96485.336499999990</v>
      </c>
      <c r="K13" s="11">
        <v>8.3144621</v>
      </c>
      <c r="L13" s="11">
        <f>EXP((D13*I13*J13)/(K13*A13))</f>
        <v>891027.0653478439</v>
      </c>
      <c r="M13" s="11">
        <f>LN(L13)</f>
        <v>13.70013008236403</v>
      </c>
      <c r="N13" s="11">
        <f>(((D13*I13*J13*B13)/(K13*A13^2))^2+((I13*J13*E13)/(K13*A13))^2)^(1/2)</f>
        <v>0.02406027012844772</v>
      </c>
      <c r="O13" s="11">
        <f>((-I13*J13*E13)^2)^(1/2)</f>
        <v>96.48533649999999</v>
      </c>
      <c r="P13" s="11"/>
      <c r="Q13" s="11"/>
      <c r="R13" s="11">
        <f>M13*10^3</f>
        <v>13700.130082364034</v>
      </c>
      <c r="S13" s="11">
        <f>N13*10^3</f>
        <v>24.06027012844772</v>
      </c>
      <c r="T13" s="12"/>
      <c r="U13" s="12"/>
    </row>
    <row r="14" ht="20.35" customHeight="1">
      <c r="A14" s="9">
        <f>215+273.15</f>
        <v>488.15</v>
      </c>
      <c r="B14" s="10">
        <v>0.05</v>
      </c>
      <c r="C14" s="11">
        <f>(1/A14)</f>
        <v>0.002048550650414831</v>
      </c>
      <c r="D14" s="11">
        <v>0.286</v>
      </c>
      <c r="E14" s="11">
        <v>0.0005</v>
      </c>
      <c r="F14" s="11">
        <f>-D14*I14*J14</f>
        <v>-55189.612477999988</v>
      </c>
      <c r="G14" s="12"/>
      <c r="H14" s="12"/>
      <c r="I14" s="11">
        <v>2</v>
      </c>
      <c r="J14" s="11">
        <f t="shared" si="4"/>
        <v>96485.336499999990</v>
      </c>
      <c r="K14" s="11">
        <v>8.3144621</v>
      </c>
      <c r="L14" s="11">
        <f>EXP((D14*I14*J14)/(K14*A14))</f>
        <v>804389.5482229564</v>
      </c>
      <c r="M14" s="11">
        <f>LN(L14)</f>
        <v>13.59783894353784</v>
      </c>
      <c r="N14" s="11">
        <f>(((D14*I14*J14*B14)/(K14*A14^2))^2+((I14*J14*E14)/(K14*A14))^2)^(1/2)</f>
        <v>0.02381321161484719</v>
      </c>
      <c r="O14" s="11">
        <f>((-I14*J14*E14)^2)^(1/2)</f>
        <v>96.48533649999999</v>
      </c>
      <c r="P14" s="11"/>
      <c r="Q14" s="11"/>
      <c r="R14" s="11">
        <f>M14*10^3</f>
        <v>13597.838943537838</v>
      </c>
      <c r="S14" s="11">
        <f>N14*10^3</f>
        <v>23.81321161484719</v>
      </c>
      <c r="T14" s="12"/>
      <c r="U14" s="12"/>
    </row>
    <row r="15" ht="20.35" customHeight="1">
      <c r="A15" s="9">
        <f>220+273.15</f>
        <v>493.15</v>
      </c>
      <c r="B15" s="10">
        <v>0.05</v>
      </c>
      <c r="C15" s="11">
        <f>(1/A15)</f>
        <v>0.002027780594139714</v>
      </c>
      <c r="D15" s="11">
        <v>0.2868</v>
      </c>
      <c r="E15" s="11">
        <v>0.0005</v>
      </c>
      <c r="F15" s="11">
        <f>-D16*I15*J15</f>
        <v>-55517.6626221</v>
      </c>
      <c r="G15" s="12"/>
      <c r="H15" s="12"/>
      <c r="I15" s="11">
        <v>2</v>
      </c>
      <c r="J15" s="11">
        <f t="shared" si="4"/>
        <v>96485.336499999990</v>
      </c>
      <c r="K15" s="11">
        <v>8.3144621</v>
      </c>
      <c r="L15" s="11">
        <f>EXP((D16*I15*J15)/(K15*A15))</f>
        <v>759168.1695595277</v>
      </c>
      <c r="M15" s="11">
        <f>LN(L15)</f>
        <v>13.53997859910747</v>
      </c>
      <c r="N15" s="11">
        <f>(((D15*I15*J15*B15)/(K15*A15^2))^2+((I15*J15*E15)/(K15*A15))^2)^(1/2)</f>
        <v>0.02357117966249024</v>
      </c>
      <c r="O15" s="11">
        <f>((-I15*J15*E15)^2)^(1/2)</f>
        <v>96.48533649999999</v>
      </c>
      <c r="P15" s="11"/>
      <c r="Q15" s="11"/>
      <c r="R15" s="11">
        <f>M15*10^3</f>
        <v>13539.978599107470</v>
      </c>
      <c r="S15" s="11">
        <f>N15*10^3</f>
        <v>23.57117966249024</v>
      </c>
      <c r="T15" s="12"/>
      <c r="U15" s="12"/>
    </row>
    <row r="16" ht="20.35" customHeight="1">
      <c r="A16" s="9">
        <f>225+273.15</f>
        <v>498.15</v>
      </c>
      <c r="B16" s="10">
        <v>0.05</v>
      </c>
      <c r="C16" s="11">
        <f>(1/A16)</f>
        <v>0.002007427481682224</v>
      </c>
      <c r="D16" s="11">
        <v>0.2877</v>
      </c>
      <c r="E16" s="11">
        <v>0.0005</v>
      </c>
      <c r="F16" s="11">
        <f>-D17*I16*J16</f>
        <v>-55672.039160499990</v>
      </c>
      <c r="G16" s="12"/>
      <c r="H16" s="12"/>
      <c r="I16" s="11">
        <v>2</v>
      </c>
      <c r="J16" s="11">
        <f t="shared" si="4"/>
        <v>96485.336499999990</v>
      </c>
      <c r="K16" s="11">
        <v>8.3144621</v>
      </c>
      <c r="L16" s="11">
        <f>EXP((D17*I16*J16)/(K16*A16))</f>
        <v>687865.3208379179</v>
      </c>
      <c r="M16" s="11">
        <f>LN(L16)</f>
        <v>13.441348343157</v>
      </c>
      <c r="N16" s="11">
        <f>(((D16*I16*J16*B16)/(K16*A16^2))^2+((I16*J16*E16)/(K16*A16))^2)^(1/2)</f>
        <v>0.0233340492432284</v>
      </c>
      <c r="O16" s="11">
        <f>((-I16*J16*E16)^2)^(1/2)</f>
        <v>96.48533649999999</v>
      </c>
      <c r="P16" s="11"/>
      <c r="Q16" s="11"/>
      <c r="R16" s="11">
        <f>M16*10^3</f>
        <v>13441.348343157</v>
      </c>
      <c r="S16" s="11">
        <f>N16*10^3</f>
        <v>23.3340492432284</v>
      </c>
      <c r="T16" s="12"/>
      <c r="U16" s="12"/>
    </row>
    <row r="17" ht="20.35" customHeight="1">
      <c r="A17" s="9">
        <f>230+273.15</f>
        <v>503.15</v>
      </c>
      <c r="B17" s="10">
        <v>0.05</v>
      </c>
      <c r="C17" s="11">
        <f>(1/A17)</f>
        <v>0.001987478883036868</v>
      </c>
      <c r="D17" s="11">
        <v>0.2885</v>
      </c>
      <c r="E17" s="11">
        <v>0.0005</v>
      </c>
      <c r="F17" s="11">
        <f>-D18*I17*J17</f>
        <v>-55826.4156989</v>
      </c>
      <c r="G17" s="12"/>
      <c r="H17" s="12"/>
      <c r="I17" s="11">
        <v>2</v>
      </c>
      <c r="J17" s="11">
        <f t="shared" si="4"/>
        <v>96485.336499999990</v>
      </c>
      <c r="K17" s="11">
        <v>8.3144621</v>
      </c>
      <c r="L17" s="11">
        <f>EXP((D18*I17*J17)/(K17*A17))</f>
        <v>624482.3482374297</v>
      </c>
      <c r="M17" s="11">
        <f>LN(L17)</f>
        <v>13.34467834271584</v>
      </c>
      <c r="N17" s="11">
        <f>(((D17*I17*J17*B17)/(K17*A17^2))^2+((I17*J17*E17)/(K17*A17))^2)^(1/2)</f>
        <v>0.02310161980366205</v>
      </c>
      <c r="O17" s="11">
        <f>((-I17*J17*E17)^2)^(1/2)</f>
        <v>96.48533649999999</v>
      </c>
      <c r="P17" s="11"/>
      <c r="Q17" s="11"/>
      <c r="R17" s="11">
        <f>M17*10^3</f>
        <v>13344.678342715837</v>
      </c>
      <c r="S17" s="11">
        <f>N17*10^3</f>
        <v>23.10161980366205</v>
      </c>
      <c r="T17" s="12"/>
      <c r="U17" s="12"/>
    </row>
    <row r="18" ht="20.35" customHeight="1">
      <c r="A18" s="9">
        <f>235+273.15</f>
        <v>508.15</v>
      </c>
      <c r="B18" s="10">
        <v>0.05</v>
      </c>
      <c r="C18" s="11">
        <f>(1/A18)</f>
        <v>0.001967922857423989</v>
      </c>
      <c r="D18" s="11">
        <v>0.2893</v>
      </c>
      <c r="E18" s="11">
        <v>0.0005</v>
      </c>
      <c r="F18" s="11">
        <f>-D19*I18*J18</f>
        <v>-55961.495169999987</v>
      </c>
      <c r="G18" s="12"/>
      <c r="H18" s="12"/>
      <c r="I18" s="11">
        <v>2</v>
      </c>
      <c r="J18" s="11">
        <f t="shared" si="4"/>
        <v>96485.336499999990</v>
      </c>
      <c r="K18" s="11">
        <v>8.3144621</v>
      </c>
      <c r="L18" s="11">
        <f>EXP((D19*I18*J18)/(K18*A18))</f>
        <v>565430.8995494968</v>
      </c>
      <c r="M18" s="11">
        <f>LN(L18)</f>
        <v>13.24534337352565</v>
      </c>
      <c r="N18" s="11">
        <f>(((D18*I18*J18*B18)/(K18*A18^2))^2+((I18*J18*E18)/(K18*A18))^2)^(1/2)</f>
        <v>0.02287377890669281</v>
      </c>
      <c r="O18" s="11">
        <f>((-I18*J18*E18)^2)^(1/2)</f>
        <v>96.48533649999999</v>
      </c>
      <c r="P18" s="11"/>
      <c r="Q18" s="11"/>
      <c r="R18" s="11">
        <f>M18*10^3</f>
        <v>13245.343373525648</v>
      </c>
      <c r="S18" s="11">
        <f>N18*10^3</f>
        <v>22.87377890669281</v>
      </c>
      <c r="T18" s="12"/>
      <c r="U18" s="12"/>
    </row>
    <row r="19" ht="20.35" customHeight="1">
      <c r="A19" s="9">
        <f>240+273.15</f>
        <v>513.15</v>
      </c>
      <c r="B19" s="10">
        <v>0.05</v>
      </c>
      <c r="C19" s="11">
        <f>(1/A19)</f>
        <v>0.001948747929455325</v>
      </c>
      <c r="D19" s="11">
        <v>0.29</v>
      </c>
      <c r="E19" s="11">
        <v>0.0005</v>
      </c>
      <c r="F19" s="11">
        <f>-D20*I19*J19</f>
        <v>-56115.871708399995</v>
      </c>
      <c r="G19" s="12"/>
      <c r="H19" s="12"/>
      <c r="I19" s="11">
        <v>2</v>
      </c>
      <c r="J19" s="11">
        <f t="shared" si="4"/>
        <v>96485.336499999990</v>
      </c>
      <c r="K19" s="11">
        <v>8.3144621</v>
      </c>
      <c r="L19" s="11">
        <f>EXP((D20*I19*J19)/(K19*A19))</f>
        <v>515280.6842352902</v>
      </c>
      <c r="M19" s="11">
        <f>LN(L19)</f>
        <v>13.15246704911014</v>
      </c>
      <c r="N19" s="11">
        <f>(((D19*I19*J19*B19)/(K19*A19^2))^2+((I19*J19*E19)/(K19*A19))^2)^(1/2)</f>
        <v>0.02265036702507743</v>
      </c>
      <c r="O19" s="11">
        <f>((-I19*J19*E19)^2)^(1/2)</f>
        <v>96.48533649999999</v>
      </c>
      <c r="P19" s="11"/>
      <c r="Q19" s="11"/>
      <c r="R19" s="11">
        <f>M19*10^3</f>
        <v>13152.467049110144</v>
      </c>
      <c r="S19" s="11">
        <f>N19*10^3</f>
        <v>22.65036702507743</v>
      </c>
      <c r="T19" s="12"/>
      <c r="U19" s="12"/>
    </row>
    <row r="20" ht="20.35" customHeight="1">
      <c r="A20" s="9">
        <f>245+273.15</f>
        <v>518.15</v>
      </c>
      <c r="B20" s="10">
        <v>0.05</v>
      </c>
      <c r="C20" s="11">
        <f>(1/A20)</f>
        <v>0.001929943066679533</v>
      </c>
      <c r="D20" s="11">
        <v>0.2908</v>
      </c>
      <c r="E20" s="11">
        <v>0.0005</v>
      </c>
      <c r="F20" s="11">
        <f>-D20*I20*J20</f>
        <v>-56115.871708399995</v>
      </c>
      <c r="G20" s="12"/>
      <c r="H20" s="12"/>
      <c r="I20" s="11">
        <v>2</v>
      </c>
      <c r="J20" s="11">
        <f t="shared" si="4"/>
        <v>96485.336499999990</v>
      </c>
      <c r="K20" s="11">
        <v>8.3144621</v>
      </c>
      <c r="L20" s="11">
        <f>EXP((D20*I20*J20)/(K20*A20))</f>
        <v>453862.4629826904</v>
      </c>
      <c r="M20" s="11">
        <f>LN(L20)</f>
        <v>13.02554948615434</v>
      </c>
      <c r="N20" s="11">
        <f>(((D20*I20*J20*B20)/(K20*A20^2))^2+((I20*J20*E20)/(K20*A20))^2)^(1/2)</f>
        <v>0.02243130510913485</v>
      </c>
      <c r="O20" s="11">
        <f>((-I20*J20*E20)^2)^(1/2)</f>
        <v>96.48533649999999</v>
      </c>
      <c r="P20" s="11"/>
      <c r="Q20" s="11"/>
      <c r="R20" s="11">
        <f>M20*10^3</f>
        <v>13025.549486154339</v>
      </c>
      <c r="S20" s="11">
        <f>N20*10^3</f>
        <v>22.43130510913485</v>
      </c>
      <c r="T20" s="12"/>
      <c r="U20" s="12"/>
    </row>
    <row r="21" ht="20.35" customHeight="1">
      <c r="A21" s="9">
        <f>250+273.15</f>
        <v>523.15</v>
      </c>
      <c r="B21" s="10">
        <v>0.05</v>
      </c>
      <c r="C21" s="11">
        <f>(1/A21)</f>
        <v>0.001911497658415369</v>
      </c>
      <c r="D21" s="11">
        <v>0.2916</v>
      </c>
      <c r="E21" s="11">
        <v>0.0005</v>
      </c>
      <c r="F21" s="11">
        <f>-D21*I21*J21</f>
        <v>-56270.2482468</v>
      </c>
      <c r="G21" s="12"/>
      <c r="H21" s="12"/>
      <c r="I21" s="11">
        <v>2</v>
      </c>
      <c r="J21" s="11">
        <f t="shared" si="4"/>
        <v>96485.336499999990</v>
      </c>
      <c r="K21" s="11">
        <v>8.3144621</v>
      </c>
      <c r="L21" s="11">
        <f>EXP((D21*I21*J21)/(K21*A21))</f>
        <v>415213.9331735306</v>
      </c>
      <c r="M21" s="11">
        <f>LN(L21)</f>
        <v>12.93654916801048</v>
      </c>
      <c r="N21" s="11">
        <f>(((D21*I21*J21*B21)/(K21*A21^2))^2+((I21*J21*E21)/(K21*A21))^2)^(1/2)</f>
        <v>0.02221644315554009</v>
      </c>
      <c r="O21" s="11">
        <f>((-I21*J21*E21)^2)^(1/2)</f>
        <v>96.48533649999999</v>
      </c>
      <c r="P21" s="11"/>
      <c r="Q21" s="11"/>
      <c r="R21" s="11">
        <f>M21*10^3</f>
        <v>12936.549168010484</v>
      </c>
      <c r="S21" s="11">
        <f>N21*10^3</f>
        <v>22.21644315554009</v>
      </c>
      <c r="T21" s="12"/>
      <c r="U21" s="12"/>
    </row>
    <row r="22" ht="20.35" customHeight="1">
      <c r="A22" s="9">
        <f>255+273.15</f>
        <v>528.15</v>
      </c>
      <c r="B22" s="10">
        <v>0.05</v>
      </c>
      <c r="C22" s="11">
        <f>(1/A22)</f>
        <v>0.001893401495787182</v>
      </c>
      <c r="D22" s="11">
        <v>0.2923</v>
      </c>
      <c r="E22" s="11">
        <v>0.0005</v>
      </c>
      <c r="F22" s="11">
        <f>-D22*I22*J22</f>
        <v>-56405.327717899992</v>
      </c>
      <c r="G22" s="12"/>
      <c r="H22" s="12"/>
      <c r="I22" s="11">
        <v>2</v>
      </c>
      <c r="J22" s="11">
        <f t="shared" si="4"/>
        <v>96485.336499999990</v>
      </c>
      <c r="K22" s="11">
        <v>8.3144621</v>
      </c>
      <c r="L22" s="11">
        <f>EXP((D22*I22*J22)/(K22*A22))</f>
        <v>378828.767187201</v>
      </c>
      <c r="M22" s="11">
        <f>LN(L22)</f>
        <v>12.84483958035458</v>
      </c>
      <c r="N22" s="11">
        <f>(((D22*I22*J22*B22)/(K22*A22^2))^2+((I22*J22*E22)/(K22*A22))^2)^(1/2)</f>
        <v>0.0220056384425668</v>
      </c>
      <c r="O22" s="11">
        <f>((-I22*J22*E22)^2)^(1/2)</f>
        <v>96.48533649999999</v>
      </c>
      <c r="P22" s="11"/>
      <c r="Q22" s="11"/>
      <c r="R22" s="11">
        <f>M22*10^3</f>
        <v>12844.839580354577</v>
      </c>
      <c r="S22" s="11">
        <f>N22*10^3</f>
        <v>22.0056384425668</v>
      </c>
      <c r="T22" s="12"/>
      <c r="U22" s="12"/>
    </row>
    <row r="23" ht="20.35" customHeight="1">
      <c r="A23" s="9">
        <f>260+273.15</f>
        <v>533.15</v>
      </c>
      <c r="B23" s="10">
        <v>0.05</v>
      </c>
      <c r="C23" s="11">
        <f>(1/A23)</f>
        <v>0.001875644752883804</v>
      </c>
      <c r="D23" s="11">
        <v>0.2933</v>
      </c>
      <c r="E23" s="11">
        <v>0.0005</v>
      </c>
      <c r="F23" s="11">
        <f>-D23*I23*J23</f>
        <v>-56598.2983909</v>
      </c>
      <c r="G23" s="12"/>
      <c r="H23" s="12"/>
      <c r="I23" s="11">
        <v>2</v>
      </c>
      <c r="J23" s="11">
        <f t="shared" si="4"/>
        <v>96485.336499999990</v>
      </c>
      <c r="K23" s="11">
        <v>8.3144621</v>
      </c>
      <c r="L23" s="11">
        <f>EXP((D23*I23*J23)/(K23*A23))</f>
        <v>350778.3116915826</v>
      </c>
      <c r="M23" s="11">
        <f>LN(L23)</f>
        <v>12.76790971228835</v>
      </c>
      <c r="N23" s="11">
        <f>(((D23*I23*J23*B23)/(K23*A23^2))^2+((I23*J23*E23)/(K23*A23))^2)^(1/2)</f>
        <v>0.02179886715274719</v>
      </c>
      <c r="O23" s="11">
        <f>((-I23*J23*E23)^2)^(1/2)</f>
        <v>96.48533649999999</v>
      </c>
      <c r="P23" s="12"/>
      <c r="Q23" s="12"/>
      <c r="R23" s="11">
        <f>M23*10^3</f>
        <v>12767.909712288352</v>
      </c>
      <c r="S23" s="11">
        <f>N23*10^3</f>
        <v>21.79886715274719</v>
      </c>
      <c r="T23" s="12"/>
      <c r="U23" s="12"/>
    </row>
  </sheetData>
  <mergeCells count="1">
    <mergeCell ref="A1:U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