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0" windowHeight="0"/>
  </bookViews>
  <sheets>
    <sheet name="Assumptions" sheetId="1" r:id="rId1"/>
    <sheet name="Startup Costs" sheetId="2" r:id="rId2"/>
    <sheet name="Monthly Cashflow" sheetId="3" r:id="rId3"/>
    <sheet name="Income Statement" sheetId="4" r:id="rId4"/>
    <sheet name="Annual Cashflow" sheetId="5" r:id="rId5"/>
    <sheet name="Balance Sheet" sheetId="6" r:id="rId6"/>
  </sheets>
  <calcPr calcId="162913"/>
</workbook>
</file>

<file path=xl/calcChain.xml><?xml version="1.0" encoding="utf-8"?>
<calcChain xmlns="http://schemas.openxmlformats.org/spreadsheetml/2006/main">
  <c r="B10" i="2" l="1"/>
  <c r="B10" i="1"/>
  <c r="B11" i="1" s="1"/>
  <c r="B9" i="1"/>
  <c r="B19" i="1" s="1"/>
  <c r="B11" i="2" s="1"/>
  <c r="B22" i="1"/>
  <c r="D22" i="1" s="1"/>
  <c r="G50" i="3" s="1"/>
  <c r="N50" i="3" s="1"/>
  <c r="D11" i="5"/>
  <c r="C11" i="5"/>
  <c r="B10" i="5"/>
  <c r="B21" i="4"/>
  <c r="A9" i="4"/>
  <c r="I86" i="3"/>
  <c r="A81" i="3"/>
  <c r="A80" i="3"/>
  <c r="M79" i="3"/>
  <c r="L79" i="3"/>
  <c r="K79" i="3"/>
  <c r="J79" i="3"/>
  <c r="I79" i="3"/>
  <c r="H79" i="3"/>
  <c r="F79" i="3"/>
  <c r="E79" i="3"/>
  <c r="D79" i="3"/>
  <c r="C79" i="3"/>
  <c r="N79" i="3" s="1"/>
  <c r="B79" i="3"/>
  <c r="A75" i="3"/>
  <c r="I57" i="3"/>
  <c r="A57" i="3"/>
  <c r="A86" i="3" s="1"/>
  <c r="A56" i="3"/>
  <c r="A85" i="3" s="1"/>
  <c r="A53" i="3"/>
  <c r="A82" i="3" s="1"/>
  <c r="A52" i="3"/>
  <c r="A50" i="3"/>
  <c r="A79" i="3" s="1"/>
  <c r="A49" i="3"/>
  <c r="A78" i="3" s="1"/>
  <c r="A48" i="3"/>
  <c r="A77" i="3" s="1"/>
  <c r="A47" i="3"/>
  <c r="A76" i="3" s="1"/>
  <c r="A46" i="3"/>
  <c r="A45" i="3"/>
  <c r="A74" i="3" s="1"/>
  <c r="A40" i="3"/>
  <c r="A69" i="3" s="1"/>
  <c r="A39" i="3"/>
  <c r="A68" i="3" s="1"/>
  <c r="I28" i="3"/>
  <c r="E27" i="3"/>
  <c r="F27" i="3" s="1"/>
  <c r="G27" i="3" s="1"/>
  <c r="H27" i="3" s="1"/>
  <c r="I27" i="3" s="1"/>
  <c r="J27" i="3" s="1"/>
  <c r="K27" i="3" s="1"/>
  <c r="L27" i="3" s="1"/>
  <c r="M27" i="3" s="1"/>
  <c r="D27" i="3"/>
  <c r="A27" i="3"/>
  <c r="D26" i="3"/>
  <c r="E26" i="3" s="1"/>
  <c r="F26" i="3" s="1"/>
  <c r="G26" i="3" s="1"/>
  <c r="H26" i="3" s="1"/>
  <c r="I26" i="3" s="1"/>
  <c r="J26" i="3" s="1"/>
  <c r="K26" i="3" s="1"/>
  <c r="L26" i="3" s="1"/>
  <c r="M26" i="3" s="1"/>
  <c r="B26" i="3"/>
  <c r="N26" i="3" s="1"/>
  <c r="A26" i="3"/>
  <c r="E25" i="3"/>
  <c r="F25" i="3" s="1"/>
  <c r="G25" i="3" s="1"/>
  <c r="H25" i="3" s="1"/>
  <c r="I25" i="3" s="1"/>
  <c r="J25" i="3" s="1"/>
  <c r="K25" i="3" s="1"/>
  <c r="L25" i="3" s="1"/>
  <c r="M25" i="3" s="1"/>
  <c r="D25" i="3"/>
  <c r="A25" i="3"/>
  <c r="B23" i="3"/>
  <c r="B55" i="3" s="1"/>
  <c r="A23" i="3"/>
  <c r="A12" i="4" s="1"/>
  <c r="B22" i="3"/>
  <c r="B54" i="3" s="1"/>
  <c r="A22" i="3"/>
  <c r="B21" i="3"/>
  <c r="B53" i="3" s="1"/>
  <c r="A21" i="3"/>
  <c r="A10" i="4" s="1"/>
  <c r="B20" i="3"/>
  <c r="B52" i="3" s="1"/>
  <c r="E18" i="3"/>
  <c r="F18" i="3" s="1"/>
  <c r="G18" i="3" s="1"/>
  <c r="H18" i="3" s="1"/>
  <c r="I18" i="3" s="1"/>
  <c r="J18" i="3" s="1"/>
  <c r="K18" i="3" s="1"/>
  <c r="L18" i="3" s="1"/>
  <c r="M18" i="3" s="1"/>
  <c r="D18" i="3"/>
  <c r="N8" i="3"/>
  <c r="B4" i="4" s="1"/>
  <c r="D6" i="3"/>
  <c r="E6" i="3" s="1"/>
  <c r="F6" i="3" s="1"/>
  <c r="G6" i="3" s="1"/>
  <c r="H6" i="3" s="1"/>
  <c r="I6" i="3" s="1"/>
  <c r="J6" i="3" s="1"/>
  <c r="K6" i="3" s="1"/>
  <c r="L6" i="3" s="1"/>
  <c r="M6" i="3" s="1"/>
  <c r="B6" i="3"/>
  <c r="N6" i="3" s="1"/>
  <c r="D5" i="3"/>
  <c r="E5" i="3" s="1"/>
  <c r="B28" i="2"/>
  <c r="B31" i="2" s="1"/>
  <c r="D18" i="2"/>
  <c r="C18" i="2"/>
  <c r="A18" i="2"/>
  <c r="C17" i="2"/>
  <c r="D17" i="2" s="1"/>
  <c r="A17" i="2"/>
  <c r="C16" i="2"/>
  <c r="D16" i="2" s="1"/>
  <c r="A16" i="2"/>
  <c r="D15" i="2"/>
  <c r="C15" i="2"/>
  <c r="A15" i="2"/>
  <c r="C14" i="2"/>
  <c r="C13" i="2"/>
  <c r="B13" i="2"/>
  <c r="C12" i="2"/>
  <c r="C11" i="2"/>
  <c r="D10" i="2"/>
  <c r="C10" i="2"/>
  <c r="D6" i="2"/>
  <c r="B27" i="3" s="1"/>
  <c r="N27" i="3" s="1"/>
  <c r="D5" i="2"/>
  <c r="D4" i="2"/>
  <c r="C29" i="1"/>
  <c r="C28" i="1"/>
  <c r="C27" i="1"/>
  <c r="C26" i="1"/>
  <c r="D18" i="1"/>
  <c r="B15" i="3" s="1"/>
  <c r="B13" i="1"/>
  <c r="G40" i="3" s="1"/>
  <c r="N40" i="3" s="1"/>
  <c r="C4" i="4" s="1"/>
  <c r="C22" i="3" l="1"/>
  <c r="C20" i="3"/>
  <c r="B12" i="2"/>
  <c r="B17" i="1"/>
  <c r="B20" i="1" s="1"/>
  <c r="D20" i="1" s="1"/>
  <c r="B17" i="3" s="1"/>
  <c r="C17" i="3" s="1"/>
  <c r="D13" i="2"/>
  <c r="D11" i="2"/>
  <c r="F5" i="3"/>
  <c r="B14" i="2"/>
  <c r="D14" i="2" s="1"/>
  <c r="D12" i="2"/>
  <c r="B47" i="3"/>
  <c r="C15" i="3"/>
  <c r="D7" i="2"/>
  <c r="L85" i="3"/>
  <c r="H85" i="3"/>
  <c r="D85" i="3"/>
  <c r="K85" i="3"/>
  <c r="J85" i="3"/>
  <c r="M85" i="3"/>
  <c r="I85" i="3"/>
  <c r="E85" i="3"/>
  <c r="L56" i="3"/>
  <c r="H56" i="3"/>
  <c r="D56" i="3"/>
  <c r="K24" i="3"/>
  <c r="C85" i="3"/>
  <c r="G85" i="3"/>
  <c r="B85" i="3"/>
  <c r="J56" i="3"/>
  <c r="F56" i="3"/>
  <c r="B56" i="3"/>
  <c r="F85" i="3"/>
  <c r="M56" i="3"/>
  <c r="I56" i="3"/>
  <c r="E56" i="3"/>
  <c r="G56" i="3"/>
  <c r="J24" i="3"/>
  <c r="F24" i="3"/>
  <c r="B24" i="3"/>
  <c r="E24" i="3"/>
  <c r="C56" i="3"/>
  <c r="I24" i="3"/>
  <c r="M24" i="3"/>
  <c r="H24" i="3"/>
  <c r="D24" i="3"/>
  <c r="K56" i="3"/>
  <c r="L24" i="3"/>
  <c r="G24" i="3"/>
  <c r="C24" i="3"/>
  <c r="B7" i="3"/>
  <c r="B82" i="3"/>
  <c r="D19" i="1"/>
  <c r="B16" i="3" s="1"/>
  <c r="B18" i="3"/>
  <c r="N18" i="3" s="1"/>
  <c r="B81" i="3"/>
  <c r="B83" i="3"/>
  <c r="B25" i="3"/>
  <c r="N25" i="3" s="1"/>
  <c r="A55" i="3"/>
  <c r="A84" i="3" s="1"/>
  <c r="B84" i="3"/>
  <c r="B17" i="6"/>
  <c r="B19" i="6" s="1"/>
  <c r="C14" i="4"/>
  <c r="B14" i="4"/>
  <c r="D17" i="6"/>
  <c r="D19" i="6" s="1"/>
  <c r="C17" i="6"/>
  <c r="C19" i="6" s="1"/>
  <c r="D14" i="4"/>
  <c r="C21" i="3"/>
  <c r="A11" i="4"/>
  <c r="A54" i="3"/>
  <c r="A83" i="3" s="1"/>
  <c r="C23" i="3"/>
  <c r="M69" i="3"/>
  <c r="N69" i="3" s="1"/>
  <c r="D4" i="4" s="1"/>
  <c r="D22" i="3" l="1"/>
  <c r="C54" i="3"/>
  <c r="C83" i="3" s="1"/>
  <c r="C52" i="3"/>
  <c r="C81" i="3" s="1"/>
  <c r="D20" i="3"/>
  <c r="D17" i="1"/>
  <c r="B14" i="3" s="1"/>
  <c r="B30" i="3" s="1"/>
  <c r="B49" i="3"/>
  <c r="D19" i="2"/>
  <c r="D21" i="2" s="1"/>
  <c r="B23" i="2" s="1"/>
  <c r="B25" i="2" s="1"/>
  <c r="N85" i="3"/>
  <c r="D20" i="5" s="1"/>
  <c r="C55" i="3"/>
  <c r="D23" i="3"/>
  <c r="C53" i="3"/>
  <c r="D21" i="3"/>
  <c r="B46" i="3"/>
  <c r="C14" i="3"/>
  <c r="N24" i="3"/>
  <c r="B20" i="5" s="1"/>
  <c r="N56" i="3"/>
  <c r="C20" i="5" s="1"/>
  <c r="C47" i="3"/>
  <c r="C76" i="3" s="1"/>
  <c r="D15" i="3"/>
  <c r="G5" i="3"/>
  <c r="C49" i="3"/>
  <c r="C78" i="3" s="1"/>
  <c r="D17" i="3"/>
  <c r="C16" i="3"/>
  <c r="B48" i="3"/>
  <c r="B39" i="3"/>
  <c r="C7" i="3"/>
  <c r="B76" i="3"/>
  <c r="B3" i="6"/>
  <c r="B21" i="5"/>
  <c r="D21" i="1"/>
  <c r="D23" i="1" s="1"/>
  <c r="B22" i="4" s="1"/>
  <c r="B78" i="3"/>
  <c r="D54" i="3" l="1"/>
  <c r="D83" i="3" s="1"/>
  <c r="E22" i="3"/>
  <c r="D52" i="3"/>
  <c r="D81" i="3" s="1"/>
  <c r="E20" i="3"/>
  <c r="D49" i="3"/>
  <c r="E17" i="3"/>
  <c r="B75" i="3"/>
  <c r="B59" i="3"/>
  <c r="C82" i="3"/>
  <c r="B4" i="6"/>
  <c r="B5" i="6" s="1"/>
  <c r="C3" i="6"/>
  <c r="C39" i="3"/>
  <c r="D7" i="3"/>
  <c r="C10" i="3"/>
  <c r="C48" i="3"/>
  <c r="C77" i="3" s="1"/>
  <c r="D16" i="3"/>
  <c r="D55" i="3"/>
  <c r="D84" i="3" s="1"/>
  <c r="E23" i="3"/>
  <c r="B68" i="3"/>
  <c r="B42" i="3"/>
  <c r="H5" i="3"/>
  <c r="C46" i="3"/>
  <c r="C30" i="3"/>
  <c r="D14" i="3"/>
  <c r="C84" i="3"/>
  <c r="D47" i="3"/>
  <c r="E15" i="3"/>
  <c r="B9" i="5"/>
  <c r="B11" i="5" s="1"/>
  <c r="B5" i="3"/>
  <c r="B77" i="3"/>
  <c r="D53" i="3"/>
  <c r="D82" i="3" s="1"/>
  <c r="E21" i="3"/>
  <c r="E54" i="3" l="1"/>
  <c r="E83" i="3" s="1"/>
  <c r="F22" i="3"/>
  <c r="E52" i="3"/>
  <c r="E81" i="3" s="1"/>
  <c r="F20" i="3"/>
  <c r="B60" i="3"/>
  <c r="D76" i="3"/>
  <c r="D46" i="3"/>
  <c r="E14" i="3"/>
  <c r="I5" i="3"/>
  <c r="E55" i="3"/>
  <c r="F23" i="3"/>
  <c r="D48" i="3"/>
  <c r="E16" i="3"/>
  <c r="C68" i="3"/>
  <c r="C71" i="3" s="1"/>
  <c r="C42" i="3"/>
  <c r="C4" i="6"/>
  <c r="C5" i="6" s="1"/>
  <c r="B13" i="4"/>
  <c r="C13" i="4" s="1"/>
  <c r="D13" i="4" s="1"/>
  <c r="D4" i="6"/>
  <c r="E49" i="3"/>
  <c r="E78" i="3" s="1"/>
  <c r="F17" i="3"/>
  <c r="B10" i="3"/>
  <c r="B31" i="3" s="1"/>
  <c r="B33" i="3" s="1"/>
  <c r="C32" i="3" s="1"/>
  <c r="B71" i="3"/>
  <c r="D39" i="3"/>
  <c r="E7" i="3"/>
  <c r="D10" i="3"/>
  <c r="B88" i="3"/>
  <c r="D78" i="3"/>
  <c r="E53" i="3"/>
  <c r="E82" i="3" s="1"/>
  <c r="F21" i="3"/>
  <c r="E47" i="3"/>
  <c r="E76" i="3" s="1"/>
  <c r="F15" i="3"/>
  <c r="C75" i="3"/>
  <c r="C88" i="3" s="1"/>
  <c r="C59" i="3"/>
  <c r="C31" i="3"/>
  <c r="D3" i="6"/>
  <c r="D5" i="6" l="1"/>
  <c r="F54" i="3"/>
  <c r="F83" i="3" s="1"/>
  <c r="G22" i="3"/>
  <c r="F52" i="3"/>
  <c r="F81" i="3" s="1"/>
  <c r="G20" i="3"/>
  <c r="C33" i="3"/>
  <c r="D32" i="3" s="1"/>
  <c r="B89" i="3"/>
  <c r="F49" i="3"/>
  <c r="G17" i="3"/>
  <c r="F53" i="3"/>
  <c r="F82" i="3" s="1"/>
  <c r="G21" i="3"/>
  <c r="E48" i="3"/>
  <c r="E77" i="3" s="1"/>
  <c r="F16" i="3"/>
  <c r="E84" i="3"/>
  <c r="F55" i="3"/>
  <c r="F84" i="3" s="1"/>
  <c r="G23" i="3"/>
  <c r="F47" i="3"/>
  <c r="F76" i="3" s="1"/>
  <c r="G15" i="3"/>
  <c r="E39" i="3"/>
  <c r="F7" i="3"/>
  <c r="E10" i="3"/>
  <c r="C60" i="3"/>
  <c r="D77" i="3"/>
  <c r="E30" i="3"/>
  <c r="E46" i="3"/>
  <c r="F14" i="3"/>
  <c r="D68" i="3"/>
  <c r="D42" i="3"/>
  <c r="C89" i="3"/>
  <c r="J5" i="3"/>
  <c r="D75" i="3"/>
  <c r="H22" i="3" l="1"/>
  <c r="G54" i="3"/>
  <c r="G83" i="3" s="1"/>
  <c r="H20" i="3"/>
  <c r="G52" i="3"/>
  <c r="G81" i="3" s="1"/>
  <c r="E31" i="3"/>
  <c r="G16" i="3"/>
  <c r="F48" i="3"/>
  <c r="G49" i="3"/>
  <c r="G78" i="3" s="1"/>
  <c r="H17" i="3"/>
  <c r="G55" i="3"/>
  <c r="G84" i="3" s="1"/>
  <c r="H23" i="3"/>
  <c r="G53" i="3"/>
  <c r="H21" i="3"/>
  <c r="D71" i="3"/>
  <c r="F78" i="3"/>
  <c r="E75" i="3"/>
  <c r="E88" i="3" s="1"/>
  <c r="E59" i="3"/>
  <c r="G47" i="3"/>
  <c r="G76" i="3" s="1"/>
  <c r="H15" i="3"/>
  <c r="K5" i="3"/>
  <c r="F39" i="3"/>
  <c r="G7" i="3"/>
  <c r="F10" i="3"/>
  <c r="F30" i="3"/>
  <c r="G14" i="3"/>
  <c r="F46" i="3"/>
  <c r="E68" i="3"/>
  <c r="E71" i="3" s="1"/>
  <c r="E42" i="3"/>
  <c r="H54" i="3" l="1"/>
  <c r="H83" i="3" s="1"/>
  <c r="I22" i="3"/>
  <c r="H52" i="3"/>
  <c r="H81" i="3" s="1"/>
  <c r="I20" i="3"/>
  <c r="E60" i="3"/>
  <c r="F31" i="3"/>
  <c r="L5" i="3"/>
  <c r="H53" i="3"/>
  <c r="H82" i="3" s="1"/>
  <c r="I21" i="3"/>
  <c r="I17" i="3"/>
  <c r="H49" i="3"/>
  <c r="F77" i="3"/>
  <c r="F75" i="3"/>
  <c r="F59" i="3"/>
  <c r="G39" i="3"/>
  <c r="H7" i="3"/>
  <c r="G10" i="3"/>
  <c r="G82" i="3"/>
  <c r="G48" i="3"/>
  <c r="G77" i="3" s="1"/>
  <c r="H16" i="3"/>
  <c r="E89" i="3"/>
  <c r="G46" i="3"/>
  <c r="H14" i="3"/>
  <c r="F42" i="3"/>
  <c r="F68" i="3"/>
  <c r="H47" i="3"/>
  <c r="H76" i="3" s="1"/>
  <c r="I15" i="3"/>
  <c r="H55" i="3"/>
  <c r="H84" i="3" s="1"/>
  <c r="I23" i="3"/>
  <c r="I54" i="3" l="1"/>
  <c r="I83" i="3" s="1"/>
  <c r="J22" i="3"/>
  <c r="I52" i="3"/>
  <c r="I81" i="3" s="1"/>
  <c r="J20" i="3"/>
  <c r="F60" i="3"/>
  <c r="I49" i="3"/>
  <c r="I78" i="3" s="1"/>
  <c r="J17" i="3"/>
  <c r="I55" i="3"/>
  <c r="I84" i="3" s="1"/>
  <c r="J23" i="3"/>
  <c r="G68" i="3"/>
  <c r="G71" i="3" s="1"/>
  <c r="G42" i="3"/>
  <c r="J21" i="3"/>
  <c r="I53" i="3"/>
  <c r="I82" i="3" s="1"/>
  <c r="M5" i="3"/>
  <c r="N5" i="3"/>
  <c r="G75" i="3"/>
  <c r="H39" i="3"/>
  <c r="I7" i="3"/>
  <c r="H10" i="3"/>
  <c r="F71" i="3"/>
  <c r="I47" i="3"/>
  <c r="I76" i="3" s="1"/>
  <c r="J15" i="3"/>
  <c r="H46" i="3"/>
  <c r="H30" i="3"/>
  <c r="I14" i="3"/>
  <c r="H48" i="3"/>
  <c r="H77" i="3" s="1"/>
  <c r="I16" i="3"/>
  <c r="F88" i="3"/>
  <c r="H78" i="3"/>
  <c r="K22" i="3" l="1"/>
  <c r="J54" i="3"/>
  <c r="J83" i="3" s="1"/>
  <c r="J52" i="3"/>
  <c r="J81" i="3" s="1"/>
  <c r="K20" i="3"/>
  <c r="I39" i="3"/>
  <c r="J7" i="3"/>
  <c r="I10" i="3"/>
  <c r="I30" i="3"/>
  <c r="I46" i="3"/>
  <c r="J14" i="3"/>
  <c r="J47" i="3"/>
  <c r="J76" i="3" s="1"/>
  <c r="K15" i="3"/>
  <c r="I48" i="3"/>
  <c r="I77" i="3" s="1"/>
  <c r="J16" i="3"/>
  <c r="H31" i="3"/>
  <c r="J55" i="3"/>
  <c r="J84" i="3" s="1"/>
  <c r="K23" i="3"/>
  <c r="H75" i="3"/>
  <c r="H59" i="3"/>
  <c r="F89" i="3"/>
  <c r="H42" i="3"/>
  <c r="H68" i="3"/>
  <c r="J53" i="3"/>
  <c r="J82" i="3" s="1"/>
  <c r="K21" i="3"/>
  <c r="J49" i="3"/>
  <c r="K17" i="3"/>
  <c r="H60" i="3" l="1"/>
  <c r="K54" i="3"/>
  <c r="K83" i="3" s="1"/>
  <c r="L22" i="3"/>
  <c r="L20" i="3"/>
  <c r="K52" i="3"/>
  <c r="K81" i="3" s="1"/>
  <c r="J78" i="3"/>
  <c r="H71" i="3"/>
  <c r="K16" i="3"/>
  <c r="J48" i="3"/>
  <c r="J77" i="3" s="1"/>
  <c r="K47" i="3"/>
  <c r="K76" i="3" s="1"/>
  <c r="L15" i="3"/>
  <c r="K53" i="3"/>
  <c r="K82" i="3" s="1"/>
  <c r="L21" i="3"/>
  <c r="H88" i="3"/>
  <c r="I31" i="3"/>
  <c r="K49" i="3"/>
  <c r="K78" i="3" s="1"/>
  <c r="L17" i="3"/>
  <c r="K55" i="3"/>
  <c r="K84" i="3" s="1"/>
  <c r="L23" i="3"/>
  <c r="J46" i="3"/>
  <c r="K14" i="3"/>
  <c r="J39" i="3"/>
  <c r="K7" i="3"/>
  <c r="J10" i="3"/>
  <c r="I75" i="3"/>
  <c r="I88" i="3" s="1"/>
  <c r="I59" i="3"/>
  <c r="I68" i="3"/>
  <c r="I71" i="3" s="1"/>
  <c r="I42" i="3"/>
  <c r="M22" i="3" l="1"/>
  <c r="M54" i="3" s="1"/>
  <c r="L54" i="3"/>
  <c r="L83" i="3" s="1"/>
  <c r="N22" i="3"/>
  <c r="B11" i="4" s="1"/>
  <c r="L52" i="3"/>
  <c r="L81" i="3" s="1"/>
  <c r="M20" i="3"/>
  <c r="M52" i="3" s="1"/>
  <c r="M81" i="3" s="1"/>
  <c r="N81" i="3" s="1"/>
  <c r="D9" i="4" s="1"/>
  <c r="N20" i="3"/>
  <c r="B9" i="4" s="1"/>
  <c r="L47" i="3"/>
  <c r="L76" i="3" s="1"/>
  <c r="M15" i="3"/>
  <c r="K48" i="3"/>
  <c r="K77" i="3" s="1"/>
  <c r="L16" i="3"/>
  <c r="I60" i="3"/>
  <c r="K46" i="3"/>
  <c r="L14" i="3"/>
  <c r="K30" i="3"/>
  <c r="L55" i="3"/>
  <c r="L84" i="3" s="1"/>
  <c r="M23" i="3"/>
  <c r="H89" i="3"/>
  <c r="J42" i="3"/>
  <c r="J68" i="3"/>
  <c r="J71" i="3" s="1"/>
  <c r="N52" i="3"/>
  <c r="C9" i="4" s="1"/>
  <c r="L49" i="3"/>
  <c r="L78" i="3" s="1"/>
  <c r="M17" i="3"/>
  <c r="I89" i="3"/>
  <c r="K39" i="3"/>
  <c r="L7" i="3"/>
  <c r="K10" i="3"/>
  <c r="J75" i="3"/>
  <c r="L53" i="3"/>
  <c r="L82" i="3" s="1"/>
  <c r="M21" i="3"/>
  <c r="M83" i="3"/>
  <c r="N83" i="3" s="1"/>
  <c r="D11" i="4" s="1"/>
  <c r="N54" i="3"/>
  <c r="C11" i="4" s="1"/>
  <c r="K31" i="3" l="1"/>
  <c r="K75" i="3"/>
  <c r="K88" i="3" s="1"/>
  <c r="K59" i="3"/>
  <c r="M49" i="3"/>
  <c r="N17" i="3"/>
  <c r="L39" i="3"/>
  <c r="M7" i="3"/>
  <c r="L10" i="3"/>
  <c r="M47" i="3"/>
  <c r="N15" i="3"/>
  <c r="M53" i="3"/>
  <c r="N21" i="3"/>
  <c r="B10" i="4" s="1"/>
  <c r="B15" i="4" s="1"/>
  <c r="M55" i="3"/>
  <c r="N23" i="3"/>
  <c r="B12" i="4" s="1"/>
  <c r="L48" i="3"/>
  <c r="L77" i="3" s="1"/>
  <c r="M16" i="3"/>
  <c r="K42" i="3"/>
  <c r="K68" i="3"/>
  <c r="K71" i="3" s="1"/>
  <c r="L46" i="3"/>
  <c r="M14" i="3"/>
  <c r="L30" i="3"/>
  <c r="K89" i="3" l="1"/>
  <c r="B23" i="4"/>
  <c r="B24" i="4" s="1"/>
  <c r="B15" i="5"/>
  <c r="L68" i="3"/>
  <c r="L71" i="3" s="1"/>
  <c r="L42" i="3"/>
  <c r="M46" i="3"/>
  <c r="N14" i="3"/>
  <c r="M82" i="3"/>
  <c r="N82" i="3" s="1"/>
  <c r="D10" i="4" s="1"/>
  <c r="D15" i="4" s="1"/>
  <c r="D15" i="5" s="1"/>
  <c r="N53" i="3"/>
  <c r="C10" i="4" s="1"/>
  <c r="K60" i="3"/>
  <c r="L31" i="3"/>
  <c r="L59" i="3"/>
  <c r="L75" i="3"/>
  <c r="L88" i="3" s="1"/>
  <c r="M84" i="3"/>
  <c r="N84" i="3" s="1"/>
  <c r="D12" i="4" s="1"/>
  <c r="N55" i="3"/>
  <c r="C12" i="4" s="1"/>
  <c r="M48" i="3"/>
  <c r="N16" i="3"/>
  <c r="M76" i="3"/>
  <c r="N76" i="3" s="1"/>
  <c r="N47" i="3"/>
  <c r="M39" i="3"/>
  <c r="N7" i="3"/>
  <c r="M10" i="3"/>
  <c r="M78" i="3"/>
  <c r="N78" i="3" s="1"/>
  <c r="N49" i="3"/>
  <c r="M68" i="3" l="1"/>
  <c r="M42" i="3"/>
  <c r="N39" i="3"/>
  <c r="M77" i="3"/>
  <c r="N77" i="3" s="1"/>
  <c r="N48" i="3"/>
  <c r="L60" i="3"/>
  <c r="B6" i="4"/>
  <c r="B14" i="5" s="1"/>
  <c r="B16" i="5" s="1"/>
  <c r="L89" i="3"/>
  <c r="B3" i="4"/>
  <c r="B5" i="4" s="1"/>
  <c r="N10" i="3"/>
  <c r="C15" i="4"/>
  <c r="C15" i="5" s="1"/>
  <c r="M75" i="3"/>
  <c r="N46" i="3"/>
  <c r="N75" i="3" l="1"/>
  <c r="C3" i="4"/>
  <c r="C5" i="4" s="1"/>
  <c r="N42" i="3"/>
  <c r="C6" i="4"/>
  <c r="C14" i="5" s="1"/>
  <c r="C16" i="5" s="1"/>
  <c r="B5" i="5"/>
  <c r="B6" i="5" s="1"/>
  <c r="B7" i="4"/>
  <c r="B16" i="4" s="1"/>
  <c r="M71" i="3"/>
  <c r="N68" i="3"/>
  <c r="B17" i="4" l="1"/>
  <c r="B18" i="4" s="1"/>
  <c r="C7" i="4"/>
  <c r="C16" i="4" s="1"/>
  <c r="C5" i="5"/>
  <c r="C6" i="5" s="1"/>
  <c r="D3" i="4"/>
  <c r="D5" i="4" s="1"/>
  <c r="N71" i="3"/>
  <c r="D6" i="4"/>
  <c r="D14" i="5" s="1"/>
  <c r="D16" i="5" s="1"/>
  <c r="C17" i="4" l="1"/>
  <c r="D7" i="4"/>
  <c r="D16" i="4" s="1"/>
  <c r="D5" i="5"/>
  <c r="D6" i="5" s="1"/>
  <c r="B19" i="5"/>
  <c r="B22" i="5" s="1"/>
  <c r="B24" i="5" s="1"/>
  <c r="B25" i="5" s="1"/>
  <c r="G28" i="3"/>
  <c r="G30" i="3" s="1"/>
  <c r="G31" i="3" s="1"/>
  <c r="D28" i="3"/>
  <c r="M28" i="3"/>
  <c r="M30" i="3" s="1"/>
  <c r="M31" i="3" s="1"/>
  <c r="J28" i="3"/>
  <c r="J30" i="3" s="1"/>
  <c r="J31" i="3" s="1"/>
  <c r="C19" i="5" l="1"/>
  <c r="C22" i="5" s="1"/>
  <c r="C24" i="5" s="1"/>
  <c r="M57" i="3"/>
  <c r="M59" i="3" s="1"/>
  <c r="M60" i="3" s="1"/>
  <c r="D57" i="3"/>
  <c r="G57" i="3"/>
  <c r="G59" i="3" s="1"/>
  <c r="G60" i="3" s="1"/>
  <c r="J57" i="3"/>
  <c r="J59" i="3" s="1"/>
  <c r="J60" i="3" s="1"/>
  <c r="N28" i="3"/>
  <c r="N30" i="3" s="1"/>
  <c r="N31" i="3" s="1"/>
  <c r="N33" i="3" s="1"/>
  <c r="B61" i="3" s="1"/>
  <c r="B62" i="3" s="1"/>
  <c r="C61" i="3" s="1"/>
  <c r="C62" i="3" s="1"/>
  <c r="D61" i="3" s="1"/>
  <c r="D30" i="3"/>
  <c r="D31" i="3" s="1"/>
  <c r="D33" i="3" s="1"/>
  <c r="E32" i="3" s="1"/>
  <c r="E33" i="3" s="1"/>
  <c r="F32" i="3" s="1"/>
  <c r="F33" i="3" s="1"/>
  <c r="G32" i="3" s="1"/>
  <c r="G33" i="3" s="1"/>
  <c r="H32" i="3" s="1"/>
  <c r="H33" i="3" s="1"/>
  <c r="I32" i="3" s="1"/>
  <c r="I33" i="3" s="1"/>
  <c r="J32" i="3" s="1"/>
  <c r="J33" i="3" s="1"/>
  <c r="K32" i="3" s="1"/>
  <c r="K33" i="3" s="1"/>
  <c r="L32" i="3" s="1"/>
  <c r="L33" i="3" s="1"/>
  <c r="M32" i="3" s="1"/>
  <c r="M33" i="3" s="1"/>
  <c r="D17" i="4"/>
  <c r="D18" i="4" s="1"/>
  <c r="C3" i="5"/>
  <c r="B7" i="6"/>
  <c r="B9" i="6" s="1"/>
  <c r="B10" i="6" s="1"/>
  <c r="B14" i="6" s="1"/>
  <c r="B15" i="6" s="1"/>
  <c r="B21" i="6" s="1"/>
  <c r="C18" i="4"/>
  <c r="C25" i="5" l="1"/>
  <c r="D3" i="5" s="1"/>
  <c r="N57" i="3"/>
  <c r="N59" i="3" s="1"/>
  <c r="N60" i="3" s="1"/>
  <c r="N62" i="3" s="1"/>
  <c r="B90" i="3" s="1"/>
  <c r="B91" i="3" s="1"/>
  <c r="C90" i="3" s="1"/>
  <c r="C91" i="3" s="1"/>
  <c r="D90" i="3" s="1"/>
  <c r="D59" i="3"/>
  <c r="D60" i="3" s="1"/>
  <c r="D62" i="3" s="1"/>
  <c r="E61" i="3" s="1"/>
  <c r="E62" i="3" s="1"/>
  <c r="F61" i="3" s="1"/>
  <c r="F62" i="3" s="1"/>
  <c r="G61" i="3" s="1"/>
  <c r="G62" i="3" s="1"/>
  <c r="H61" i="3" s="1"/>
  <c r="H62" i="3" s="1"/>
  <c r="I61" i="3" s="1"/>
  <c r="I62" i="3" s="1"/>
  <c r="J61" i="3" s="1"/>
  <c r="J62" i="3" s="1"/>
  <c r="K61" i="3" s="1"/>
  <c r="K62" i="3" s="1"/>
  <c r="L61" i="3" s="1"/>
  <c r="L62" i="3" s="1"/>
  <c r="M61" i="3" s="1"/>
  <c r="M62" i="3" s="1"/>
  <c r="M86" i="3"/>
  <c r="M88" i="3" s="1"/>
  <c r="M89" i="3" s="1"/>
  <c r="D86" i="3"/>
  <c r="J86" i="3"/>
  <c r="J88" i="3" s="1"/>
  <c r="J89" i="3" s="1"/>
  <c r="D19" i="5"/>
  <c r="D22" i="5" s="1"/>
  <c r="D24" i="5" s="1"/>
  <c r="G86" i="3"/>
  <c r="G88" i="3" s="1"/>
  <c r="G89" i="3" s="1"/>
  <c r="C7" i="6" l="1"/>
  <c r="C9" i="6" s="1"/>
  <c r="C10" i="6" s="1"/>
  <c r="C14" i="6" s="1"/>
  <c r="C15" i="6" s="1"/>
  <c r="C21" i="6" s="1"/>
  <c r="D25" i="5"/>
  <c r="D7" i="6" s="1"/>
  <c r="D9" i="6" s="1"/>
  <c r="D10" i="6" s="1"/>
  <c r="D14" i="6" s="1"/>
  <c r="D15" i="6" s="1"/>
  <c r="D21" i="6" s="1"/>
  <c r="N86" i="3"/>
  <c r="N88" i="3" s="1"/>
  <c r="N89" i="3" s="1"/>
  <c r="N91" i="3" s="1"/>
  <c r="D88" i="3"/>
  <c r="D89" i="3" s="1"/>
  <c r="D91" i="3" s="1"/>
  <c r="E90" i="3" s="1"/>
  <c r="E91" i="3" s="1"/>
  <c r="F90" i="3" s="1"/>
  <c r="F91" i="3" s="1"/>
  <c r="G90" i="3" s="1"/>
  <c r="G91" i="3" s="1"/>
  <c r="H90" i="3" s="1"/>
  <c r="H91" i="3" s="1"/>
  <c r="I90" i="3" s="1"/>
  <c r="I91" i="3" s="1"/>
  <c r="J90" i="3" s="1"/>
  <c r="J91" i="3" s="1"/>
  <c r="K90" i="3" s="1"/>
  <c r="K91" i="3" s="1"/>
  <c r="L90" i="3" s="1"/>
  <c r="L91" i="3" s="1"/>
  <c r="M90" i="3" s="1"/>
  <c r="M91" i="3" s="1"/>
</calcChain>
</file>

<file path=xl/sharedStrings.xml><?xml version="1.0" encoding="utf-8"?>
<sst xmlns="http://schemas.openxmlformats.org/spreadsheetml/2006/main" count="200" uniqueCount="162">
  <si>
    <t>Quantity</t>
  </si>
  <si>
    <t>Unit Cost</t>
  </si>
  <si>
    <t>Total</t>
  </si>
  <si>
    <t>Feed Kgs (1 month advance)</t>
  </si>
  <si>
    <t>Egg Trays(1 month advance)</t>
  </si>
  <si>
    <t>Transport to market (1 month advance)</t>
  </si>
  <si>
    <t>Revenue</t>
  </si>
  <si>
    <t>Cost of goods sold</t>
  </si>
  <si>
    <t>Gross Profit</t>
  </si>
  <si>
    <t>Operating Expenses</t>
  </si>
  <si>
    <t xml:space="preserve">Repairs and maintenance </t>
  </si>
  <si>
    <t>Total Operating Expenses</t>
  </si>
  <si>
    <t>Net Profit Before Tax</t>
  </si>
  <si>
    <t>Tax (25%)</t>
  </si>
  <si>
    <t>Net Profit After Tax</t>
  </si>
  <si>
    <t>Variable Costs per Month</t>
  </si>
  <si>
    <t xml:space="preserve">Transport to market </t>
  </si>
  <si>
    <t>Total Sales</t>
  </si>
  <si>
    <t>Opening Balance</t>
  </si>
  <si>
    <t>Cash Sales</t>
  </si>
  <si>
    <t>Subtotal Cash from Operations</t>
  </si>
  <si>
    <t>Additional Cash Received</t>
  </si>
  <si>
    <t xml:space="preserve">Subtotal Cash Received </t>
  </si>
  <si>
    <t>Cash Expenditures</t>
  </si>
  <si>
    <t>Subtotal Spent on Operations</t>
  </si>
  <si>
    <t>Additional Cash Spent</t>
  </si>
  <si>
    <t>Taxes</t>
  </si>
  <si>
    <t>Loan Repayment</t>
  </si>
  <si>
    <t>Purchase Fixed Assets</t>
  </si>
  <si>
    <t>Subtotal Additional Cash Spent</t>
  </si>
  <si>
    <t>Net Cash Flow</t>
  </si>
  <si>
    <t>Cash Balance</t>
  </si>
  <si>
    <t>Long Term Assets</t>
  </si>
  <si>
    <t>Total Long Term Assets</t>
  </si>
  <si>
    <t>Current Assets</t>
  </si>
  <si>
    <t>Cash</t>
  </si>
  <si>
    <t>TOTAL ASSETS</t>
  </si>
  <si>
    <t>EQUITY AND LIABILITIES</t>
  </si>
  <si>
    <t>Equity</t>
  </si>
  <si>
    <t>Total Equity</t>
  </si>
  <si>
    <t>Liabilities</t>
  </si>
  <si>
    <t>Other Liabilities</t>
  </si>
  <si>
    <t>Total Liabilities</t>
  </si>
  <si>
    <t>TOTAL EQUITY AND LIABILITIES</t>
  </si>
  <si>
    <t>Pro Forma Cash Flow</t>
  </si>
  <si>
    <t>Depreciation</t>
  </si>
  <si>
    <t>Electricity (1 month advance)</t>
  </si>
  <si>
    <t>Value</t>
  </si>
  <si>
    <t xml:space="preserve">Electricity </t>
  </si>
  <si>
    <t>Other Current Assets</t>
  </si>
  <si>
    <t>Total Current Assets</t>
  </si>
  <si>
    <t>Item</t>
  </si>
  <si>
    <t>Breakeven point</t>
  </si>
  <si>
    <t>Breakeven Analysis</t>
  </si>
  <si>
    <t>Salaries</t>
  </si>
  <si>
    <t>Egg Crates</t>
  </si>
  <si>
    <t>Revenue Calculations</t>
  </si>
  <si>
    <t xml:space="preserve">Operating expenses </t>
  </si>
  <si>
    <t>Per month</t>
  </si>
  <si>
    <t>Marketing and Advertising</t>
  </si>
  <si>
    <t>Other Costs</t>
  </si>
  <si>
    <t>Number of months per cycle</t>
  </si>
  <si>
    <t>Startup Costs</t>
  </si>
  <si>
    <t>Fixed Assets Purchase</t>
  </si>
  <si>
    <t>Total Fixed Assets</t>
  </si>
  <si>
    <t>Working Capital</t>
  </si>
  <si>
    <t>Total Working Capital</t>
  </si>
  <si>
    <t>Total Startup Costs</t>
  </si>
  <si>
    <t>Total Startup Capital</t>
  </si>
  <si>
    <t>Owner Contribution</t>
  </si>
  <si>
    <t>Loan Required</t>
  </si>
  <si>
    <t>Loan sought</t>
  </si>
  <si>
    <t>Repayment term (Months)</t>
  </si>
  <si>
    <t>Interest Rate per annum</t>
  </si>
  <si>
    <t>Monthly Repayment</t>
  </si>
  <si>
    <t>Production Cost per Crate</t>
  </si>
  <si>
    <t>Per Cycle</t>
  </si>
  <si>
    <t>Total Offlayer Revenue</t>
  </si>
  <si>
    <t>Interest Payment</t>
  </si>
  <si>
    <t>Buildings And Equipment</t>
  </si>
  <si>
    <t>Selling Price/Unit (Crate)</t>
  </si>
  <si>
    <t>Variable Cost/Unit (Crate)</t>
  </si>
  <si>
    <t>Loan Outstanding</t>
  </si>
  <si>
    <t>Equity Capital</t>
  </si>
  <si>
    <t>Loan Capital</t>
  </si>
  <si>
    <t>Shareholders Equity</t>
  </si>
  <si>
    <t>Accumulated Depreciation</t>
  </si>
  <si>
    <t>Change only the cells shaded with yellow. Cells which are not shaded contain formulas, do not change them</t>
  </si>
  <si>
    <t>Year 1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</si>
  <si>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</si>
  <si>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</si>
  <si>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</si>
  <si>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</si>
  <si>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</si>
  <si>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</si>
  <si>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</si>
  <si>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</si>
  <si>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</si>
  <si>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</si>
  <si>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</si>
  <si>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</si>
  <si>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TOTAL</t>
  </si>
  <si>
    <t>CASH INFLOWS</t>
  </si>
  <si>
    <t>Total Receipts</t>
  </si>
  <si>
    <t>CASH OUTFLOWS</t>
  </si>
  <si>
    <t>Variable Costs</t>
  </si>
  <si>
    <t>Other Outflows</t>
  </si>
  <si>
    <t>Tax QPD Payments</t>
  </si>
  <si>
    <t>Total Payments</t>
  </si>
  <si>
    <t xml:space="preserve">SURPLUS / (DEFICIT)  </t>
  </si>
  <si>
    <t>OPENING BANK BALANCE</t>
  </si>
  <si>
    <t>CLOSING BALANCE</t>
  </si>
  <si>
    <t>Year 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</si>
  <si>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</si>
  <si>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</si>
  <si>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</si>
  <si>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</si>
  <si>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</si>
  <si>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</si>
  <si>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</si>
  <si>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</si>
  <si>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</si>
  <si>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</si>
  <si>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</si>
  <si>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</si>
  <si>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Year 3</t>
  </si>
  <si>
    <t>Month 25</t>
  </si>
  <si>
    <t>Month 26</t>
  </si>
  <si>
    <t>Month 27</t>
  </si>
  <si>
    <t>Month 28</t>
  </si>
  <si>
    <t>Month 29</t>
  </si>
  <si>
    <t>Month 30</t>
  </si>
  <si>
    <t>Month 31</t>
  </si>
  <si>
    <t>Month 32</t>
  </si>
  <si>
    <t>Month 33</t>
  </si>
  <si>
    <t>Month 34</t>
  </si>
  <si>
    <t>Month 35</t>
  </si>
  <si>
    <t>Month 36</t>
  </si>
  <si>
    <t>Monthly Revenue</t>
  </si>
  <si>
    <t>Feed</t>
  </si>
  <si>
    <t>100 birds capacity each cage</t>
  </si>
  <si>
    <t>Point of Lay Layers</t>
  </si>
  <si>
    <t>Revenue (Eggs)</t>
  </si>
  <si>
    <t>Revenue (Off layers)</t>
  </si>
  <si>
    <t>Fixed Costs/Year</t>
  </si>
  <si>
    <t>Do not change this figure directly. It's automatically changed when you adjust the "Loan Required" figure above. Owner Contribution = Total Capital - Loan required</t>
  </si>
  <si>
    <t>Number of eggs processed per Cycle</t>
  </si>
  <si>
    <t>Average egg processing production rate</t>
  </si>
  <si>
    <t>Price per litre</t>
  </si>
  <si>
    <t>Price per offgrade crate</t>
  </si>
  <si>
    <t>Number of eggs processed per month</t>
  </si>
  <si>
    <t>Litres of processed egg sold per month</t>
  </si>
  <si>
    <t>Packaging</t>
  </si>
  <si>
    <t>Cost of offgrades</t>
  </si>
  <si>
    <t>Transport to market</t>
  </si>
  <si>
    <t>Preservatives</t>
  </si>
  <si>
    <t>Streamline Egg Processing equipment</t>
  </si>
  <si>
    <t>Easy Egg W/house construction</t>
  </si>
  <si>
    <t>Egg Storage facility and water suppply</t>
  </si>
  <si>
    <t>Processed Egg Sale/litre</t>
  </si>
  <si>
    <t xml:space="preserve">Sale of offgrades </t>
  </si>
  <si>
    <t>Offgrades, Packaging,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</si>
</sst>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16">
    <font>
      <sz val="11"/>
      <name val="Calibri"/>
    </font>
    <font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8"/>
      <name val="Tahoma"/>
      <family val="2"/>
    </font>
    <font>
      <b/>
      <sz val="8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indexed="10"/>
      <name val="Tahoma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4" fontId="10" fillId="0" borderId="0">
      <alignment vertical="top"/>
      <protection locked="0"/>
    </xf>
    <xf numFmtId="43" fontId="10" fillId="0" borderId="0">
      <alignment vertical="top"/>
      <protection locked="0"/>
    </xf>
  </cellStyleXfs>
  <cellXfs count="74">
    <xf numFmtId="0" fontId="0" fillId="0" borderId="0" xfId="0">
      <alignment vertical="center"/>
    </xf>
    <xf numFmtId="0" fontId="1" fillId="2" borderId="0" xfId="0" applyFont="1" applyFill="1" applyAlignment="1"/>
    <xf numFmtId="0" fontId="2" fillId="2" borderId="0" xfId="0" applyFont="1" applyFill="1" applyAlignment="1"/>
    <xf numFmtId="164" fontId="3" fillId="0" borderId="0" xfId="0" applyNumberFormat="1" applyFont="1" applyAlignment="1"/>
    <xf numFmtId="0" fontId="3" fillId="2" borderId="0" xfId="0" applyFont="1" applyFill="1" applyAlignment="1"/>
    <xf numFmtId="164" fontId="2" fillId="0" borderId="0" xfId="1" applyNumberFormat="1" applyFont="1" applyAlignment="1" applyProtection="1">
      <alignment horizontal="center"/>
    </xf>
    <xf numFmtId="164" fontId="2" fillId="0" borderId="0" xfId="0" applyNumberFormat="1" applyFont="1" applyAlignment="1">
      <alignment horizontal="center"/>
    </xf>
    <xf numFmtId="9" fontId="3" fillId="2" borderId="0" xfId="0" applyNumberFormat="1" applyFont="1" applyFill="1" applyAlignment="1"/>
    <xf numFmtId="0" fontId="2" fillId="2" borderId="0" xfId="0" applyFont="1" applyFill="1" applyAlignment="1"/>
    <xf numFmtId="164" fontId="2" fillId="2" borderId="0" xfId="0" applyNumberFormat="1" applyFont="1" applyFill="1" applyAlignment="1"/>
    <xf numFmtId="0" fontId="3" fillId="0" borderId="0" xfId="0" applyFont="1" applyAlignment="1"/>
    <xf numFmtId="164" fontId="3" fillId="0" borderId="0" xfId="1" applyNumberFormat="1" applyFont="1" applyAlignment="1" applyProtection="1">
      <alignment horizontal="center"/>
    </xf>
    <xf numFmtId="44" fontId="2" fillId="0" borderId="0" xfId="1" applyFont="1" applyAlignment="1" applyProtection="1"/>
    <xf numFmtId="0" fontId="2" fillId="0" borderId="0" xfId="0" applyFont="1" applyAlignment="1"/>
    <xf numFmtId="164" fontId="2" fillId="0" borderId="0" xfId="0" applyNumberFormat="1" applyFont="1" applyAlignment="1"/>
    <xf numFmtId="1" fontId="2" fillId="0" borderId="0" xfId="0" applyNumberFormat="1" applyFont="1" applyAlignment="1"/>
    <xf numFmtId="164" fontId="2" fillId="2" borderId="0" xfId="1" applyNumberFormat="1" applyFont="1" applyFill="1" applyAlignment="1" applyProtection="1"/>
    <xf numFmtId="44" fontId="2" fillId="0" borderId="0" xfId="0" applyNumberFormat="1" applyFont="1" applyAlignment="1"/>
    <xf numFmtId="164" fontId="2" fillId="2" borderId="0" xfId="1" applyNumberFormat="1" applyFont="1" applyFill="1" applyAlignment="1" applyProtection="1">
      <alignment horizontal="center"/>
    </xf>
    <xf numFmtId="164" fontId="3" fillId="0" borderId="0" xfId="0" applyNumberFormat="1" applyFont="1" applyAlignment="1">
      <alignment horizontal="center"/>
    </xf>
    <xf numFmtId="44" fontId="3" fillId="0" borderId="0" xfId="1" applyFont="1" applyAlignment="1" applyProtection="1"/>
    <xf numFmtId="6" fontId="2" fillId="2" borderId="0" xfId="1" applyNumberFormat="1" applyFont="1" applyFill="1" applyAlignment="1" applyProtection="1"/>
    <xf numFmtId="0" fontId="4" fillId="0" borderId="0" xfId="0" applyFont="1" applyAlignment="1"/>
    <xf numFmtId="164" fontId="3" fillId="0" borderId="0" xfId="1" applyNumberFormat="1" applyFont="1" applyFill="1" applyAlignment="1" applyProtection="1">
      <alignment horizontal="left"/>
    </xf>
    <xf numFmtId="164" fontId="2" fillId="0" borderId="0" xfId="1" applyNumberFormat="1" applyFont="1" applyAlignment="1" applyProtection="1">
      <alignment horizontal="left"/>
    </xf>
    <xf numFmtId="164" fontId="2" fillId="0" borderId="0" xfId="0" applyNumberFormat="1" applyFont="1" applyAlignment="1"/>
    <xf numFmtId="9" fontId="2" fillId="2" borderId="0" xfId="0" applyNumberFormat="1" applyFont="1" applyFill="1" applyAlignment="1"/>
    <xf numFmtId="0" fontId="2" fillId="0" borderId="0" xfId="0" applyFont="1" applyAlignment="1"/>
    <xf numFmtId="0" fontId="5" fillId="3" borderId="1" xfId="0" applyFont="1" applyFill="1" applyBorder="1" applyAlignment="1"/>
    <xf numFmtId="17" fontId="6" fillId="3" borderId="1" xfId="0" applyNumberFormat="1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7" fillId="4" borderId="3" xfId="0" applyFont="1" applyFill="1" applyBorder="1" applyAlignment="1"/>
    <xf numFmtId="0" fontId="5" fillId="0" borderId="4" xfId="0" applyFont="1" applyBorder="1" applyAlignment="1"/>
    <xf numFmtId="0" fontId="6" fillId="5" borderId="2" xfId="0" applyFont="1" applyFill="1" applyBorder="1" applyAlignment="1"/>
    <xf numFmtId="0" fontId="8" fillId="4" borderId="5" xfId="0" applyFont="1" applyFill="1" applyBorder="1" applyAlignment="1"/>
    <xf numFmtId="165" fontId="5" fillId="0" borderId="0" xfId="2" applyNumberFormat="1" applyFont="1" applyBorder="1" applyAlignment="1" applyProtection="1"/>
    <xf numFmtId="165" fontId="6" fillId="5" borderId="6" xfId="2" applyNumberFormat="1" applyFont="1" applyFill="1" applyBorder="1" applyAlignment="1" applyProtection="1"/>
    <xf numFmtId="0" fontId="7" fillId="4" borderId="5" xfId="0" applyFont="1" applyFill="1" applyBorder="1" applyAlignment="1"/>
    <xf numFmtId="165" fontId="6" fillId="3" borderId="7" xfId="2" applyNumberFormat="1" applyFont="1" applyFill="1" applyBorder="1" applyAlignment="1" applyProtection="1"/>
    <xf numFmtId="165" fontId="6" fillId="3" borderId="8" xfId="2" applyNumberFormat="1" applyFont="1" applyFill="1" applyBorder="1" applyAlignment="1" applyProtection="1"/>
    <xf numFmtId="43" fontId="5" fillId="3" borderId="0" xfId="2" applyNumberFormat="1" applyFont="1" applyFill="1" applyBorder="1" applyAlignment="1" applyProtection="1"/>
    <xf numFmtId="165" fontId="6" fillId="3" borderId="6" xfId="2" applyNumberFormat="1" applyFont="1" applyFill="1" applyBorder="1" applyAlignment="1" applyProtection="1"/>
    <xf numFmtId="43" fontId="5" fillId="0" borderId="0" xfId="2" applyNumberFormat="1" applyFont="1" applyBorder="1" applyAlignment="1" applyProtection="1"/>
    <xf numFmtId="165" fontId="5" fillId="6" borderId="0" xfId="2" applyNumberFormat="1" applyFont="1" applyFill="1" applyBorder="1" applyAlignment="1" applyProtection="1"/>
    <xf numFmtId="165" fontId="5" fillId="5" borderId="0" xfId="2" applyNumberFormat="1" applyFont="1" applyFill="1" applyBorder="1" applyAlignment="1" applyProtection="1"/>
    <xf numFmtId="0" fontId="8" fillId="4" borderId="9" xfId="0" applyFont="1" applyFill="1" applyBorder="1" applyAlignment="1"/>
    <xf numFmtId="165" fontId="6" fillId="5" borderId="10" xfId="0" applyNumberFormat="1" applyFont="1" applyFill="1" applyBorder="1" applyAlignment="1"/>
    <xf numFmtId="165" fontId="6" fillId="5" borderId="11" xfId="0" applyNumberFormat="1" applyFont="1" applyFill="1" applyBorder="1" applyAlignment="1"/>
    <xf numFmtId="165" fontId="2" fillId="0" borderId="0" xfId="0" applyNumberFormat="1" applyFont="1" applyAlignment="1"/>
    <xf numFmtId="0" fontId="7" fillId="3" borderId="1" xfId="0" applyFont="1" applyFill="1" applyBorder="1" applyAlignment="1"/>
    <xf numFmtId="17" fontId="8" fillId="3" borderId="1" xfId="0" applyNumberFormat="1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center"/>
    </xf>
    <xf numFmtId="0" fontId="9" fillId="4" borderId="5" xfId="0" applyFont="1" applyFill="1" applyBorder="1" applyAlignment="1"/>
    <xf numFmtId="164" fontId="3" fillId="0" borderId="0" xfId="1" applyNumberFormat="1" applyFont="1" applyAlignment="1" applyProtection="1"/>
    <xf numFmtId="164" fontId="2" fillId="0" borderId="0" xfId="1" applyNumberFormat="1" applyFont="1" applyAlignment="1" applyProtection="1"/>
    <xf numFmtId="164" fontId="2" fillId="0" borderId="0" xfId="1" applyNumberFormat="1" applyFont="1" applyAlignment="1" applyProtection="1">
      <alignment horizontal="right"/>
    </xf>
    <xf numFmtId="44" fontId="10" fillId="0" borderId="0" xfId="1" applyFont="1" applyAlignment="1" applyProtection="1"/>
    <xf numFmtId="1" fontId="3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0" fontId="11" fillId="0" borderId="0" xfId="0" applyFont="1" applyBorder="1" applyAlignment="1"/>
    <xf numFmtId="164" fontId="11" fillId="0" borderId="0" xfId="0" applyNumberFormat="1" applyFont="1" applyBorder="1" applyAlignment="1"/>
    <xf numFmtId="0" fontId="12" fillId="0" borderId="0" xfId="0" applyFont="1" applyFill="1" applyBorder="1" applyAlignment="1"/>
    <xf numFmtId="164" fontId="12" fillId="0" borderId="0" xfId="0" applyNumberFormat="1" applyFont="1" applyBorder="1" applyAlignment="1"/>
    <xf numFmtId="0" fontId="12" fillId="0" borderId="0" xfId="0" applyFont="1" applyBorder="1" applyAlignment="1"/>
    <xf numFmtId="164" fontId="11" fillId="0" borderId="0" xfId="1" applyNumberFormat="1" applyFont="1" applyBorder="1" applyAlignment="1" applyProtection="1"/>
    <xf numFmtId="0" fontId="11" fillId="0" borderId="0" xfId="0" applyFont="1" applyFill="1" applyBorder="1" applyAlignment="1"/>
    <xf numFmtId="164" fontId="13" fillId="0" borderId="0" xfId="1" applyNumberFormat="1" applyFont="1" applyBorder="1" applyAlignment="1" applyProtection="1"/>
    <xf numFmtId="164" fontId="12" fillId="0" borderId="0" xfId="1" applyNumberFormat="1" applyFont="1" applyBorder="1" applyAlignment="1" applyProtection="1"/>
    <xf numFmtId="0" fontId="13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/>
    <xf numFmtId="44" fontId="11" fillId="0" borderId="0" xfId="0" applyNumberFormat="1" applyFont="1" applyBorder="1" applyAlignment="1"/>
    <xf numFmtId="0" fontId="14" fillId="0" borderId="0" xfId="0" applyFont="1">
      <alignment vertical="center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5" workbookViewId="0">
      <selection activeCell="B22" sqref="B22"/>
    </sheetView>
  </sheetViews>
  <sheetFormatPr defaultColWidth="9" defaultRowHeight="14.4"/>
  <cols>
    <col min="1" max="1" width="34.109375" customWidth="1"/>
    <col min="2" max="2" width="14.5546875" customWidth="1"/>
    <col min="3" max="3" width="12.88671875" customWidth="1"/>
    <col min="4" max="4" width="14.33203125" customWidth="1"/>
    <col min="5" max="5" width="10"/>
    <col min="6" max="6" width="23.88671875" customWidth="1"/>
    <col min="7" max="256" width="10" customWidth="1"/>
  </cols>
  <sheetData>
    <row r="1" spans="1:6" ht="21">
      <c r="A1" s="1" t="s">
        <v>87</v>
      </c>
      <c r="B1" s="2"/>
      <c r="C1" s="2"/>
      <c r="D1" s="2"/>
      <c r="E1" s="2"/>
      <c r="F1" s="2"/>
    </row>
    <row r="2" spans="1:6">
      <c r="A2" s="3"/>
    </row>
    <row r="3" spans="1:6">
      <c r="A3" s="4" t="s">
        <v>146</v>
      </c>
      <c r="B3" s="4">
        <v>500000</v>
      </c>
      <c r="C3" s="5"/>
      <c r="D3" s="6"/>
    </row>
    <row r="4" spans="1:6">
      <c r="A4" s="4" t="s">
        <v>147</v>
      </c>
      <c r="B4" s="7">
        <v>0.9</v>
      </c>
      <c r="C4" s="5"/>
      <c r="D4" s="6"/>
    </row>
    <row r="5" spans="1:6" ht="14.25" customHeight="1">
      <c r="A5" s="8" t="s">
        <v>148</v>
      </c>
      <c r="B5" s="9">
        <v>2</v>
      </c>
      <c r="C5" s="5"/>
      <c r="D5" s="6"/>
    </row>
    <row r="6" spans="1:6">
      <c r="A6" s="8" t="s">
        <v>149</v>
      </c>
      <c r="B6" s="9">
        <v>3</v>
      </c>
      <c r="C6" s="5"/>
      <c r="D6" s="6"/>
    </row>
    <row r="7" spans="1:6">
      <c r="A7" s="10"/>
      <c r="B7" s="11"/>
      <c r="C7" s="11"/>
      <c r="D7" s="11"/>
    </row>
    <row r="8" spans="1:6">
      <c r="A8" s="10" t="s">
        <v>56</v>
      </c>
      <c r="B8" s="12"/>
      <c r="C8" s="5"/>
      <c r="D8" s="6"/>
    </row>
    <row r="9" spans="1:6">
      <c r="A9" s="13" t="s">
        <v>150</v>
      </c>
      <c r="B9">
        <f>B3*B4/20</f>
        <v>22500</v>
      </c>
      <c r="C9" s="5"/>
      <c r="D9" s="6"/>
    </row>
    <row r="10" spans="1:6">
      <c r="A10" s="13" t="s">
        <v>151</v>
      </c>
      <c r="B10">
        <f>ROUNDUP(B9/1.2,0)</f>
        <v>18750</v>
      </c>
      <c r="C10" s="5"/>
      <c r="D10" s="6"/>
    </row>
    <row r="11" spans="1:6">
      <c r="A11" s="13" t="s">
        <v>138</v>
      </c>
      <c r="B11" s="14">
        <f>B10*B5</f>
        <v>37500</v>
      </c>
      <c r="C11" s="5"/>
      <c r="D11" s="6"/>
    </row>
    <row r="12" spans="1:6">
      <c r="A12" s="13" t="s">
        <v>61</v>
      </c>
      <c r="B12" s="15">
        <v>18</v>
      </c>
      <c r="C12" s="5"/>
      <c r="D12" s="6"/>
    </row>
    <row r="13" spans="1:6">
      <c r="A13" s="13" t="s">
        <v>77</v>
      </c>
      <c r="B13" s="14">
        <f>B3*B6</f>
        <v>1500000</v>
      </c>
      <c r="C13" s="5"/>
      <c r="D13" s="6"/>
    </row>
    <row r="14" spans="1:6">
      <c r="A14" s="10"/>
      <c r="B14" s="3"/>
      <c r="C14" s="5"/>
      <c r="D14" s="6"/>
    </row>
    <row r="15" spans="1:6">
      <c r="A15" s="10" t="s">
        <v>15</v>
      </c>
      <c r="B15" s="5"/>
      <c r="C15" s="5"/>
      <c r="D15" s="6"/>
    </row>
    <row r="16" spans="1:6">
      <c r="A16" s="10"/>
      <c r="B16" s="10" t="s">
        <v>0</v>
      </c>
      <c r="C16" s="11" t="s">
        <v>1</v>
      </c>
      <c r="D16" s="11" t="s">
        <v>2</v>
      </c>
      <c r="F16" s="10"/>
    </row>
    <row r="17" spans="1:6">
      <c r="A17" s="73" t="s">
        <v>152</v>
      </c>
      <c r="B17">
        <f>B9</f>
        <v>22500</v>
      </c>
      <c r="C17" s="16">
        <v>0.35</v>
      </c>
      <c r="D17" s="5">
        <f t="shared" ref="D17:D22" si="0">B17*C17</f>
        <v>7874.9999999999991</v>
      </c>
      <c r="F17" s="13"/>
    </row>
    <row r="18" spans="1:6">
      <c r="A18" t="s">
        <v>48</v>
      </c>
      <c r="B18">
        <v>1</v>
      </c>
      <c r="C18" s="16">
        <v>150</v>
      </c>
      <c r="D18" s="5">
        <f t="shared" si="0"/>
        <v>150</v>
      </c>
      <c r="F18" s="13"/>
    </row>
    <row r="19" spans="1:6">
      <c r="A19" s="73" t="s">
        <v>153</v>
      </c>
      <c r="B19">
        <f>B9</f>
        <v>22500</v>
      </c>
      <c r="C19" s="16">
        <v>0.1</v>
      </c>
      <c r="D19" s="5">
        <f t="shared" si="0"/>
        <v>2250</v>
      </c>
      <c r="F19" s="13"/>
    </row>
    <row r="20" spans="1:6">
      <c r="A20" s="73" t="s">
        <v>154</v>
      </c>
      <c r="B20">
        <f>B17</f>
        <v>22500</v>
      </c>
      <c r="C20" s="16">
        <v>0.15</v>
      </c>
      <c r="D20" s="5">
        <f t="shared" si="0"/>
        <v>3375</v>
      </c>
      <c r="F20" s="10"/>
    </row>
    <row r="21" spans="1:6">
      <c r="A21" s="10" t="s">
        <v>2</v>
      </c>
      <c r="C21" s="5"/>
      <c r="D21" s="11">
        <f>SUM(D17:D20)</f>
        <v>13650</v>
      </c>
      <c r="F21" s="17"/>
    </row>
    <row r="22" spans="1:6">
      <c r="A22" s="10" t="s">
        <v>155</v>
      </c>
      <c r="B22">
        <f>1250</f>
        <v>1250</v>
      </c>
      <c r="C22" s="18">
        <v>3</v>
      </c>
      <c r="D22" s="5">
        <f t="shared" si="0"/>
        <v>3750</v>
      </c>
    </row>
    <row r="23" spans="1:6">
      <c r="A23" s="10" t="s">
        <v>75</v>
      </c>
      <c r="C23" s="5"/>
      <c r="D23" s="19">
        <f>(D21*B12+D22)/(B10*B12)</f>
        <v>0.73911111111111116</v>
      </c>
    </row>
    <row r="24" spans="1:6">
      <c r="B24" s="12"/>
      <c r="C24" s="5"/>
      <c r="D24" s="6"/>
    </row>
    <row r="25" spans="1:6">
      <c r="A25" s="10" t="s">
        <v>57</v>
      </c>
      <c r="B25" s="20" t="s">
        <v>58</v>
      </c>
      <c r="C25" s="11" t="s">
        <v>76</v>
      </c>
      <c r="D25" s="6"/>
    </row>
    <row r="26" spans="1:6">
      <c r="A26" t="s">
        <v>54</v>
      </c>
      <c r="B26" s="21">
        <v>5000</v>
      </c>
      <c r="C26" s="5">
        <f>B26*$B$12</f>
        <v>90000</v>
      </c>
      <c r="D26" s="6"/>
    </row>
    <row r="27" spans="1:6">
      <c r="A27" t="s">
        <v>59</v>
      </c>
      <c r="B27" s="21">
        <v>1500</v>
      </c>
      <c r="C27" s="5">
        <f t="shared" ref="C27:C29" si="1">B27*$B$12</f>
        <v>27000</v>
      </c>
      <c r="D27" s="6"/>
    </row>
    <row r="28" spans="1:6">
      <c r="A28" t="s">
        <v>10</v>
      </c>
      <c r="B28" s="21">
        <v>300</v>
      </c>
      <c r="C28" s="5">
        <f t="shared" si="1"/>
        <v>5400</v>
      </c>
      <c r="D28" s="6"/>
    </row>
    <row r="29" spans="1:6">
      <c r="A29" t="s">
        <v>60</v>
      </c>
      <c r="B29" s="21">
        <v>300</v>
      </c>
      <c r="C29" s="5">
        <f t="shared" si="1"/>
        <v>5400</v>
      </c>
      <c r="D29" s="6"/>
    </row>
    <row r="30" spans="1:6">
      <c r="B30" s="12"/>
      <c r="C30" s="5"/>
      <c r="D30" s="6"/>
    </row>
    <row r="31" spans="1:6">
      <c r="B31" s="12"/>
      <c r="C31" s="5"/>
      <c r="D31" s="6"/>
    </row>
    <row r="32" spans="1:6">
      <c r="B32" s="12"/>
      <c r="C32" s="5"/>
      <c r="D32" s="6"/>
    </row>
    <row r="33" spans="2:4">
      <c r="B33" s="12"/>
      <c r="C33" s="5"/>
      <c r="D33" s="6"/>
    </row>
    <row r="34" spans="2:4">
      <c r="B34" s="12"/>
      <c r="C34" s="5"/>
      <c r="D34" s="6"/>
    </row>
    <row r="35" spans="2:4">
      <c r="B35" s="12"/>
      <c r="C35" s="5"/>
      <c r="D35" s="6"/>
    </row>
    <row r="36" spans="2:4">
      <c r="B36" s="12"/>
      <c r="C36" s="5"/>
      <c r="D36" s="6"/>
    </row>
    <row r="37" spans="2:4">
      <c r="B37" s="12"/>
      <c r="C37" s="5"/>
      <c r="D37" s="6"/>
    </row>
    <row r="38" spans="2:4">
      <c r="B38" s="12"/>
      <c r="C38" s="5"/>
      <c r="D38" s="6"/>
    </row>
  </sheetData>
  <dataValidations count="1">
    <dataValidation type="list" allowBlank="1" showInputMessage="1" showErrorMessage="1" sqref="B12">
      <formula1>"18"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C30" sqref="C30"/>
    </sheetView>
  </sheetViews>
  <sheetFormatPr defaultColWidth="9" defaultRowHeight="14.4"/>
  <cols>
    <col min="1" max="1" width="34.88671875" customWidth="1"/>
    <col min="2" max="2" width="12.6640625" customWidth="1"/>
    <col min="3" max="3" width="13.44140625" style="14" customWidth="1"/>
    <col min="4" max="4" width="14.21875" style="14" customWidth="1"/>
    <col min="5" max="256" width="10" customWidth="1"/>
  </cols>
  <sheetData>
    <row r="1" spans="1:6">
      <c r="A1" s="10" t="s">
        <v>62</v>
      </c>
      <c r="C1" s="5"/>
      <c r="D1" s="5"/>
    </row>
    <row r="2" spans="1:6">
      <c r="A2" s="10" t="s">
        <v>51</v>
      </c>
      <c r="B2" s="10" t="s">
        <v>0</v>
      </c>
      <c r="C2" s="11" t="s">
        <v>1</v>
      </c>
      <c r="D2" s="11" t="s">
        <v>2</v>
      </c>
    </row>
    <row r="3" spans="1:6">
      <c r="A3" s="10" t="s">
        <v>63</v>
      </c>
      <c r="B3" s="10"/>
      <c r="C3" s="11"/>
      <c r="D3" s="11"/>
    </row>
    <row r="4" spans="1:6">
      <c r="A4" s="8" t="s">
        <v>156</v>
      </c>
      <c r="B4" s="2">
        <v>1</v>
      </c>
      <c r="C4" s="18">
        <v>500000</v>
      </c>
      <c r="D4" s="18">
        <f t="shared" ref="D4:D6" si="0">B4*C4</f>
        <v>500000</v>
      </c>
    </row>
    <row r="5" spans="1:6">
      <c r="A5" s="8" t="s">
        <v>157</v>
      </c>
      <c r="B5" s="2">
        <v>1</v>
      </c>
      <c r="C5" s="18">
        <v>10000</v>
      </c>
      <c r="D5" s="18">
        <f t="shared" si="0"/>
        <v>10000</v>
      </c>
    </row>
    <row r="6" spans="1:6">
      <c r="A6" s="2" t="s">
        <v>158</v>
      </c>
      <c r="B6" s="2">
        <v>1</v>
      </c>
      <c r="C6" s="18">
        <v>10000</v>
      </c>
      <c r="D6" s="18">
        <f t="shared" si="0"/>
        <v>10000</v>
      </c>
      <c r="E6" s="22" t="s">
        <v>140</v>
      </c>
    </row>
    <row r="7" spans="1:6">
      <c r="A7" s="10" t="s">
        <v>64</v>
      </c>
      <c r="C7" s="5"/>
      <c r="D7" s="11">
        <f>SUM(D4:D6)</f>
        <v>520000</v>
      </c>
      <c r="F7" s="17"/>
    </row>
    <row r="8" spans="1:6">
      <c r="A8" s="10"/>
      <c r="C8" s="5"/>
      <c r="D8" s="11"/>
      <c r="F8" s="17"/>
    </row>
    <row r="9" spans="1:6">
      <c r="A9" s="10" t="s">
        <v>65</v>
      </c>
      <c r="C9" s="5"/>
      <c r="D9" s="5"/>
      <c r="F9" s="17"/>
    </row>
    <row r="10" spans="1:6">
      <c r="A10" s="2" t="s">
        <v>155</v>
      </c>
      <c r="B10" s="2">
        <f>Assumptions!B22</f>
        <v>1250</v>
      </c>
      <c r="C10" s="18">
        <f>Assumptions!C22</f>
        <v>3</v>
      </c>
      <c r="D10" s="18">
        <f>B10*C10</f>
        <v>3750</v>
      </c>
    </row>
    <row r="11" spans="1:6">
      <c r="A11" s="2" t="s">
        <v>3</v>
      </c>
      <c r="B11" s="2">
        <f>Assumptions!B19</f>
        <v>22500</v>
      </c>
      <c r="C11" s="18">
        <f>Assumptions!C19</f>
        <v>0.1</v>
      </c>
      <c r="D11" s="18">
        <f t="shared" ref="D11:D14" si="1">B11*C11</f>
        <v>2250</v>
      </c>
    </row>
    <row r="12" spans="1:6">
      <c r="A12" s="2" t="s">
        <v>4</v>
      </c>
      <c r="B12" s="2">
        <f>Assumptions!B10</f>
        <v>18750</v>
      </c>
      <c r="C12" s="18">
        <f>Assumptions!C17</f>
        <v>0.35</v>
      </c>
      <c r="D12" s="18">
        <f t="shared" si="1"/>
        <v>6562.5</v>
      </c>
    </row>
    <row r="13" spans="1:6">
      <c r="A13" s="2" t="s">
        <v>46</v>
      </c>
      <c r="B13" s="2">
        <f>1</f>
        <v>1</v>
      </c>
      <c r="C13" s="18">
        <f>Assumptions!C18</f>
        <v>150</v>
      </c>
      <c r="D13" s="18">
        <f t="shared" si="1"/>
        <v>150</v>
      </c>
    </row>
    <row r="14" spans="1:6">
      <c r="A14" s="2" t="s">
        <v>5</v>
      </c>
      <c r="B14" s="2">
        <f>B12</f>
        <v>18750</v>
      </c>
      <c r="C14" s="18">
        <f>Assumptions!C20</f>
        <v>0.15</v>
      </c>
      <c r="D14" s="18">
        <f t="shared" si="1"/>
        <v>2812.5</v>
      </c>
    </row>
    <row r="15" spans="1:6">
      <c r="A15" s="8" t="str">
        <f>Assumptions!A26</f>
        <v>Salaries</v>
      </c>
      <c r="B15" s="2">
        <v>2</v>
      </c>
      <c r="C15" s="18">
        <f>Assumptions!B26</f>
        <v>5000</v>
      </c>
      <c r="D15" s="18">
        <f>B15*C15</f>
        <v>10000</v>
      </c>
    </row>
    <row r="16" spans="1:6">
      <c r="A16" s="8" t="str">
        <f>Assumptions!A27</f>
        <v>Marketing and Advertising</v>
      </c>
      <c r="B16" s="2">
        <v>2</v>
      </c>
      <c r="C16" s="18">
        <f>Assumptions!B27</f>
        <v>1500</v>
      </c>
      <c r="D16" s="18">
        <f t="shared" ref="D16:D18" si="2">B16*C16</f>
        <v>3000</v>
      </c>
    </row>
    <row r="17" spans="1:4">
      <c r="A17" s="8" t="str">
        <f>Assumptions!A28</f>
        <v xml:space="preserve">Repairs and maintenance </v>
      </c>
      <c r="B17" s="2">
        <v>2</v>
      </c>
      <c r="C17" s="18">
        <f>Assumptions!B28</f>
        <v>300</v>
      </c>
      <c r="D17" s="18">
        <f t="shared" si="2"/>
        <v>600</v>
      </c>
    </row>
    <row r="18" spans="1:4">
      <c r="A18" s="8" t="str">
        <f>Assumptions!A29</f>
        <v>Other Costs</v>
      </c>
      <c r="B18" s="2">
        <v>2</v>
      </c>
      <c r="C18" s="18">
        <f>Assumptions!B29</f>
        <v>300</v>
      </c>
      <c r="D18" s="18">
        <f t="shared" si="2"/>
        <v>600</v>
      </c>
    </row>
    <row r="19" spans="1:4">
      <c r="A19" s="10" t="s">
        <v>66</v>
      </c>
      <c r="C19" s="5"/>
      <c r="D19" s="11">
        <f>SUM(D10:D15)</f>
        <v>25525</v>
      </c>
    </row>
    <row r="20" spans="1:4">
      <c r="A20" s="13"/>
      <c r="C20" s="5"/>
      <c r="D20" s="5"/>
    </row>
    <row r="21" spans="1:4">
      <c r="A21" s="10" t="s">
        <v>67</v>
      </c>
      <c r="C21" s="5"/>
      <c r="D21" s="11">
        <f>D7+D19</f>
        <v>545525</v>
      </c>
    </row>
    <row r="22" spans="1:4">
      <c r="A22" s="10"/>
      <c r="C22" s="5"/>
      <c r="D22" s="11"/>
    </row>
    <row r="23" spans="1:4">
      <c r="A23" s="10" t="s">
        <v>68</v>
      </c>
      <c r="B23" s="14">
        <f>D21</f>
        <v>545525</v>
      </c>
      <c r="C23" s="5"/>
      <c r="D23" s="11"/>
    </row>
    <row r="24" spans="1:4">
      <c r="A24" s="4" t="s">
        <v>70</v>
      </c>
      <c r="B24" s="9">
        <v>535000</v>
      </c>
      <c r="C24" s="23"/>
      <c r="D24" s="11"/>
    </row>
    <row r="25" spans="1:4">
      <c r="A25" s="10" t="s">
        <v>69</v>
      </c>
      <c r="B25" s="14">
        <f>B23-B24</f>
        <v>10525</v>
      </c>
      <c r="C25" s="24" t="s">
        <v>145</v>
      </c>
      <c r="D25" s="11"/>
    </row>
    <row r="26" spans="1:4">
      <c r="A26" s="10"/>
      <c r="B26" s="14"/>
      <c r="C26" s="23"/>
      <c r="D26" s="11"/>
    </row>
    <row r="27" spans="1:4">
      <c r="A27" s="10" t="s">
        <v>27</v>
      </c>
      <c r="B27" s="13"/>
      <c r="C27" s="13"/>
      <c r="D27" s="5"/>
    </row>
    <row r="28" spans="1:4">
      <c r="A28" s="13" t="s">
        <v>71</v>
      </c>
      <c r="B28" s="25">
        <f>B24</f>
        <v>535000</v>
      </c>
      <c r="C28" s="13"/>
      <c r="D28" s="5"/>
    </row>
    <row r="29" spans="1:4">
      <c r="A29" s="8" t="s">
        <v>72</v>
      </c>
      <c r="B29" s="8">
        <v>72</v>
      </c>
      <c r="C29" s="13"/>
      <c r="D29" s="5"/>
    </row>
    <row r="30" spans="1:4">
      <c r="A30" s="8" t="s">
        <v>73</v>
      </c>
      <c r="B30" s="26">
        <v>0.05</v>
      </c>
      <c r="C30" s="13"/>
      <c r="D30" s="5"/>
    </row>
    <row r="31" spans="1:4">
      <c r="A31" s="13" t="s">
        <v>74</v>
      </c>
      <c r="B31" s="25">
        <f>-PMT(B30/12,B29,B28)</f>
        <v>8616.1389738762482</v>
      </c>
      <c r="C31" s="13"/>
      <c r="D31" s="5"/>
    </row>
    <row r="32" spans="1:4">
      <c r="A32" s="13"/>
      <c r="B32" s="13"/>
      <c r="C32" s="13"/>
      <c r="D32" s="5"/>
    </row>
    <row r="33" spans="1:4">
      <c r="A33" s="13"/>
      <c r="B33" s="13"/>
      <c r="C33" s="13"/>
      <c r="D33" s="5"/>
    </row>
    <row r="34" spans="1:4">
      <c r="A34" s="13"/>
      <c r="B34" s="13"/>
      <c r="C34" s="13"/>
      <c r="D34" s="5"/>
    </row>
    <row r="35" spans="1:4">
      <c r="A35" s="13"/>
      <c r="B35" s="13"/>
      <c r="C35" s="13"/>
      <c r="D35" s="5"/>
    </row>
    <row r="36" spans="1:4">
      <c r="C36" s="5"/>
      <c r="D3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I13" workbookViewId="0"/>
  </sheetViews>
  <sheetFormatPr defaultColWidth="9" defaultRowHeight="14.4"/>
  <cols>
    <col min="1" max="1" width="20.88671875" customWidth="1"/>
    <col min="2" max="13" width="8.6640625" customWidth="1"/>
    <col min="14" max="14" width="9.5546875" customWidth="1"/>
    <col min="15" max="256" width="10" customWidth="1"/>
  </cols>
  <sheetData>
    <row r="1" spans="1:14">
      <c r="A1" s="27"/>
      <c r="F1" s="10" t="s">
        <v>88</v>
      </c>
    </row>
    <row r="2" spans="1:14">
      <c r="A2" s="28"/>
      <c r="B2" s="29" t="s">
        <v>89</v>
      </c>
      <c r="C2" s="29" t="s">
        <v>90</v>
      </c>
      <c r="D2" s="29" t="s">
        <v>91</v>
      </c>
      <c r="E2" s="29" t="s">
        <v>92</v>
      </c>
      <c r="F2" s="29" t="s">
        <v>93</v>
      </c>
      <c r="G2" s="29" t="s">
        <v>94</v>
      </c>
      <c r="H2" s="29" t="s">
        <v>95</v>
      </c>
      <c r="I2" s="29" t="s">
        <v>96</v>
      </c>
      <c r="J2" s="29" t="s">
        <v>97</v>
      </c>
      <c r="K2" s="29" t="s">
        <v>98</v>
      </c>
      <c r="L2" s="29" t="s">
        <v>99</v>
      </c>
      <c r="M2" s="29" t="s">
        <v>100</v>
      </c>
      <c r="N2" s="30" t="s">
        <v>101</v>
      </c>
    </row>
    <row r="3" spans="1:14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3"/>
    </row>
    <row r="4" spans="1:14">
      <c r="A4" s="34" t="s">
        <v>102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6"/>
    </row>
    <row r="5" spans="1:14">
      <c r="A5" s="37" t="s">
        <v>83</v>
      </c>
      <c r="B5" s="35">
        <f>'Startup Costs'!B25</f>
        <v>10525</v>
      </c>
      <c r="C5" s="35">
        <v>0</v>
      </c>
      <c r="D5" s="35">
        <f>C5</f>
        <v>0</v>
      </c>
      <c r="E5" s="35">
        <f t="shared" ref="E5:M5" si="0">D5</f>
        <v>0</v>
      </c>
      <c r="F5" s="35">
        <f t="shared" si="0"/>
        <v>0</v>
      </c>
      <c r="G5" s="35">
        <f t="shared" si="0"/>
        <v>0</v>
      </c>
      <c r="H5" s="35">
        <f t="shared" si="0"/>
        <v>0</v>
      </c>
      <c r="I5" s="35">
        <f t="shared" si="0"/>
        <v>0</v>
      </c>
      <c r="J5" s="35">
        <f t="shared" si="0"/>
        <v>0</v>
      </c>
      <c r="K5" s="35">
        <f t="shared" si="0"/>
        <v>0</v>
      </c>
      <c r="L5" s="35">
        <f t="shared" si="0"/>
        <v>0</v>
      </c>
      <c r="M5" s="35">
        <f t="shared" si="0"/>
        <v>0</v>
      </c>
      <c r="N5" s="36">
        <f>SUM(B5:M5)</f>
        <v>10525</v>
      </c>
    </row>
    <row r="6" spans="1:14">
      <c r="A6" s="37" t="s">
        <v>84</v>
      </c>
      <c r="B6" s="35">
        <f>'Startup Costs'!B24</f>
        <v>535000</v>
      </c>
      <c r="C6" s="35">
        <v>0</v>
      </c>
      <c r="D6" s="35">
        <f t="shared" ref="D6:M7" si="1">C6</f>
        <v>0</v>
      </c>
      <c r="E6" s="35">
        <f t="shared" si="1"/>
        <v>0</v>
      </c>
      <c r="F6" s="35">
        <f t="shared" si="1"/>
        <v>0</v>
      </c>
      <c r="G6" s="35">
        <f t="shared" si="1"/>
        <v>0</v>
      </c>
      <c r="H6" s="35">
        <f t="shared" si="1"/>
        <v>0</v>
      </c>
      <c r="I6" s="35">
        <f t="shared" si="1"/>
        <v>0</v>
      </c>
      <c r="J6" s="35">
        <f t="shared" si="1"/>
        <v>0</v>
      </c>
      <c r="K6" s="35">
        <f t="shared" si="1"/>
        <v>0</v>
      </c>
      <c r="L6" s="35">
        <f t="shared" si="1"/>
        <v>0</v>
      </c>
      <c r="M6" s="35">
        <f t="shared" si="1"/>
        <v>0</v>
      </c>
      <c r="N6" s="36">
        <f t="shared" ref="N6:N8" si="2">SUM(B6:M6)</f>
        <v>535000</v>
      </c>
    </row>
    <row r="7" spans="1:14">
      <c r="A7" s="37" t="s">
        <v>142</v>
      </c>
      <c r="B7" s="35">
        <f>Assumptions!B11</f>
        <v>37500</v>
      </c>
      <c r="C7" s="35">
        <f>B7</f>
        <v>37500</v>
      </c>
      <c r="D7" s="35">
        <f t="shared" si="1"/>
        <v>37500</v>
      </c>
      <c r="E7" s="35">
        <f t="shared" si="1"/>
        <v>37500</v>
      </c>
      <c r="F7" s="35">
        <f t="shared" si="1"/>
        <v>37500</v>
      </c>
      <c r="G7" s="35">
        <f t="shared" si="1"/>
        <v>37500</v>
      </c>
      <c r="H7" s="35">
        <f t="shared" si="1"/>
        <v>37500</v>
      </c>
      <c r="I7" s="35">
        <f t="shared" si="1"/>
        <v>37500</v>
      </c>
      <c r="J7" s="35">
        <f t="shared" si="1"/>
        <v>37500</v>
      </c>
      <c r="K7" s="35">
        <f t="shared" si="1"/>
        <v>37500</v>
      </c>
      <c r="L7" s="35">
        <f t="shared" si="1"/>
        <v>37500</v>
      </c>
      <c r="M7" s="35">
        <f t="shared" si="1"/>
        <v>37500</v>
      </c>
      <c r="N7" s="36">
        <f t="shared" si="2"/>
        <v>450000</v>
      </c>
    </row>
    <row r="8" spans="1:14">
      <c r="A8" s="37" t="s">
        <v>143</v>
      </c>
      <c r="B8" s="35">
        <v>0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6">
        <f t="shared" si="2"/>
        <v>0</v>
      </c>
    </row>
    <row r="9" spans="1:14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6"/>
    </row>
    <row r="10" spans="1:14">
      <c r="A10" s="34" t="s">
        <v>103</v>
      </c>
      <c r="B10" s="38">
        <f>SUM(B5:B8)</f>
        <v>583025</v>
      </c>
      <c r="C10" s="38">
        <f t="shared" ref="C10:M10" si="3">SUM(C5:C8)</f>
        <v>37500</v>
      </c>
      <c r="D10" s="38">
        <f t="shared" si="3"/>
        <v>37500</v>
      </c>
      <c r="E10" s="38">
        <f t="shared" si="3"/>
        <v>37500</v>
      </c>
      <c r="F10" s="38">
        <f t="shared" si="3"/>
        <v>37500</v>
      </c>
      <c r="G10" s="38">
        <f t="shared" si="3"/>
        <v>37500</v>
      </c>
      <c r="H10" s="38">
        <f t="shared" si="3"/>
        <v>37500</v>
      </c>
      <c r="I10" s="38">
        <f t="shared" si="3"/>
        <v>37500</v>
      </c>
      <c r="J10" s="38">
        <f t="shared" si="3"/>
        <v>37500</v>
      </c>
      <c r="K10" s="38">
        <f t="shared" si="3"/>
        <v>37500</v>
      </c>
      <c r="L10" s="38">
        <f t="shared" si="3"/>
        <v>37500</v>
      </c>
      <c r="M10" s="38">
        <f t="shared" si="3"/>
        <v>37500</v>
      </c>
      <c r="N10" s="39">
        <f>SUM(N4:N8)</f>
        <v>995525</v>
      </c>
    </row>
    <row r="11" spans="1:14">
      <c r="A11" s="37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1"/>
    </row>
    <row r="12" spans="1:14">
      <c r="A12" s="34" t="s">
        <v>104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36"/>
    </row>
    <row r="13" spans="1:14">
      <c r="A13" s="34" t="s">
        <v>105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36"/>
    </row>
    <row r="14" spans="1:14">
      <c r="A14" s="37" t="s">
        <v>55</v>
      </c>
      <c r="B14" s="35">
        <f>Assumptions!D17</f>
        <v>7874.9999999999991</v>
      </c>
      <c r="C14" s="35">
        <f>B14</f>
        <v>7874.9999999999991</v>
      </c>
      <c r="D14" s="35">
        <f t="shared" ref="D14:M14" si="4">C14</f>
        <v>7874.9999999999991</v>
      </c>
      <c r="E14" s="35">
        <f t="shared" si="4"/>
        <v>7874.9999999999991</v>
      </c>
      <c r="F14" s="35">
        <f t="shared" si="4"/>
        <v>7874.9999999999991</v>
      </c>
      <c r="G14" s="35">
        <f t="shared" si="4"/>
        <v>7874.9999999999991</v>
      </c>
      <c r="H14" s="35">
        <f t="shared" si="4"/>
        <v>7874.9999999999991</v>
      </c>
      <c r="I14" s="35">
        <f t="shared" si="4"/>
        <v>7874.9999999999991</v>
      </c>
      <c r="J14" s="35">
        <f t="shared" si="4"/>
        <v>7874.9999999999991</v>
      </c>
      <c r="K14" s="35">
        <f t="shared" si="4"/>
        <v>7874.9999999999991</v>
      </c>
      <c r="L14" s="35">
        <f t="shared" si="4"/>
        <v>7874.9999999999991</v>
      </c>
      <c r="M14" s="35">
        <f t="shared" si="4"/>
        <v>7874.9999999999991</v>
      </c>
      <c r="N14" s="36">
        <f t="shared" ref="N14:N28" si="5">SUM(B14:M14)</f>
        <v>94499.999999999985</v>
      </c>
    </row>
    <row r="15" spans="1:14">
      <c r="A15" s="37" t="s">
        <v>48</v>
      </c>
      <c r="B15" s="35">
        <f>Assumptions!D18</f>
        <v>150</v>
      </c>
      <c r="C15" s="35">
        <f t="shared" ref="C15:M15" si="6">B15</f>
        <v>150</v>
      </c>
      <c r="D15" s="35">
        <f t="shared" si="6"/>
        <v>150</v>
      </c>
      <c r="E15" s="35">
        <f t="shared" si="6"/>
        <v>150</v>
      </c>
      <c r="F15" s="35">
        <f t="shared" si="6"/>
        <v>150</v>
      </c>
      <c r="G15" s="35">
        <f t="shared" si="6"/>
        <v>150</v>
      </c>
      <c r="H15" s="35">
        <f t="shared" si="6"/>
        <v>150</v>
      </c>
      <c r="I15" s="35">
        <f t="shared" si="6"/>
        <v>150</v>
      </c>
      <c r="J15" s="35">
        <f t="shared" si="6"/>
        <v>150</v>
      </c>
      <c r="K15" s="35">
        <f t="shared" si="6"/>
        <v>150</v>
      </c>
      <c r="L15" s="35">
        <f t="shared" si="6"/>
        <v>150</v>
      </c>
      <c r="M15" s="35">
        <f t="shared" si="6"/>
        <v>150</v>
      </c>
      <c r="N15" s="36">
        <f t="shared" si="5"/>
        <v>1800</v>
      </c>
    </row>
    <row r="16" spans="1:14">
      <c r="A16" s="37" t="s">
        <v>139</v>
      </c>
      <c r="B16" s="35">
        <f>Assumptions!D19</f>
        <v>2250</v>
      </c>
      <c r="C16" s="35">
        <f t="shared" ref="C16:M16" si="7">B16</f>
        <v>2250</v>
      </c>
      <c r="D16" s="35">
        <f t="shared" si="7"/>
        <v>2250</v>
      </c>
      <c r="E16" s="35">
        <f t="shared" si="7"/>
        <v>2250</v>
      </c>
      <c r="F16" s="35">
        <f t="shared" si="7"/>
        <v>2250</v>
      </c>
      <c r="G16" s="35">
        <f t="shared" si="7"/>
        <v>2250</v>
      </c>
      <c r="H16" s="35">
        <f t="shared" si="7"/>
        <v>2250</v>
      </c>
      <c r="I16" s="35">
        <f t="shared" si="7"/>
        <v>2250</v>
      </c>
      <c r="J16" s="35">
        <f t="shared" si="7"/>
        <v>2250</v>
      </c>
      <c r="K16" s="35">
        <f t="shared" si="7"/>
        <v>2250</v>
      </c>
      <c r="L16" s="35">
        <f t="shared" si="7"/>
        <v>2250</v>
      </c>
      <c r="M16" s="35">
        <f t="shared" si="7"/>
        <v>2250</v>
      </c>
      <c r="N16" s="36">
        <f t="shared" si="5"/>
        <v>27000</v>
      </c>
    </row>
    <row r="17" spans="1:14">
      <c r="A17" s="37" t="s">
        <v>16</v>
      </c>
      <c r="B17" s="35">
        <f>Assumptions!D20</f>
        <v>3375</v>
      </c>
      <c r="C17" s="35">
        <f t="shared" ref="C17:M18" si="8">B17</f>
        <v>3375</v>
      </c>
      <c r="D17" s="35">
        <f t="shared" si="8"/>
        <v>3375</v>
      </c>
      <c r="E17" s="35">
        <f t="shared" si="8"/>
        <v>3375</v>
      </c>
      <c r="F17" s="35">
        <f t="shared" si="8"/>
        <v>3375</v>
      </c>
      <c r="G17" s="35">
        <f t="shared" si="8"/>
        <v>3375</v>
      </c>
      <c r="H17" s="35">
        <f t="shared" si="8"/>
        <v>3375</v>
      </c>
      <c r="I17" s="35">
        <f t="shared" si="8"/>
        <v>3375</v>
      </c>
      <c r="J17" s="35">
        <f t="shared" si="8"/>
        <v>3375</v>
      </c>
      <c r="K17" s="35">
        <f t="shared" si="8"/>
        <v>3375</v>
      </c>
      <c r="L17" s="35">
        <f t="shared" si="8"/>
        <v>3375</v>
      </c>
      <c r="M17" s="35">
        <f t="shared" si="8"/>
        <v>3375</v>
      </c>
      <c r="N17" s="36">
        <f t="shared" si="5"/>
        <v>40500</v>
      </c>
    </row>
    <row r="18" spans="1:14">
      <c r="A18" s="37" t="s">
        <v>141</v>
      </c>
      <c r="B18" s="35">
        <f>Assumptions!D22</f>
        <v>3750</v>
      </c>
      <c r="C18" s="35">
        <v>0</v>
      </c>
      <c r="D18" s="35">
        <f t="shared" si="8"/>
        <v>0</v>
      </c>
      <c r="E18" s="35">
        <f t="shared" si="8"/>
        <v>0</v>
      </c>
      <c r="F18" s="35">
        <f t="shared" si="8"/>
        <v>0</v>
      </c>
      <c r="G18" s="35">
        <f t="shared" si="8"/>
        <v>0</v>
      </c>
      <c r="H18" s="35">
        <f t="shared" si="8"/>
        <v>0</v>
      </c>
      <c r="I18" s="35">
        <f t="shared" si="8"/>
        <v>0</v>
      </c>
      <c r="J18" s="35">
        <f t="shared" si="8"/>
        <v>0</v>
      </c>
      <c r="K18" s="35">
        <f t="shared" si="8"/>
        <v>0</v>
      </c>
      <c r="L18" s="35">
        <f t="shared" si="8"/>
        <v>0</v>
      </c>
      <c r="M18" s="35">
        <f t="shared" si="8"/>
        <v>0</v>
      </c>
      <c r="N18" s="36">
        <f t="shared" ref="N18" si="9">SUM(B18:M18)</f>
        <v>3750</v>
      </c>
    </row>
    <row r="19" spans="1:14">
      <c r="A19" s="34" t="s">
        <v>106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6"/>
    </row>
    <row r="20" spans="1:14">
      <c r="A20" s="37" t="s">
        <v>54</v>
      </c>
      <c r="B20" s="35">
        <f>Assumptions!B26</f>
        <v>5000</v>
      </c>
      <c r="C20" s="35">
        <f>B20</f>
        <v>5000</v>
      </c>
      <c r="D20" s="35">
        <f t="shared" ref="D20:M23" si="10">C20</f>
        <v>5000</v>
      </c>
      <c r="E20" s="35">
        <f t="shared" si="10"/>
        <v>5000</v>
      </c>
      <c r="F20" s="35">
        <f t="shared" si="10"/>
        <v>5000</v>
      </c>
      <c r="G20" s="35">
        <f t="shared" si="10"/>
        <v>5000</v>
      </c>
      <c r="H20" s="35">
        <f t="shared" si="10"/>
        <v>5000</v>
      </c>
      <c r="I20" s="35">
        <f t="shared" si="10"/>
        <v>5000</v>
      </c>
      <c r="J20" s="35">
        <f t="shared" si="10"/>
        <v>5000</v>
      </c>
      <c r="K20" s="35">
        <f t="shared" si="10"/>
        <v>5000</v>
      </c>
      <c r="L20" s="35">
        <f t="shared" si="10"/>
        <v>5000</v>
      </c>
      <c r="M20" s="35">
        <f t="shared" si="10"/>
        <v>5000</v>
      </c>
      <c r="N20" s="36">
        <f t="shared" si="5"/>
        <v>60000</v>
      </c>
    </row>
    <row r="21" spans="1:14">
      <c r="A21" s="37" t="str">
        <f>Assumptions!A27</f>
        <v>Marketing and Advertising</v>
      </c>
      <c r="B21" s="35">
        <f>Assumptions!B27</f>
        <v>1500</v>
      </c>
      <c r="C21" s="35">
        <f>B21</f>
        <v>1500</v>
      </c>
      <c r="D21" s="35">
        <f t="shared" si="10"/>
        <v>1500</v>
      </c>
      <c r="E21" s="35">
        <f t="shared" si="10"/>
        <v>1500</v>
      </c>
      <c r="F21" s="35">
        <f t="shared" si="10"/>
        <v>1500</v>
      </c>
      <c r="G21" s="35">
        <f t="shared" si="10"/>
        <v>1500</v>
      </c>
      <c r="H21" s="35">
        <f t="shared" si="10"/>
        <v>1500</v>
      </c>
      <c r="I21" s="35">
        <f t="shared" si="10"/>
        <v>1500</v>
      </c>
      <c r="J21" s="35">
        <f t="shared" si="10"/>
        <v>1500</v>
      </c>
      <c r="K21" s="35">
        <f t="shared" si="10"/>
        <v>1500</v>
      </c>
      <c r="L21" s="35">
        <f t="shared" si="10"/>
        <v>1500</v>
      </c>
      <c r="M21" s="35">
        <f t="shared" si="10"/>
        <v>1500</v>
      </c>
      <c r="N21" s="36">
        <f t="shared" si="5"/>
        <v>18000</v>
      </c>
    </row>
    <row r="22" spans="1:14">
      <c r="A22" s="37" t="str">
        <f>Assumptions!A28</f>
        <v xml:space="preserve">Repairs and maintenance </v>
      </c>
      <c r="B22" s="35">
        <f>Assumptions!B28</f>
        <v>300</v>
      </c>
      <c r="C22" s="35">
        <f>B22</f>
        <v>300</v>
      </c>
      <c r="D22" s="35">
        <f t="shared" si="10"/>
        <v>300</v>
      </c>
      <c r="E22" s="35">
        <f t="shared" si="10"/>
        <v>300</v>
      </c>
      <c r="F22" s="35">
        <f t="shared" si="10"/>
        <v>300</v>
      </c>
      <c r="G22" s="35">
        <f t="shared" si="10"/>
        <v>300</v>
      </c>
      <c r="H22" s="35">
        <f t="shared" si="10"/>
        <v>300</v>
      </c>
      <c r="I22" s="35">
        <f t="shared" si="10"/>
        <v>300</v>
      </c>
      <c r="J22" s="35">
        <f t="shared" si="10"/>
        <v>300</v>
      </c>
      <c r="K22" s="35">
        <f t="shared" si="10"/>
        <v>300</v>
      </c>
      <c r="L22" s="35">
        <f t="shared" si="10"/>
        <v>300</v>
      </c>
      <c r="M22" s="35">
        <f t="shared" si="10"/>
        <v>300</v>
      </c>
      <c r="N22" s="36">
        <f t="shared" si="5"/>
        <v>3600</v>
      </c>
    </row>
    <row r="23" spans="1:14">
      <c r="A23" s="37" t="str">
        <f>Assumptions!A29</f>
        <v>Other Costs</v>
      </c>
      <c r="B23" s="35">
        <f>Assumptions!B29</f>
        <v>300</v>
      </c>
      <c r="C23" s="35">
        <f>B23</f>
        <v>300</v>
      </c>
      <c r="D23" s="35">
        <f t="shared" si="10"/>
        <v>300</v>
      </c>
      <c r="E23" s="35">
        <f t="shared" si="10"/>
        <v>300</v>
      </c>
      <c r="F23" s="35">
        <f t="shared" si="10"/>
        <v>300</v>
      </c>
      <c r="G23" s="35">
        <f t="shared" si="10"/>
        <v>300</v>
      </c>
      <c r="H23" s="35">
        <f t="shared" si="10"/>
        <v>300</v>
      </c>
      <c r="I23" s="35">
        <f t="shared" si="10"/>
        <v>300</v>
      </c>
      <c r="J23" s="35">
        <f t="shared" si="10"/>
        <v>300</v>
      </c>
      <c r="K23" s="35">
        <f t="shared" si="10"/>
        <v>300</v>
      </c>
      <c r="L23" s="35">
        <f t="shared" si="10"/>
        <v>300</v>
      </c>
      <c r="M23" s="35">
        <f t="shared" si="10"/>
        <v>300</v>
      </c>
      <c r="N23" s="36">
        <f t="shared" si="5"/>
        <v>3600</v>
      </c>
    </row>
    <row r="24" spans="1:14">
      <c r="A24" s="37" t="s">
        <v>27</v>
      </c>
      <c r="B24" s="35">
        <f>IF('Startup Costs'!$B$29&gt;=1,'Startup Costs'!$B$31,0)</f>
        <v>8616.1389738762482</v>
      </c>
      <c r="C24" s="35">
        <f>IF('Startup Costs'!$B$29&gt;=2,'Startup Costs'!$B$31,0)</f>
        <v>8616.1389738762482</v>
      </c>
      <c r="D24" s="35">
        <f>IF('Startup Costs'!$B$29&gt;=3,'Startup Costs'!$B$31,0)</f>
        <v>8616.1389738762482</v>
      </c>
      <c r="E24" s="35">
        <f>IF('Startup Costs'!$B$29&gt;=4,'Startup Costs'!$B$31,0)</f>
        <v>8616.1389738762482</v>
      </c>
      <c r="F24" s="35">
        <f>IF('Startup Costs'!$B$29&gt;=5,'Startup Costs'!$B$31,0)</f>
        <v>8616.1389738762482</v>
      </c>
      <c r="G24" s="35">
        <f>IF('Startup Costs'!$B$29&gt;=6,'Startup Costs'!$B$31,0)</f>
        <v>8616.1389738762482</v>
      </c>
      <c r="H24" s="35">
        <f>IF('Startup Costs'!$B$29&gt;=7,'Startup Costs'!$B$31,0)</f>
        <v>8616.1389738762482</v>
      </c>
      <c r="I24" s="35">
        <f>IF('Startup Costs'!$B$29&gt;=8,'Startup Costs'!$B$31,0)</f>
        <v>8616.1389738762482</v>
      </c>
      <c r="J24" s="35">
        <f>IF('Startup Costs'!$B$29&gt;=9,'Startup Costs'!$B$31,0)</f>
        <v>8616.1389738762482</v>
      </c>
      <c r="K24" s="35">
        <f>IF('Startup Costs'!$B$29&gt;=10,'Startup Costs'!$B$31,0)</f>
        <v>8616.1389738762482</v>
      </c>
      <c r="L24" s="35">
        <f>IF('Startup Costs'!$B$29&gt;=11,'Startup Costs'!$B$31,0)</f>
        <v>8616.1389738762482</v>
      </c>
      <c r="M24" s="35">
        <f>IF('Startup Costs'!$B$29&gt;=12,'Startup Costs'!$B$31,0)</f>
        <v>8616.1389738762482</v>
      </c>
      <c r="N24" s="36">
        <f t="shared" si="5"/>
        <v>103393.66768651501</v>
      </c>
    </row>
    <row r="25" spans="1:14">
      <c r="A25" s="37" t="str">
        <f>'Startup Costs'!A4</f>
        <v>Streamline Egg Processing equipment</v>
      </c>
      <c r="B25" s="35">
        <f>'Startup Costs'!D4</f>
        <v>500000</v>
      </c>
      <c r="C25" s="35">
        <v>0</v>
      </c>
      <c r="D25" s="35">
        <f>C25</f>
        <v>0</v>
      </c>
      <c r="E25" s="35">
        <f t="shared" ref="E25:M28" si="11">D25</f>
        <v>0</v>
      </c>
      <c r="F25" s="35">
        <f t="shared" si="11"/>
        <v>0</v>
      </c>
      <c r="G25" s="35">
        <f t="shared" si="11"/>
        <v>0</v>
      </c>
      <c r="H25" s="35">
        <f t="shared" si="11"/>
        <v>0</v>
      </c>
      <c r="I25" s="35">
        <f t="shared" si="11"/>
        <v>0</v>
      </c>
      <c r="J25" s="35">
        <f t="shared" si="11"/>
        <v>0</v>
      </c>
      <c r="K25" s="35">
        <f t="shared" si="11"/>
        <v>0</v>
      </c>
      <c r="L25" s="35">
        <f t="shared" si="11"/>
        <v>0</v>
      </c>
      <c r="M25" s="35">
        <f t="shared" si="11"/>
        <v>0</v>
      </c>
      <c r="N25" s="36">
        <f t="shared" si="5"/>
        <v>500000</v>
      </c>
    </row>
    <row r="26" spans="1:14">
      <c r="A26" s="37" t="str">
        <f>'Startup Costs'!A5</f>
        <v>Easy Egg W/house construction</v>
      </c>
      <c r="B26" s="35">
        <f>'Startup Costs'!D5</f>
        <v>10000</v>
      </c>
      <c r="C26" s="35">
        <v>0</v>
      </c>
      <c r="D26" s="35">
        <f>C26</f>
        <v>0</v>
      </c>
      <c r="E26" s="35">
        <f t="shared" si="11"/>
        <v>0</v>
      </c>
      <c r="F26" s="35">
        <f t="shared" si="11"/>
        <v>0</v>
      </c>
      <c r="G26" s="35">
        <f t="shared" si="11"/>
        <v>0</v>
      </c>
      <c r="H26" s="35">
        <f t="shared" si="11"/>
        <v>0</v>
      </c>
      <c r="I26" s="35">
        <f t="shared" si="11"/>
        <v>0</v>
      </c>
      <c r="J26" s="35">
        <f t="shared" si="11"/>
        <v>0</v>
      </c>
      <c r="K26" s="35">
        <f t="shared" si="11"/>
        <v>0</v>
      </c>
      <c r="L26" s="35">
        <f t="shared" si="11"/>
        <v>0</v>
      </c>
      <c r="M26" s="35">
        <f t="shared" si="11"/>
        <v>0</v>
      </c>
      <c r="N26" s="36">
        <f t="shared" si="5"/>
        <v>10000</v>
      </c>
    </row>
    <row r="27" spans="1:14">
      <c r="A27" s="37" t="str">
        <f>'Startup Costs'!A6</f>
        <v>Egg Storage facility and water suppply</v>
      </c>
      <c r="B27" s="35">
        <f>'Startup Costs'!D6</f>
        <v>10000</v>
      </c>
      <c r="C27" s="35">
        <v>0</v>
      </c>
      <c r="D27" s="35">
        <f t="shared" ref="D27" si="12">C27</f>
        <v>0</v>
      </c>
      <c r="E27" s="35">
        <f t="shared" si="11"/>
        <v>0</v>
      </c>
      <c r="F27" s="35">
        <f t="shared" si="11"/>
        <v>0</v>
      </c>
      <c r="G27" s="35">
        <f t="shared" si="11"/>
        <v>0</v>
      </c>
      <c r="H27" s="35">
        <f t="shared" si="11"/>
        <v>0</v>
      </c>
      <c r="I27" s="35">
        <f t="shared" si="11"/>
        <v>0</v>
      </c>
      <c r="J27" s="35">
        <f t="shared" si="11"/>
        <v>0</v>
      </c>
      <c r="K27" s="35">
        <f t="shared" si="11"/>
        <v>0</v>
      </c>
      <c r="L27" s="35">
        <f t="shared" si="11"/>
        <v>0</v>
      </c>
      <c r="M27" s="35">
        <f t="shared" si="11"/>
        <v>0</v>
      </c>
      <c r="N27" s="36">
        <f t="shared" ref="N27" si="13">SUM(B27:M27)</f>
        <v>10000</v>
      </c>
    </row>
    <row r="28" spans="1:14">
      <c r="A28" s="37" t="s">
        <v>107</v>
      </c>
      <c r="B28" s="35">
        <v>0</v>
      </c>
      <c r="C28" s="35">
        <v>0</v>
      </c>
      <c r="D28" s="35">
        <f>0.1*'Income Statement'!B17</f>
        <v>3307.0260575666125</v>
      </c>
      <c r="E28" s="35">
        <v>0</v>
      </c>
      <c r="F28" s="35">
        <v>0</v>
      </c>
      <c r="G28" s="35">
        <f>0.25*'Income Statement'!B17</f>
        <v>8267.5651439165304</v>
      </c>
      <c r="H28" s="35">
        <v>0</v>
      </c>
      <c r="I28" s="35">
        <f t="shared" si="11"/>
        <v>0</v>
      </c>
      <c r="J28" s="35">
        <f>0.3*'Income Statement'!B17</f>
        <v>9921.0781726998357</v>
      </c>
      <c r="K28" s="35">
        <v>0</v>
      </c>
      <c r="L28" s="35">
        <v>0</v>
      </c>
      <c r="M28" s="35">
        <f>0.35*'Income Statement'!B17</f>
        <v>11574.591201483141</v>
      </c>
      <c r="N28" s="36">
        <f t="shared" si="5"/>
        <v>33070.260575666121</v>
      </c>
    </row>
    <row r="29" spans="1:14">
      <c r="A29" s="37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36"/>
    </row>
    <row r="30" spans="1:14">
      <c r="A30" s="34" t="s">
        <v>108</v>
      </c>
      <c r="B30" s="38">
        <f t="shared" ref="B30:N30" si="14">SUM(B14:B29)</f>
        <v>553116.13897387625</v>
      </c>
      <c r="C30" s="38">
        <f t="shared" si="14"/>
        <v>29366.138973876248</v>
      </c>
      <c r="D30" s="38">
        <f t="shared" si="14"/>
        <v>32673.165031442863</v>
      </c>
      <c r="E30" s="38">
        <f t="shared" si="14"/>
        <v>29366.138973876248</v>
      </c>
      <c r="F30" s="38">
        <f t="shared" si="14"/>
        <v>29366.138973876248</v>
      </c>
      <c r="G30" s="38">
        <f t="shared" si="14"/>
        <v>37633.704117792775</v>
      </c>
      <c r="H30" s="38">
        <f t="shared" si="14"/>
        <v>29366.138973876248</v>
      </c>
      <c r="I30" s="38">
        <f t="shared" si="14"/>
        <v>29366.138973876248</v>
      </c>
      <c r="J30" s="38">
        <f t="shared" si="14"/>
        <v>39287.217146576084</v>
      </c>
      <c r="K30" s="38">
        <f t="shared" si="14"/>
        <v>29366.138973876248</v>
      </c>
      <c r="L30" s="38">
        <f t="shared" si="14"/>
        <v>29366.138973876248</v>
      </c>
      <c r="M30" s="38">
        <f t="shared" si="14"/>
        <v>40940.730175359393</v>
      </c>
      <c r="N30" s="39">
        <f t="shared" si="14"/>
        <v>909213.92826218111</v>
      </c>
    </row>
    <row r="31" spans="1:14">
      <c r="A31" s="37" t="s">
        <v>109</v>
      </c>
      <c r="B31" s="43">
        <f t="shared" ref="B31:N31" si="15">B10-B30</f>
        <v>29908.861026123748</v>
      </c>
      <c r="C31" s="43">
        <f t="shared" si="15"/>
        <v>8133.8610261237518</v>
      </c>
      <c r="D31" s="43">
        <f t="shared" si="15"/>
        <v>4826.8349685571375</v>
      </c>
      <c r="E31" s="43">
        <f t="shared" si="15"/>
        <v>8133.8610261237518</v>
      </c>
      <c r="F31" s="43">
        <f t="shared" si="15"/>
        <v>8133.8610261237518</v>
      </c>
      <c r="G31" s="43">
        <f t="shared" si="15"/>
        <v>-133.70411779277492</v>
      </c>
      <c r="H31" s="43">
        <f t="shared" si="15"/>
        <v>8133.8610261237518</v>
      </c>
      <c r="I31" s="43">
        <f t="shared" si="15"/>
        <v>8133.8610261237518</v>
      </c>
      <c r="J31" s="43">
        <f t="shared" si="15"/>
        <v>-1787.2171465760839</v>
      </c>
      <c r="K31" s="43">
        <f t="shared" si="15"/>
        <v>8133.8610261237518</v>
      </c>
      <c r="L31" s="43">
        <f t="shared" si="15"/>
        <v>8133.8610261237518</v>
      </c>
      <c r="M31" s="43">
        <f t="shared" si="15"/>
        <v>-3440.7301753593929</v>
      </c>
      <c r="N31" s="36">
        <f t="shared" si="15"/>
        <v>86311.071737818886</v>
      </c>
    </row>
    <row r="32" spans="1:14">
      <c r="A32" s="37" t="s">
        <v>110</v>
      </c>
      <c r="B32" s="35"/>
      <c r="C32" s="44">
        <f>B33</f>
        <v>29908.861026123748</v>
      </c>
      <c r="D32" s="44">
        <f t="shared" ref="D32:M32" si="16">C33</f>
        <v>38042.722052247496</v>
      </c>
      <c r="E32" s="44">
        <f t="shared" si="16"/>
        <v>42869.557020804634</v>
      </c>
      <c r="F32" s="44">
        <f t="shared" si="16"/>
        <v>51003.418046928389</v>
      </c>
      <c r="G32" s="44">
        <f t="shared" si="16"/>
        <v>59137.279073052137</v>
      </c>
      <c r="H32" s="44">
        <f t="shared" si="16"/>
        <v>59003.574955259362</v>
      </c>
      <c r="I32" s="44">
        <f t="shared" si="16"/>
        <v>67137.435981383111</v>
      </c>
      <c r="J32" s="44">
        <f t="shared" si="16"/>
        <v>75271.297007506859</v>
      </c>
      <c r="K32" s="44">
        <f t="shared" si="16"/>
        <v>73484.079860930768</v>
      </c>
      <c r="L32" s="44">
        <f t="shared" si="16"/>
        <v>81617.940887054516</v>
      </c>
      <c r="M32" s="44">
        <f t="shared" si="16"/>
        <v>89751.801913178264</v>
      </c>
      <c r="N32" s="36"/>
    </row>
    <row r="33" spans="1:15">
      <c r="A33" s="45" t="s">
        <v>111</v>
      </c>
      <c r="B33" s="46">
        <f>B32+B31</f>
        <v>29908.861026123748</v>
      </c>
      <c r="C33" s="46">
        <f>C31+C32</f>
        <v>38042.722052247496</v>
      </c>
      <c r="D33" s="46">
        <f t="shared" ref="D33:M33" si="17">D31+D32</f>
        <v>42869.557020804634</v>
      </c>
      <c r="E33" s="46">
        <f t="shared" si="17"/>
        <v>51003.418046928389</v>
      </c>
      <c r="F33" s="46">
        <f t="shared" si="17"/>
        <v>59137.279073052137</v>
      </c>
      <c r="G33" s="46">
        <f t="shared" si="17"/>
        <v>59003.574955259362</v>
      </c>
      <c r="H33" s="46">
        <f t="shared" si="17"/>
        <v>67137.435981383111</v>
      </c>
      <c r="I33" s="46">
        <f t="shared" si="17"/>
        <v>75271.297007506859</v>
      </c>
      <c r="J33" s="46">
        <f t="shared" si="17"/>
        <v>73484.079860930768</v>
      </c>
      <c r="K33" s="46">
        <f t="shared" si="17"/>
        <v>81617.940887054516</v>
      </c>
      <c r="L33" s="46">
        <f t="shared" si="17"/>
        <v>89751.801913178264</v>
      </c>
      <c r="M33" s="46">
        <f t="shared" si="17"/>
        <v>86311.071737818871</v>
      </c>
      <c r="N33" s="47">
        <f>B32+N31</f>
        <v>86311.071737818886</v>
      </c>
      <c r="O33" s="48"/>
    </row>
    <row r="34" spans="1:15">
      <c r="A34" s="27"/>
    </row>
    <row r="35" spans="1:15">
      <c r="A35" s="27"/>
      <c r="F35" s="10" t="s">
        <v>112</v>
      </c>
    </row>
    <row r="36" spans="1:15" ht="26.4">
      <c r="A36" s="49"/>
      <c r="B36" s="50" t="s">
        <v>113</v>
      </c>
      <c r="C36" s="50" t="s">
        <v>114</v>
      </c>
      <c r="D36" s="50" t="s">
        <v>115</v>
      </c>
      <c r="E36" s="50" t="s">
        <v>116</v>
      </c>
      <c r="F36" s="50" t="s">
        <v>117</v>
      </c>
      <c r="G36" s="50" t="s">
        <v>118</v>
      </c>
      <c r="H36" s="50" t="s">
        <v>119</v>
      </c>
      <c r="I36" s="50" t="s">
        <v>120</v>
      </c>
      <c r="J36" s="50" t="s">
        <v>121</v>
      </c>
      <c r="K36" s="50" t="s">
        <v>122</v>
      </c>
      <c r="L36" s="50" t="s">
        <v>123</v>
      </c>
      <c r="M36" s="50" t="s">
        <v>124</v>
      </c>
      <c r="N36" s="51" t="s">
        <v>101</v>
      </c>
    </row>
    <row r="37" spans="1:15">
      <c r="A37" s="31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3"/>
    </row>
    <row r="38" spans="1:15">
      <c r="A38" s="34" t="s">
        <v>102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6"/>
    </row>
    <row r="39" spans="1:15">
      <c r="A39" s="37" t="str">
        <f t="shared" ref="A39:M39" si="18">A7</f>
        <v>Revenue (Eggs)</v>
      </c>
      <c r="B39" s="35">
        <f t="shared" si="18"/>
        <v>37500</v>
      </c>
      <c r="C39" s="35">
        <f t="shared" si="18"/>
        <v>37500</v>
      </c>
      <c r="D39" s="35">
        <f t="shared" si="18"/>
        <v>37500</v>
      </c>
      <c r="E39" s="35">
        <f t="shared" si="18"/>
        <v>37500</v>
      </c>
      <c r="F39" s="35">
        <f t="shared" si="18"/>
        <v>37500</v>
      </c>
      <c r="G39" s="35">
        <f t="shared" si="18"/>
        <v>37500</v>
      </c>
      <c r="H39" s="35">
        <f t="shared" si="18"/>
        <v>37500</v>
      </c>
      <c r="I39" s="35">
        <f t="shared" si="18"/>
        <v>37500</v>
      </c>
      <c r="J39" s="35">
        <f t="shared" si="18"/>
        <v>37500</v>
      </c>
      <c r="K39" s="35">
        <f t="shared" si="18"/>
        <v>37500</v>
      </c>
      <c r="L39" s="35">
        <f t="shared" si="18"/>
        <v>37500</v>
      </c>
      <c r="M39" s="35">
        <f t="shared" si="18"/>
        <v>37500</v>
      </c>
      <c r="N39" s="36">
        <f t="shared" ref="N39" si="19">SUM(B39:M39)</f>
        <v>450000</v>
      </c>
    </row>
    <row r="40" spans="1:15">
      <c r="A40" s="37" t="str">
        <f>A8</f>
        <v>Revenue (Off layers)</v>
      </c>
      <c r="B40" s="35">
        <v>0</v>
      </c>
      <c r="C40" s="35">
        <v>0</v>
      </c>
      <c r="D40" s="35">
        <v>0</v>
      </c>
      <c r="E40" s="35">
        <v>0</v>
      </c>
      <c r="F40" s="35">
        <v>0</v>
      </c>
      <c r="G40" s="35">
        <f>Assumptions!B13</f>
        <v>1500000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6">
        <f>SUM(B40:M40)</f>
        <v>1500000</v>
      </c>
    </row>
    <row r="41" spans="1:15">
      <c r="A41" s="5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36"/>
    </row>
    <row r="42" spans="1:15">
      <c r="A42" s="34" t="s">
        <v>103</v>
      </c>
      <c r="B42" s="38">
        <f>SUM(B39:B40)</f>
        <v>37500</v>
      </c>
      <c r="C42" s="38">
        <f t="shared" ref="C42:M42" si="20">SUM(C39:C40)</f>
        <v>37500</v>
      </c>
      <c r="D42" s="38">
        <f t="shared" si="20"/>
        <v>37500</v>
      </c>
      <c r="E42" s="38">
        <f t="shared" si="20"/>
        <v>37500</v>
      </c>
      <c r="F42" s="38">
        <f t="shared" si="20"/>
        <v>37500</v>
      </c>
      <c r="G42" s="38">
        <f t="shared" si="20"/>
        <v>1537500</v>
      </c>
      <c r="H42" s="38">
        <f t="shared" si="20"/>
        <v>37500</v>
      </c>
      <c r="I42" s="38">
        <f t="shared" si="20"/>
        <v>37500</v>
      </c>
      <c r="J42" s="38">
        <f t="shared" si="20"/>
        <v>37500</v>
      </c>
      <c r="K42" s="38">
        <f t="shared" si="20"/>
        <v>37500</v>
      </c>
      <c r="L42" s="38">
        <f t="shared" si="20"/>
        <v>37500</v>
      </c>
      <c r="M42" s="38">
        <f t="shared" si="20"/>
        <v>37500</v>
      </c>
      <c r="N42" s="39">
        <f>SUM(N38:N41)</f>
        <v>1950000</v>
      </c>
    </row>
    <row r="43" spans="1:15">
      <c r="A43" s="37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1"/>
    </row>
    <row r="44" spans="1:15">
      <c r="A44" s="34" t="s">
        <v>104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36"/>
    </row>
    <row r="45" spans="1:15">
      <c r="A45" s="34" t="str">
        <f t="shared" ref="A45:A50" si="21">A13</f>
        <v>Variable Costs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36"/>
    </row>
    <row r="46" spans="1:15">
      <c r="A46" s="37" t="str">
        <f t="shared" si="21"/>
        <v>Egg Crates</v>
      </c>
      <c r="B46" s="35">
        <f t="shared" ref="B46:M46" si="22">B14</f>
        <v>7874.9999999999991</v>
      </c>
      <c r="C46" s="35">
        <f t="shared" si="22"/>
        <v>7874.9999999999991</v>
      </c>
      <c r="D46" s="35">
        <f t="shared" si="22"/>
        <v>7874.9999999999991</v>
      </c>
      <c r="E46" s="35">
        <f t="shared" si="22"/>
        <v>7874.9999999999991</v>
      </c>
      <c r="F46" s="35">
        <f t="shared" si="22"/>
        <v>7874.9999999999991</v>
      </c>
      <c r="G46" s="35">
        <f t="shared" si="22"/>
        <v>7874.9999999999991</v>
      </c>
      <c r="H46" s="35">
        <f t="shared" si="22"/>
        <v>7874.9999999999991</v>
      </c>
      <c r="I46" s="35">
        <f t="shared" si="22"/>
        <v>7874.9999999999991</v>
      </c>
      <c r="J46" s="35">
        <f t="shared" si="22"/>
        <v>7874.9999999999991</v>
      </c>
      <c r="K46" s="35">
        <f t="shared" si="22"/>
        <v>7874.9999999999991</v>
      </c>
      <c r="L46" s="35">
        <f t="shared" si="22"/>
        <v>7874.9999999999991</v>
      </c>
      <c r="M46" s="35">
        <f t="shared" si="22"/>
        <v>7874.9999999999991</v>
      </c>
      <c r="N46" s="36">
        <f t="shared" ref="N46:N57" si="23">SUM(B46:M46)</f>
        <v>94499.999999999985</v>
      </c>
    </row>
    <row r="47" spans="1:15">
      <c r="A47" s="37" t="str">
        <f t="shared" si="21"/>
        <v xml:space="preserve">Electricity </v>
      </c>
      <c r="B47" s="35">
        <f t="shared" ref="B47:M47" si="24">B15</f>
        <v>150</v>
      </c>
      <c r="C47" s="35">
        <f t="shared" si="24"/>
        <v>150</v>
      </c>
      <c r="D47" s="35">
        <f t="shared" si="24"/>
        <v>150</v>
      </c>
      <c r="E47" s="35">
        <f t="shared" si="24"/>
        <v>150</v>
      </c>
      <c r="F47" s="35">
        <f t="shared" si="24"/>
        <v>150</v>
      </c>
      <c r="G47" s="35">
        <f t="shared" si="24"/>
        <v>150</v>
      </c>
      <c r="H47" s="35">
        <f t="shared" si="24"/>
        <v>150</v>
      </c>
      <c r="I47" s="35">
        <f t="shared" si="24"/>
        <v>150</v>
      </c>
      <c r="J47" s="35">
        <f t="shared" si="24"/>
        <v>150</v>
      </c>
      <c r="K47" s="35">
        <f t="shared" si="24"/>
        <v>150</v>
      </c>
      <c r="L47" s="35">
        <f t="shared" si="24"/>
        <v>150</v>
      </c>
      <c r="M47" s="35">
        <f t="shared" si="24"/>
        <v>150</v>
      </c>
      <c r="N47" s="36">
        <f t="shared" si="23"/>
        <v>1800</v>
      </c>
    </row>
    <row r="48" spans="1:15">
      <c r="A48" s="37" t="str">
        <f t="shared" si="21"/>
        <v>Feed</v>
      </c>
      <c r="B48" s="35">
        <f t="shared" ref="B48:M48" si="25">B16</f>
        <v>2250</v>
      </c>
      <c r="C48" s="35">
        <f t="shared" si="25"/>
        <v>2250</v>
      </c>
      <c r="D48" s="35">
        <f t="shared" si="25"/>
        <v>2250</v>
      </c>
      <c r="E48" s="35">
        <f t="shared" si="25"/>
        <v>2250</v>
      </c>
      <c r="F48" s="35">
        <f t="shared" si="25"/>
        <v>2250</v>
      </c>
      <c r="G48" s="35">
        <f t="shared" si="25"/>
        <v>2250</v>
      </c>
      <c r="H48" s="35">
        <f t="shared" si="25"/>
        <v>2250</v>
      </c>
      <c r="I48" s="35">
        <f t="shared" si="25"/>
        <v>2250</v>
      </c>
      <c r="J48" s="35">
        <f t="shared" si="25"/>
        <v>2250</v>
      </c>
      <c r="K48" s="35">
        <f t="shared" si="25"/>
        <v>2250</v>
      </c>
      <c r="L48" s="35">
        <f t="shared" si="25"/>
        <v>2250</v>
      </c>
      <c r="M48" s="35">
        <f t="shared" si="25"/>
        <v>2250</v>
      </c>
      <c r="N48" s="36">
        <f t="shared" si="23"/>
        <v>27000</v>
      </c>
    </row>
    <row r="49" spans="1:15">
      <c r="A49" s="37" t="str">
        <f t="shared" si="21"/>
        <v xml:space="preserve">Transport to market </v>
      </c>
      <c r="B49" s="35">
        <f t="shared" ref="B49:M49" si="26">B17</f>
        <v>3375</v>
      </c>
      <c r="C49" s="35">
        <f t="shared" si="26"/>
        <v>3375</v>
      </c>
      <c r="D49" s="35">
        <f t="shared" si="26"/>
        <v>3375</v>
      </c>
      <c r="E49" s="35">
        <f t="shared" si="26"/>
        <v>3375</v>
      </c>
      <c r="F49" s="35">
        <f t="shared" si="26"/>
        <v>3375</v>
      </c>
      <c r="G49" s="35">
        <f t="shared" si="26"/>
        <v>3375</v>
      </c>
      <c r="H49" s="35">
        <f t="shared" si="26"/>
        <v>3375</v>
      </c>
      <c r="I49" s="35">
        <f t="shared" si="26"/>
        <v>3375</v>
      </c>
      <c r="J49" s="35">
        <f t="shared" si="26"/>
        <v>3375</v>
      </c>
      <c r="K49" s="35">
        <f t="shared" si="26"/>
        <v>3375</v>
      </c>
      <c r="L49" s="35">
        <f t="shared" si="26"/>
        <v>3375</v>
      </c>
      <c r="M49" s="35">
        <f t="shared" si="26"/>
        <v>3375</v>
      </c>
      <c r="N49" s="36">
        <f t="shared" si="23"/>
        <v>40500</v>
      </c>
    </row>
    <row r="50" spans="1:15">
      <c r="A50" s="37" t="str">
        <f t="shared" si="21"/>
        <v>Point of Lay Layers</v>
      </c>
      <c r="B50" s="35">
        <v>0</v>
      </c>
      <c r="C50" s="35">
        <v>0</v>
      </c>
      <c r="D50" s="35">
        <v>0</v>
      </c>
      <c r="E50" s="35">
        <v>0</v>
      </c>
      <c r="F50" s="35">
        <v>0</v>
      </c>
      <c r="G50" s="35">
        <f>Assumptions!D22</f>
        <v>3750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6">
        <f t="shared" ref="N50" si="27">SUM(B50:M50)</f>
        <v>3750</v>
      </c>
    </row>
    <row r="51" spans="1:15">
      <c r="A51" s="34" t="s">
        <v>106</v>
      </c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6"/>
    </row>
    <row r="52" spans="1:15">
      <c r="A52" s="37" t="str">
        <f t="shared" ref="A52:M52" si="28">A20</f>
        <v>Salaries</v>
      </c>
      <c r="B52" s="35">
        <f t="shared" si="28"/>
        <v>5000</v>
      </c>
      <c r="C52" s="35">
        <f t="shared" si="28"/>
        <v>5000</v>
      </c>
      <c r="D52" s="35">
        <f t="shared" si="28"/>
        <v>5000</v>
      </c>
      <c r="E52" s="35">
        <f t="shared" si="28"/>
        <v>5000</v>
      </c>
      <c r="F52" s="35">
        <f t="shared" si="28"/>
        <v>5000</v>
      </c>
      <c r="G52" s="35">
        <f t="shared" si="28"/>
        <v>5000</v>
      </c>
      <c r="H52" s="35">
        <f t="shared" si="28"/>
        <v>5000</v>
      </c>
      <c r="I52" s="35">
        <f t="shared" si="28"/>
        <v>5000</v>
      </c>
      <c r="J52" s="35">
        <f t="shared" si="28"/>
        <v>5000</v>
      </c>
      <c r="K52" s="35">
        <f t="shared" si="28"/>
        <v>5000</v>
      </c>
      <c r="L52" s="35">
        <f t="shared" si="28"/>
        <v>5000</v>
      </c>
      <c r="M52" s="35">
        <f t="shared" si="28"/>
        <v>5000</v>
      </c>
      <c r="N52" s="36">
        <f t="shared" si="23"/>
        <v>60000</v>
      </c>
    </row>
    <row r="53" spans="1:15">
      <c r="A53" s="37" t="str">
        <f t="shared" ref="A53:M53" si="29">A21</f>
        <v>Marketing and Advertising</v>
      </c>
      <c r="B53" s="35">
        <f t="shared" si="29"/>
        <v>1500</v>
      </c>
      <c r="C53" s="35">
        <f t="shared" si="29"/>
        <v>1500</v>
      </c>
      <c r="D53" s="35">
        <f t="shared" si="29"/>
        <v>1500</v>
      </c>
      <c r="E53" s="35">
        <f t="shared" si="29"/>
        <v>1500</v>
      </c>
      <c r="F53" s="35">
        <f t="shared" si="29"/>
        <v>1500</v>
      </c>
      <c r="G53" s="35">
        <f t="shared" si="29"/>
        <v>1500</v>
      </c>
      <c r="H53" s="35">
        <f t="shared" si="29"/>
        <v>1500</v>
      </c>
      <c r="I53" s="35">
        <f t="shared" si="29"/>
        <v>1500</v>
      </c>
      <c r="J53" s="35">
        <f t="shared" si="29"/>
        <v>1500</v>
      </c>
      <c r="K53" s="35">
        <f t="shared" si="29"/>
        <v>1500</v>
      </c>
      <c r="L53" s="35">
        <f t="shared" si="29"/>
        <v>1500</v>
      </c>
      <c r="M53" s="35">
        <f t="shared" si="29"/>
        <v>1500</v>
      </c>
      <c r="N53" s="36">
        <f t="shared" si="23"/>
        <v>18000</v>
      </c>
    </row>
    <row r="54" spans="1:15">
      <c r="A54" s="37" t="str">
        <f t="shared" ref="A54:M54" si="30">A22</f>
        <v xml:space="preserve">Repairs and maintenance </v>
      </c>
      <c r="B54" s="35">
        <f t="shared" si="30"/>
        <v>300</v>
      </c>
      <c r="C54" s="35">
        <f t="shared" si="30"/>
        <v>300</v>
      </c>
      <c r="D54" s="35">
        <f t="shared" si="30"/>
        <v>300</v>
      </c>
      <c r="E54" s="35">
        <f t="shared" si="30"/>
        <v>300</v>
      </c>
      <c r="F54" s="35">
        <f t="shared" si="30"/>
        <v>300</v>
      </c>
      <c r="G54" s="35">
        <f t="shared" si="30"/>
        <v>300</v>
      </c>
      <c r="H54" s="35">
        <f t="shared" si="30"/>
        <v>300</v>
      </c>
      <c r="I54" s="35">
        <f t="shared" si="30"/>
        <v>300</v>
      </c>
      <c r="J54" s="35">
        <f t="shared" si="30"/>
        <v>300</v>
      </c>
      <c r="K54" s="35">
        <f t="shared" si="30"/>
        <v>300</v>
      </c>
      <c r="L54" s="35">
        <f t="shared" si="30"/>
        <v>300</v>
      </c>
      <c r="M54" s="35">
        <f t="shared" si="30"/>
        <v>300</v>
      </c>
      <c r="N54" s="36">
        <f t="shared" si="23"/>
        <v>3600</v>
      </c>
    </row>
    <row r="55" spans="1:15">
      <c r="A55" s="37" t="str">
        <f t="shared" ref="A55:M55" si="31">A23</f>
        <v>Other Costs</v>
      </c>
      <c r="B55" s="35">
        <f t="shared" si="31"/>
        <v>300</v>
      </c>
      <c r="C55" s="35">
        <f t="shared" si="31"/>
        <v>300</v>
      </c>
      <c r="D55" s="35">
        <f t="shared" si="31"/>
        <v>300</v>
      </c>
      <c r="E55" s="35">
        <f t="shared" si="31"/>
        <v>300</v>
      </c>
      <c r="F55" s="35">
        <f t="shared" si="31"/>
        <v>300</v>
      </c>
      <c r="G55" s="35">
        <f t="shared" si="31"/>
        <v>300</v>
      </c>
      <c r="H55" s="35">
        <f t="shared" si="31"/>
        <v>300</v>
      </c>
      <c r="I55" s="35">
        <f t="shared" si="31"/>
        <v>300</v>
      </c>
      <c r="J55" s="35">
        <f t="shared" si="31"/>
        <v>300</v>
      </c>
      <c r="K55" s="35">
        <f t="shared" si="31"/>
        <v>300</v>
      </c>
      <c r="L55" s="35">
        <f t="shared" si="31"/>
        <v>300</v>
      </c>
      <c r="M55" s="35">
        <f t="shared" si="31"/>
        <v>300</v>
      </c>
      <c r="N55" s="36">
        <f t="shared" si="23"/>
        <v>3600</v>
      </c>
    </row>
    <row r="56" spans="1:15">
      <c r="A56" s="37" t="str">
        <f>A24</f>
        <v>Loan Repayment</v>
      </c>
      <c r="B56" s="35">
        <f>IF('Startup Costs'!$B$29&gt;=13,'Startup Costs'!$B$31,0)</f>
        <v>8616.1389738762482</v>
      </c>
      <c r="C56" s="35">
        <f>IF('Startup Costs'!$B$29&gt;=14,'Startup Costs'!$B$31,0)</f>
        <v>8616.1389738762482</v>
      </c>
      <c r="D56" s="35">
        <f>IF('Startup Costs'!$B$29&gt;=15,'Startup Costs'!$B$31,0)</f>
        <v>8616.1389738762482</v>
      </c>
      <c r="E56" s="35">
        <f>IF('Startup Costs'!$B$29&gt;=16,'Startup Costs'!$B$31,0)</f>
        <v>8616.1389738762482</v>
      </c>
      <c r="F56" s="35">
        <f>IF('Startup Costs'!$B$29&gt;=17,'Startup Costs'!$B$31,0)</f>
        <v>8616.1389738762482</v>
      </c>
      <c r="G56" s="35">
        <f>IF('Startup Costs'!$B$29&gt;=18,'Startup Costs'!$B$31,0)</f>
        <v>8616.1389738762482</v>
      </c>
      <c r="H56" s="35">
        <f>IF('Startup Costs'!$B$29&gt;=19,'Startup Costs'!$B$31,0)</f>
        <v>8616.1389738762482</v>
      </c>
      <c r="I56" s="35">
        <f>IF('Startup Costs'!$B$29&gt;=20,'Startup Costs'!$B$31,0)</f>
        <v>8616.1389738762482</v>
      </c>
      <c r="J56" s="35">
        <f>IF('Startup Costs'!$B$29&gt;=21,'Startup Costs'!$B$31,0)</f>
        <v>8616.1389738762482</v>
      </c>
      <c r="K56" s="35">
        <f>IF('Startup Costs'!$B$29&gt;=22,'Startup Costs'!$B$31,0)</f>
        <v>8616.1389738762482</v>
      </c>
      <c r="L56" s="35">
        <f>IF('Startup Costs'!$B$29&gt;=23,'Startup Costs'!$B$31,0)</f>
        <v>8616.1389738762482</v>
      </c>
      <c r="M56" s="35">
        <f>IF('Startup Costs'!$B$29&gt;=24,'Startup Costs'!$B$31,0)</f>
        <v>8616.1389738762482</v>
      </c>
      <c r="N56" s="36">
        <f t="shared" si="23"/>
        <v>103393.66768651501</v>
      </c>
    </row>
    <row r="57" spans="1:15">
      <c r="A57" s="37" t="str">
        <f>A28</f>
        <v>Tax QPD Payments</v>
      </c>
      <c r="B57" s="35">
        <v>0</v>
      </c>
      <c r="C57" s="35">
        <v>0</v>
      </c>
      <c r="D57" s="35">
        <f>0.1*'Income Statement'!C17</f>
        <v>40907.334982663393</v>
      </c>
      <c r="E57" s="35">
        <v>0</v>
      </c>
      <c r="F57" s="35">
        <v>0</v>
      </c>
      <c r="G57" s="35">
        <f>0.25*'Income Statement'!C17</f>
        <v>102268.33745665847</v>
      </c>
      <c r="H57" s="35">
        <v>0</v>
      </c>
      <c r="I57" s="35">
        <f t="shared" ref="I57" si="32">H57</f>
        <v>0</v>
      </c>
      <c r="J57" s="35">
        <f>0.3*'Income Statement'!C17</f>
        <v>122722.00494799015</v>
      </c>
      <c r="K57" s="35">
        <v>0</v>
      </c>
      <c r="L57" s="35">
        <v>0</v>
      </c>
      <c r="M57" s="35">
        <f>0.35*'Income Statement'!C17</f>
        <v>143175.67243932185</v>
      </c>
      <c r="N57" s="36">
        <f t="shared" si="23"/>
        <v>409073.34982663393</v>
      </c>
    </row>
    <row r="58" spans="1:15">
      <c r="A58" s="37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36"/>
    </row>
    <row r="59" spans="1:15">
      <c r="A59" s="34" t="s">
        <v>108</v>
      </c>
      <c r="B59" s="38">
        <f t="shared" ref="B59:N59" si="33">SUM(B46:B58)</f>
        <v>29366.138973876248</v>
      </c>
      <c r="C59" s="38">
        <f t="shared" si="33"/>
        <v>29366.138973876248</v>
      </c>
      <c r="D59" s="38">
        <f t="shared" si="33"/>
        <v>70273.473956539645</v>
      </c>
      <c r="E59" s="38">
        <f t="shared" si="33"/>
        <v>29366.138973876248</v>
      </c>
      <c r="F59" s="38">
        <f t="shared" si="33"/>
        <v>29366.138973876248</v>
      </c>
      <c r="G59" s="38">
        <f t="shared" si="33"/>
        <v>135384.47643053473</v>
      </c>
      <c r="H59" s="38">
        <f t="shared" si="33"/>
        <v>29366.138973876248</v>
      </c>
      <c r="I59" s="38">
        <f t="shared" si="33"/>
        <v>29366.138973876248</v>
      </c>
      <c r="J59" s="38">
        <f t="shared" si="33"/>
        <v>152088.1439218664</v>
      </c>
      <c r="K59" s="38">
        <f t="shared" si="33"/>
        <v>29366.138973876248</v>
      </c>
      <c r="L59" s="38">
        <f t="shared" si="33"/>
        <v>29366.138973876248</v>
      </c>
      <c r="M59" s="38">
        <f t="shared" si="33"/>
        <v>172541.8114131981</v>
      </c>
      <c r="N59" s="39">
        <f t="shared" si="33"/>
        <v>765217.01751314895</v>
      </c>
    </row>
    <row r="60" spans="1:15">
      <c r="A60" s="37" t="s">
        <v>109</v>
      </c>
      <c r="B60" s="43">
        <f t="shared" ref="B60:N60" si="34">B42-B59</f>
        <v>8133.8610261237518</v>
      </c>
      <c r="C60" s="43">
        <f t="shared" si="34"/>
        <v>8133.8610261237518</v>
      </c>
      <c r="D60" s="43">
        <f t="shared" si="34"/>
        <v>-32773.473956539645</v>
      </c>
      <c r="E60" s="43">
        <f t="shared" si="34"/>
        <v>8133.8610261237518</v>
      </c>
      <c r="F60" s="43">
        <f t="shared" si="34"/>
        <v>8133.8610261237518</v>
      </c>
      <c r="G60" s="43">
        <f t="shared" si="34"/>
        <v>1402115.5235694651</v>
      </c>
      <c r="H60" s="43">
        <f t="shared" si="34"/>
        <v>8133.8610261237518</v>
      </c>
      <c r="I60" s="43">
        <f t="shared" si="34"/>
        <v>8133.8610261237518</v>
      </c>
      <c r="J60" s="43">
        <f t="shared" si="34"/>
        <v>-114588.1439218664</v>
      </c>
      <c r="K60" s="43">
        <f t="shared" si="34"/>
        <v>8133.8610261237518</v>
      </c>
      <c r="L60" s="43">
        <f t="shared" si="34"/>
        <v>8133.8610261237518</v>
      </c>
      <c r="M60" s="43">
        <f t="shared" si="34"/>
        <v>-135041.8114131981</v>
      </c>
      <c r="N60" s="36">
        <f t="shared" si="34"/>
        <v>1184782.982486851</v>
      </c>
    </row>
    <row r="61" spans="1:15">
      <c r="A61" s="37" t="s">
        <v>110</v>
      </c>
      <c r="B61" s="35">
        <f>N33</f>
        <v>86311.071737818886</v>
      </c>
      <c r="C61" s="44">
        <f>B62</f>
        <v>94444.932763942634</v>
      </c>
      <c r="D61" s="44">
        <f t="shared" ref="D61:M61" si="35">C62</f>
        <v>102578.79379006638</v>
      </c>
      <c r="E61" s="44">
        <f t="shared" si="35"/>
        <v>69805.319833526737</v>
      </c>
      <c r="F61" s="44">
        <f t="shared" si="35"/>
        <v>77939.180859650485</v>
      </c>
      <c r="G61" s="44">
        <f t="shared" si="35"/>
        <v>86073.041885774233</v>
      </c>
      <c r="H61" s="44">
        <f t="shared" si="35"/>
        <v>1488188.5654552393</v>
      </c>
      <c r="I61" s="44">
        <f t="shared" si="35"/>
        <v>1496322.4264813631</v>
      </c>
      <c r="J61" s="44">
        <f t="shared" si="35"/>
        <v>1504456.287507487</v>
      </c>
      <c r="K61" s="44">
        <f t="shared" si="35"/>
        <v>1389868.1435856207</v>
      </c>
      <c r="L61" s="44">
        <f t="shared" si="35"/>
        <v>1398002.0046117445</v>
      </c>
      <c r="M61" s="44">
        <f t="shared" si="35"/>
        <v>1406135.8656378684</v>
      </c>
      <c r="N61" s="36"/>
    </row>
    <row r="62" spans="1:15">
      <c r="A62" s="45" t="s">
        <v>111</v>
      </c>
      <c r="B62" s="46">
        <f>B61+B60</f>
        <v>94444.932763942634</v>
      </c>
      <c r="C62" s="46">
        <f>C60+C61</f>
        <v>102578.79379006638</v>
      </c>
      <c r="D62" s="46">
        <f t="shared" ref="D62:M62" si="36">D60+D61</f>
        <v>69805.319833526737</v>
      </c>
      <c r="E62" s="46">
        <f t="shared" si="36"/>
        <v>77939.180859650485</v>
      </c>
      <c r="F62" s="46">
        <f t="shared" si="36"/>
        <v>86073.041885774233</v>
      </c>
      <c r="G62" s="46">
        <f t="shared" si="36"/>
        <v>1488188.5654552393</v>
      </c>
      <c r="H62" s="46">
        <f t="shared" si="36"/>
        <v>1496322.4264813631</v>
      </c>
      <c r="I62" s="46">
        <f t="shared" si="36"/>
        <v>1504456.287507487</v>
      </c>
      <c r="J62" s="46">
        <f t="shared" si="36"/>
        <v>1389868.1435856207</v>
      </c>
      <c r="K62" s="46">
        <f t="shared" si="36"/>
        <v>1398002.0046117445</v>
      </c>
      <c r="L62" s="46">
        <f t="shared" si="36"/>
        <v>1406135.8656378684</v>
      </c>
      <c r="M62" s="46">
        <f t="shared" si="36"/>
        <v>1271094.0542246704</v>
      </c>
      <c r="N62" s="47">
        <f>N60+B61</f>
        <v>1271094.0542246699</v>
      </c>
      <c r="O62" s="48"/>
    </row>
    <row r="63" spans="1:15">
      <c r="A63" s="27"/>
    </row>
    <row r="64" spans="1:15">
      <c r="A64" s="27"/>
      <c r="F64" s="10" t="s">
        <v>125</v>
      </c>
    </row>
    <row r="65" spans="1:14" ht="26.4">
      <c r="A65" s="49"/>
      <c r="B65" s="50" t="s">
        <v>126</v>
      </c>
      <c r="C65" s="50" t="s">
        <v>127</v>
      </c>
      <c r="D65" s="50" t="s">
        <v>128</v>
      </c>
      <c r="E65" s="50" t="s">
        <v>129</v>
      </c>
      <c r="F65" s="50" t="s">
        <v>130</v>
      </c>
      <c r="G65" s="50" t="s">
        <v>131</v>
      </c>
      <c r="H65" s="50" t="s">
        <v>132</v>
      </c>
      <c r="I65" s="50" t="s">
        <v>133</v>
      </c>
      <c r="J65" s="50" t="s">
        <v>134</v>
      </c>
      <c r="K65" s="50" t="s">
        <v>135</v>
      </c>
      <c r="L65" s="50" t="s">
        <v>136</v>
      </c>
      <c r="M65" s="50" t="s">
        <v>137</v>
      </c>
      <c r="N65" s="51" t="s">
        <v>101</v>
      </c>
    </row>
    <row r="66" spans="1:14">
      <c r="A66" s="31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3"/>
    </row>
    <row r="67" spans="1:14">
      <c r="A67" s="34" t="s">
        <v>102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6"/>
    </row>
    <row r="68" spans="1:14">
      <c r="A68" s="37" t="str">
        <f t="shared" ref="A68:M68" si="37">A39</f>
        <v>Revenue (Eggs)</v>
      </c>
      <c r="B68" s="35">
        <f t="shared" si="37"/>
        <v>37500</v>
      </c>
      <c r="C68" s="35">
        <f t="shared" si="37"/>
        <v>37500</v>
      </c>
      <c r="D68" s="35">
        <f t="shared" si="37"/>
        <v>37500</v>
      </c>
      <c r="E68" s="35">
        <f t="shared" si="37"/>
        <v>37500</v>
      </c>
      <c r="F68" s="35">
        <f t="shared" si="37"/>
        <v>37500</v>
      </c>
      <c r="G68" s="35">
        <f t="shared" si="37"/>
        <v>37500</v>
      </c>
      <c r="H68" s="35">
        <f t="shared" si="37"/>
        <v>37500</v>
      </c>
      <c r="I68" s="35">
        <f t="shared" si="37"/>
        <v>37500</v>
      </c>
      <c r="J68" s="35">
        <f t="shared" si="37"/>
        <v>37500</v>
      </c>
      <c r="K68" s="35">
        <f t="shared" si="37"/>
        <v>37500</v>
      </c>
      <c r="L68" s="35">
        <f t="shared" si="37"/>
        <v>37500</v>
      </c>
      <c r="M68" s="35">
        <f t="shared" si="37"/>
        <v>37500</v>
      </c>
      <c r="N68" s="36">
        <f t="shared" ref="N68" si="38">SUM(B68:M68)</f>
        <v>450000</v>
      </c>
    </row>
    <row r="69" spans="1:14">
      <c r="A69" s="37" t="str">
        <f>A40</f>
        <v>Revenue (Off layers)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f>Assumptions!B13</f>
        <v>1500000</v>
      </c>
      <c r="N69" s="36">
        <f t="shared" ref="N69" si="39">SUM(B69:M69)</f>
        <v>1500000</v>
      </c>
    </row>
    <row r="70" spans="1:14">
      <c r="A70" s="5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36"/>
    </row>
    <row r="71" spans="1:14">
      <c r="A71" s="34" t="s">
        <v>103</v>
      </c>
      <c r="B71" s="38">
        <f>SUM(B68:B69)</f>
        <v>37500</v>
      </c>
      <c r="C71" s="38">
        <f t="shared" ref="C71:M71" si="40">SUM(C68:C69)</f>
        <v>37500</v>
      </c>
      <c r="D71" s="38">
        <f t="shared" si="40"/>
        <v>37500</v>
      </c>
      <c r="E71" s="38">
        <f t="shared" si="40"/>
        <v>37500</v>
      </c>
      <c r="F71" s="38">
        <f t="shared" si="40"/>
        <v>37500</v>
      </c>
      <c r="G71" s="38">
        <f t="shared" si="40"/>
        <v>37500</v>
      </c>
      <c r="H71" s="38">
        <f t="shared" si="40"/>
        <v>37500</v>
      </c>
      <c r="I71" s="38">
        <f t="shared" si="40"/>
        <v>37500</v>
      </c>
      <c r="J71" s="38">
        <f t="shared" si="40"/>
        <v>37500</v>
      </c>
      <c r="K71" s="38">
        <f t="shared" si="40"/>
        <v>37500</v>
      </c>
      <c r="L71" s="38">
        <f t="shared" si="40"/>
        <v>37500</v>
      </c>
      <c r="M71" s="38">
        <f t="shared" si="40"/>
        <v>1537500</v>
      </c>
      <c r="N71" s="39">
        <f>SUM(N67:N70)</f>
        <v>1950000</v>
      </c>
    </row>
    <row r="72" spans="1:14">
      <c r="A72" s="37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1"/>
    </row>
    <row r="73" spans="1:14">
      <c r="A73" s="34" t="s">
        <v>104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36"/>
    </row>
    <row r="74" spans="1:14">
      <c r="A74" s="34" t="str">
        <f t="shared" ref="A74:A86" si="41">A45</f>
        <v>Variable Costs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36"/>
    </row>
    <row r="75" spans="1:14">
      <c r="A75" s="37" t="str">
        <f t="shared" si="41"/>
        <v>Egg Crates</v>
      </c>
      <c r="B75" s="35">
        <f t="shared" ref="B75:M75" si="42">B46</f>
        <v>7874.9999999999991</v>
      </c>
      <c r="C75" s="35">
        <f t="shared" si="42"/>
        <v>7874.9999999999991</v>
      </c>
      <c r="D75" s="35">
        <f t="shared" si="42"/>
        <v>7874.9999999999991</v>
      </c>
      <c r="E75" s="35">
        <f t="shared" si="42"/>
        <v>7874.9999999999991</v>
      </c>
      <c r="F75" s="35">
        <f t="shared" si="42"/>
        <v>7874.9999999999991</v>
      </c>
      <c r="G75" s="35">
        <f t="shared" si="42"/>
        <v>7874.9999999999991</v>
      </c>
      <c r="H75" s="35">
        <f t="shared" si="42"/>
        <v>7874.9999999999991</v>
      </c>
      <c r="I75" s="35">
        <f t="shared" si="42"/>
        <v>7874.9999999999991</v>
      </c>
      <c r="J75" s="35">
        <f t="shared" si="42"/>
        <v>7874.9999999999991</v>
      </c>
      <c r="K75" s="35">
        <f t="shared" si="42"/>
        <v>7874.9999999999991</v>
      </c>
      <c r="L75" s="35">
        <f t="shared" si="42"/>
        <v>7874.9999999999991</v>
      </c>
      <c r="M75" s="35">
        <f t="shared" si="42"/>
        <v>7874.9999999999991</v>
      </c>
      <c r="N75" s="36">
        <f t="shared" ref="N75:N86" si="43">SUM(B75:M75)</f>
        <v>94499.999999999985</v>
      </c>
    </row>
    <row r="76" spans="1:14">
      <c r="A76" s="37" t="str">
        <f t="shared" si="41"/>
        <v xml:space="preserve">Electricity </v>
      </c>
      <c r="B76" s="35">
        <f t="shared" ref="B76:M76" si="44">B47</f>
        <v>150</v>
      </c>
      <c r="C76" s="35">
        <f t="shared" si="44"/>
        <v>150</v>
      </c>
      <c r="D76" s="35">
        <f t="shared" si="44"/>
        <v>150</v>
      </c>
      <c r="E76" s="35">
        <f t="shared" si="44"/>
        <v>150</v>
      </c>
      <c r="F76" s="35">
        <f t="shared" si="44"/>
        <v>150</v>
      </c>
      <c r="G76" s="35">
        <f t="shared" si="44"/>
        <v>150</v>
      </c>
      <c r="H76" s="35">
        <f t="shared" si="44"/>
        <v>150</v>
      </c>
      <c r="I76" s="35">
        <f t="shared" si="44"/>
        <v>150</v>
      </c>
      <c r="J76" s="35">
        <f t="shared" si="44"/>
        <v>150</v>
      </c>
      <c r="K76" s="35">
        <f t="shared" si="44"/>
        <v>150</v>
      </c>
      <c r="L76" s="35">
        <f t="shared" si="44"/>
        <v>150</v>
      </c>
      <c r="M76" s="35">
        <f t="shared" si="44"/>
        <v>150</v>
      </c>
      <c r="N76" s="36">
        <f t="shared" si="43"/>
        <v>1800</v>
      </c>
    </row>
    <row r="77" spans="1:14">
      <c r="A77" s="37" t="str">
        <f t="shared" si="41"/>
        <v>Feed</v>
      </c>
      <c r="B77" s="35">
        <f t="shared" ref="B77:M77" si="45">B48</f>
        <v>2250</v>
      </c>
      <c r="C77" s="35">
        <f t="shared" si="45"/>
        <v>2250</v>
      </c>
      <c r="D77" s="35">
        <f t="shared" si="45"/>
        <v>2250</v>
      </c>
      <c r="E77" s="35">
        <f t="shared" si="45"/>
        <v>2250</v>
      </c>
      <c r="F77" s="35">
        <f t="shared" si="45"/>
        <v>2250</v>
      </c>
      <c r="G77" s="35">
        <f t="shared" si="45"/>
        <v>2250</v>
      </c>
      <c r="H77" s="35">
        <f t="shared" si="45"/>
        <v>2250</v>
      </c>
      <c r="I77" s="35">
        <f t="shared" si="45"/>
        <v>2250</v>
      </c>
      <c r="J77" s="35">
        <f t="shared" si="45"/>
        <v>2250</v>
      </c>
      <c r="K77" s="35">
        <f t="shared" si="45"/>
        <v>2250</v>
      </c>
      <c r="L77" s="35">
        <f t="shared" si="45"/>
        <v>2250</v>
      </c>
      <c r="M77" s="35">
        <f t="shared" si="45"/>
        <v>2250</v>
      </c>
      <c r="N77" s="36">
        <f t="shared" si="43"/>
        <v>27000</v>
      </c>
    </row>
    <row r="78" spans="1:14">
      <c r="A78" s="37" t="str">
        <f t="shared" si="41"/>
        <v xml:space="preserve">Transport to market </v>
      </c>
      <c r="B78" s="35">
        <f t="shared" ref="B78:M78" si="46">B49</f>
        <v>3375</v>
      </c>
      <c r="C78" s="35">
        <f t="shared" si="46"/>
        <v>3375</v>
      </c>
      <c r="D78" s="35">
        <f t="shared" si="46"/>
        <v>3375</v>
      </c>
      <c r="E78" s="35">
        <f t="shared" si="46"/>
        <v>3375</v>
      </c>
      <c r="F78" s="35">
        <f t="shared" si="46"/>
        <v>3375</v>
      </c>
      <c r="G78" s="35">
        <f t="shared" si="46"/>
        <v>3375</v>
      </c>
      <c r="H78" s="35">
        <f t="shared" si="46"/>
        <v>3375</v>
      </c>
      <c r="I78" s="35">
        <f t="shared" si="46"/>
        <v>3375</v>
      </c>
      <c r="J78" s="35">
        <f t="shared" si="46"/>
        <v>3375</v>
      </c>
      <c r="K78" s="35">
        <f t="shared" si="46"/>
        <v>3375</v>
      </c>
      <c r="L78" s="35">
        <f t="shared" si="46"/>
        <v>3375</v>
      </c>
      <c r="M78" s="35">
        <f t="shared" si="46"/>
        <v>3375</v>
      </c>
      <c r="N78" s="36">
        <f t="shared" si="43"/>
        <v>40500</v>
      </c>
    </row>
    <row r="79" spans="1:14">
      <c r="A79" s="37" t="str">
        <f t="shared" si="41"/>
        <v>Point of Lay Layers</v>
      </c>
      <c r="B79" s="35">
        <f>B50</f>
        <v>0</v>
      </c>
      <c r="C79" s="35">
        <f>C50</f>
        <v>0</v>
      </c>
      <c r="D79" s="35">
        <f>D50</f>
        <v>0</v>
      </c>
      <c r="E79" s="35">
        <f>E50</f>
        <v>0</v>
      </c>
      <c r="F79" s="35">
        <f>F50</f>
        <v>0</v>
      </c>
      <c r="G79" s="35">
        <v>0</v>
      </c>
      <c r="H79" s="35">
        <f t="shared" ref="H79:M79" si="47">H50</f>
        <v>0</v>
      </c>
      <c r="I79" s="35">
        <f t="shared" si="47"/>
        <v>0</v>
      </c>
      <c r="J79" s="35">
        <f t="shared" si="47"/>
        <v>0</v>
      </c>
      <c r="K79" s="35">
        <f t="shared" si="47"/>
        <v>0</v>
      </c>
      <c r="L79" s="35">
        <f t="shared" si="47"/>
        <v>0</v>
      </c>
      <c r="M79" s="35">
        <f t="shared" si="47"/>
        <v>0</v>
      </c>
      <c r="N79" s="36">
        <f t="shared" ref="N79" si="48">SUM(B79:M79)</f>
        <v>0</v>
      </c>
    </row>
    <row r="80" spans="1:14">
      <c r="A80" s="34" t="str">
        <f t="shared" si="41"/>
        <v>Other Outflows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6"/>
    </row>
    <row r="81" spans="1:15">
      <c r="A81" s="37" t="str">
        <f t="shared" si="41"/>
        <v>Salaries</v>
      </c>
      <c r="B81" s="35">
        <f t="shared" ref="B81:M81" si="49">B52</f>
        <v>5000</v>
      </c>
      <c r="C81" s="35">
        <f t="shared" si="49"/>
        <v>5000</v>
      </c>
      <c r="D81" s="35">
        <f t="shared" si="49"/>
        <v>5000</v>
      </c>
      <c r="E81" s="35">
        <f t="shared" si="49"/>
        <v>5000</v>
      </c>
      <c r="F81" s="35">
        <f t="shared" si="49"/>
        <v>5000</v>
      </c>
      <c r="G81" s="35">
        <f t="shared" si="49"/>
        <v>5000</v>
      </c>
      <c r="H81" s="35">
        <f t="shared" si="49"/>
        <v>5000</v>
      </c>
      <c r="I81" s="35">
        <f t="shared" si="49"/>
        <v>5000</v>
      </c>
      <c r="J81" s="35">
        <f t="shared" si="49"/>
        <v>5000</v>
      </c>
      <c r="K81" s="35">
        <f t="shared" si="49"/>
        <v>5000</v>
      </c>
      <c r="L81" s="35">
        <f t="shared" si="49"/>
        <v>5000</v>
      </c>
      <c r="M81" s="35">
        <f t="shared" si="49"/>
        <v>5000</v>
      </c>
      <c r="N81" s="36">
        <f t="shared" si="43"/>
        <v>60000</v>
      </c>
    </row>
    <row r="82" spans="1:15">
      <c r="A82" s="37" t="str">
        <f t="shared" si="41"/>
        <v>Marketing and Advertising</v>
      </c>
      <c r="B82" s="35">
        <f t="shared" ref="B82:M82" si="50">B53</f>
        <v>1500</v>
      </c>
      <c r="C82" s="35">
        <f t="shared" si="50"/>
        <v>1500</v>
      </c>
      <c r="D82" s="35">
        <f t="shared" si="50"/>
        <v>1500</v>
      </c>
      <c r="E82" s="35">
        <f t="shared" si="50"/>
        <v>1500</v>
      </c>
      <c r="F82" s="35">
        <f t="shared" si="50"/>
        <v>1500</v>
      </c>
      <c r="G82" s="35">
        <f t="shared" si="50"/>
        <v>1500</v>
      </c>
      <c r="H82" s="35">
        <f t="shared" si="50"/>
        <v>1500</v>
      </c>
      <c r="I82" s="35">
        <f t="shared" si="50"/>
        <v>1500</v>
      </c>
      <c r="J82" s="35">
        <f t="shared" si="50"/>
        <v>1500</v>
      </c>
      <c r="K82" s="35">
        <f t="shared" si="50"/>
        <v>1500</v>
      </c>
      <c r="L82" s="35">
        <f t="shared" si="50"/>
        <v>1500</v>
      </c>
      <c r="M82" s="35">
        <f t="shared" si="50"/>
        <v>1500</v>
      </c>
      <c r="N82" s="36">
        <f t="shared" si="43"/>
        <v>18000</v>
      </c>
    </row>
    <row r="83" spans="1:15">
      <c r="A83" s="37" t="str">
        <f t="shared" si="41"/>
        <v xml:space="preserve">Repairs and maintenance </v>
      </c>
      <c r="B83" s="35">
        <f t="shared" ref="B83:M83" si="51">B54</f>
        <v>300</v>
      </c>
      <c r="C83" s="35">
        <f t="shared" si="51"/>
        <v>300</v>
      </c>
      <c r="D83" s="35">
        <f t="shared" si="51"/>
        <v>300</v>
      </c>
      <c r="E83" s="35">
        <f t="shared" si="51"/>
        <v>300</v>
      </c>
      <c r="F83" s="35">
        <f t="shared" si="51"/>
        <v>300</v>
      </c>
      <c r="G83" s="35">
        <f t="shared" si="51"/>
        <v>300</v>
      </c>
      <c r="H83" s="35">
        <f t="shared" si="51"/>
        <v>300</v>
      </c>
      <c r="I83" s="35">
        <f t="shared" si="51"/>
        <v>300</v>
      </c>
      <c r="J83" s="35">
        <f t="shared" si="51"/>
        <v>300</v>
      </c>
      <c r="K83" s="35">
        <f t="shared" si="51"/>
        <v>300</v>
      </c>
      <c r="L83" s="35">
        <f t="shared" si="51"/>
        <v>300</v>
      </c>
      <c r="M83" s="35">
        <f t="shared" si="51"/>
        <v>300</v>
      </c>
      <c r="N83" s="36">
        <f t="shared" si="43"/>
        <v>3600</v>
      </c>
    </row>
    <row r="84" spans="1:15">
      <c r="A84" s="37" t="str">
        <f t="shared" si="41"/>
        <v>Other Costs</v>
      </c>
      <c r="B84" s="35">
        <f t="shared" ref="B84:M84" si="52">B55</f>
        <v>300</v>
      </c>
      <c r="C84" s="35">
        <f t="shared" si="52"/>
        <v>300</v>
      </c>
      <c r="D84" s="35">
        <f t="shared" si="52"/>
        <v>300</v>
      </c>
      <c r="E84" s="35">
        <f t="shared" si="52"/>
        <v>300</v>
      </c>
      <c r="F84" s="35">
        <f t="shared" si="52"/>
        <v>300</v>
      </c>
      <c r="G84" s="35">
        <f t="shared" si="52"/>
        <v>300</v>
      </c>
      <c r="H84" s="35">
        <f t="shared" si="52"/>
        <v>300</v>
      </c>
      <c r="I84" s="35">
        <f t="shared" si="52"/>
        <v>300</v>
      </c>
      <c r="J84" s="35">
        <f t="shared" si="52"/>
        <v>300</v>
      </c>
      <c r="K84" s="35">
        <f t="shared" si="52"/>
        <v>300</v>
      </c>
      <c r="L84" s="35">
        <f t="shared" si="52"/>
        <v>300</v>
      </c>
      <c r="M84" s="35">
        <f t="shared" si="52"/>
        <v>300</v>
      </c>
      <c r="N84" s="36">
        <f t="shared" si="43"/>
        <v>3600</v>
      </c>
    </row>
    <row r="85" spans="1:15">
      <c r="A85" s="37" t="str">
        <f t="shared" si="41"/>
        <v>Loan Repayment</v>
      </c>
      <c r="B85" s="35">
        <f>IF('Startup Costs'!$B$29&gt;=25,'Startup Costs'!$B$31,0)</f>
        <v>8616.1389738762482</v>
      </c>
      <c r="C85" s="35">
        <f>IF('Startup Costs'!$B$29&gt;=26,'Startup Costs'!$B$31,0)</f>
        <v>8616.1389738762482</v>
      </c>
      <c r="D85" s="35">
        <f>IF('Startup Costs'!$B$29&gt;=27,'Startup Costs'!$B$31,0)</f>
        <v>8616.1389738762482</v>
      </c>
      <c r="E85" s="35">
        <f>IF('Startup Costs'!$B$29&gt;=28,'Startup Costs'!$B$31,0)</f>
        <v>8616.1389738762482</v>
      </c>
      <c r="F85" s="35">
        <f>IF('Startup Costs'!$B$29&gt;=29,'Startup Costs'!$B$31,0)</f>
        <v>8616.1389738762482</v>
      </c>
      <c r="G85" s="35">
        <f>IF('Startup Costs'!$B$29&gt;=30,'Startup Costs'!$B$31,0)</f>
        <v>8616.1389738762482</v>
      </c>
      <c r="H85" s="35">
        <f>IF('Startup Costs'!$B$29&gt;=31,'Startup Costs'!$B$31,0)</f>
        <v>8616.1389738762482</v>
      </c>
      <c r="I85" s="35">
        <f>IF('Startup Costs'!$B$29&gt;=32,'Startup Costs'!$B$31,0)</f>
        <v>8616.1389738762482</v>
      </c>
      <c r="J85" s="35">
        <f>IF('Startup Costs'!$B$29&gt;=33,'Startup Costs'!$B$31,0)</f>
        <v>8616.1389738762482</v>
      </c>
      <c r="K85" s="35">
        <f>IF('Startup Costs'!$B$29&gt;=34,'Startup Costs'!$B$31,0)</f>
        <v>8616.1389738762482</v>
      </c>
      <c r="L85" s="35">
        <f>IF('Startup Costs'!$B$29&gt;=35,'Startup Costs'!$B$31,0)</f>
        <v>8616.1389738762482</v>
      </c>
      <c r="M85" s="35">
        <f>IF('Startup Costs'!$B$29&gt;=36,'Startup Costs'!$B$31,0)</f>
        <v>8616.1389738762482</v>
      </c>
      <c r="N85" s="36">
        <f>SUM(B85:M85)</f>
        <v>103393.66768651501</v>
      </c>
    </row>
    <row r="86" spans="1:15">
      <c r="A86" s="37" t="str">
        <f t="shared" si="41"/>
        <v>Tax QPD Payments</v>
      </c>
      <c r="B86" s="35">
        <v>0</v>
      </c>
      <c r="C86" s="35">
        <v>0</v>
      </c>
      <c r="D86" s="35">
        <f>0.1*'Income Statement'!D17</f>
        <v>41106.525902742585</v>
      </c>
      <c r="E86" s="35">
        <v>0</v>
      </c>
      <c r="F86" s="35">
        <v>0</v>
      </c>
      <c r="G86" s="35">
        <f>0.25*'Income Statement'!D17</f>
        <v>102766.31475685646</v>
      </c>
      <c r="H86" s="35">
        <v>0</v>
      </c>
      <c r="I86" s="35">
        <f t="shared" ref="I86" si="53">H86</f>
        <v>0</v>
      </c>
      <c r="J86" s="35">
        <f>0.3*'Income Statement'!D17</f>
        <v>123319.57770822775</v>
      </c>
      <c r="K86" s="35">
        <v>0</v>
      </c>
      <c r="L86" s="35">
        <v>0</v>
      </c>
      <c r="M86" s="35">
        <f>0.35*'Income Statement'!D17</f>
        <v>143872.84065959902</v>
      </c>
      <c r="N86" s="36">
        <f t="shared" si="43"/>
        <v>411065.25902742578</v>
      </c>
    </row>
    <row r="87" spans="1:15">
      <c r="A87" s="37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36"/>
    </row>
    <row r="88" spans="1:15">
      <c r="A88" s="34" t="s">
        <v>108</v>
      </c>
      <c r="B88" s="38">
        <f t="shared" ref="B88:N88" si="54">SUM(B75:B87)</f>
        <v>29366.138973876248</v>
      </c>
      <c r="C88" s="38">
        <f t="shared" si="54"/>
        <v>29366.138973876248</v>
      </c>
      <c r="D88" s="38">
        <f t="shared" si="54"/>
        <v>70472.66487661883</v>
      </c>
      <c r="E88" s="38">
        <f t="shared" si="54"/>
        <v>29366.138973876248</v>
      </c>
      <c r="F88" s="38">
        <f t="shared" si="54"/>
        <v>29366.138973876248</v>
      </c>
      <c r="G88" s="38">
        <f t="shared" si="54"/>
        <v>132132.4537307327</v>
      </c>
      <c r="H88" s="38">
        <f t="shared" si="54"/>
        <v>29366.138973876248</v>
      </c>
      <c r="I88" s="38">
        <f t="shared" si="54"/>
        <v>29366.138973876248</v>
      </c>
      <c r="J88" s="38">
        <f t="shared" si="54"/>
        <v>152685.71668210399</v>
      </c>
      <c r="K88" s="38">
        <f t="shared" si="54"/>
        <v>29366.138973876248</v>
      </c>
      <c r="L88" s="38">
        <f t="shared" si="54"/>
        <v>29366.138973876248</v>
      </c>
      <c r="M88" s="38">
        <f t="shared" si="54"/>
        <v>173238.97963347528</v>
      </c>
      <c r="N88" s="39">
        <f t="shared" si="54"/>
        <v>763458.9267139408</v>
      </c>
    </row>
    <row r="89" spans="1:15">
      <c r="A89" s="37" t="s">
        <v>109</v>
      </c>
      <c r="B89" s="43">
        <f t="shared" ref="B89:N89" si="55">B71-B88</f>
        <v>8133.8610261237518</v>
      </c>
      <c r="C89" s="43">
        <f t="shared" si="55"/>
        <v>8133.8610261237518</v>
      </c>
      <c r="D89" s="43">
        <f t="shared" si="55"/>
        <v>-32972.66487661883</v>
      </c>
      <c r="E89" s="43">
        <f t="shared" si="55"/>
        <v>8133.8610261237518</v>
      </c>
      <c r="F89" s="43">
        <f t="shared" si="55"/>
        <v>8133.8610261237518</v>
      </c>
      <c r="G89" s="43">
        <f t="shared" si="55"/>
        <v>-94632.453730732697</v>
      </c>
      <c r="H89" s="43">
        <f t="shared" si="55"/>
        <v>8133.8610261237518</v>
      </c>
      <c r="I89" s="43">
        <f t="shared" si="55"/>
        <v>8133.8610261237518</v>
      </c>
      <c r="J89" s="43">
        <f t="shared" si="55"/>
        <v>-115185.71668210399</v>
      </c>
      <c r="K89" s="43">
        <f t="shared" si="55"/>
        <v>8133.8610261237518</v>
      </c>
      <c r="L89" s="43">
        <f t="shared" si="55"/>
        <v>8133.8610261237518</v>
      </c>
      <c r="M89" s="43">
        <f t="shared" si="55"/>
        <v>1364261.0203665248</v>
      </c>
      <c r="N89" s="36">
        <f t="shared" si="55"/>
        <v>1186541.0732860593</v>
      </c>
    </row>
    <row r="90" spans="1:15">
      <c r="A90" s="37" t="s">
        <v>110</v>
      </c>
      <c r="B90" s="35">
        <f>N62</f>
        <v>1271094.0542246699</v>
      </c>
      <c r="C90" s="44">
        <f>B91</f>
        <v>1279227.9152507938</v>
      </c>
      <c r="D90" s="44">
        <f t="shared" ref="D90:M90" si="56">C91</f>
        <v>1287361.7762769177</v>
      </c>
      <c r="E90" s="44">
        <f t="shared" si="56"/>
        <v>1254389.1114002988</v>
      </c>
      <c r="F90" s="44">
        <f t="shared" si="56"/>
        <v>1262522.9724264226</v>
      </c>
      <c r="G90" s="44">
        <f t="shared" si="56"/>
        <v>1270656.8334525465</v>
      </c>
      <c r="H90" s="44">
        <f t="shared" si="56"/>
        <v>1176024.3797218138</v>
      </c>
      <c r="I90" s="44">
        <f t="shared" si="56"/>
        <v>1184158.2407479377</v>
      </c>
      <c r="J90" s="44">
        <f t="shared" si="56"/>
        <v>1192292.1017740616</v>
      </c>
      <c r="K90" s="44">
        <f t="shared" si="56"/>
        <v>1077106.3850919576</v>
      </c>
      <c r="L90" s="44">
        <f t="shared" si="56"/>
        <v>1085240.2461180815</v>
      </c>
      <c r="M90" s="44">
        <f t="shared" si="56"/>
        <v>1093374.1071442054</v>
      </c>
      <c r="N90" s="36"/>
    </row>
    <row r="91" spans="1:15">
      <c r="A91" s="45" t="s">
        <v>111</v>
      </c>
      <c r="B91" s="46">
        <f>B90+B89</f>
        <v>1279227.9152507938</v>
      </c>
      <c r="C91" s="46">
        <f>C89+C90</f>
        <v>1287361.7762769177</v>
      </c>
      <c r="D91" s="46">
        <f t="shared" ref="D91:M91" si="57">D89+D90</f>
        <v>1254389.1114002988</v>
      </c>
      <c r="E91" s="46">
        <f t="shared" si="57"/>
        <v>1262522.9724264226</v>
      </c>
      <c r="F91" s="46">
        <f t="shared" si="57"/>
        <v>1270656.8334525465</v>
      </c>
      <c r="G91" s="46">
        <f t="shared" si="57"/>
        <v>1176024.3797218138</v>
      </c>
      <c r="H91" s="46">
        <f t="shared" si="57"/>
        <v>1184158.2407479377</v>
      </c>
      <c r="I91" s="46">
        <f t="shared" si="57"/>
        <v>1192292.1017740616</v>
      </c>
      <c r="J91" s="46">
        <f t="shared" si="57"/>
        <v>1077106.3850919576</v>
      </c>
      <c r="K91" s="46">
        <f t="shared" si="57"/>
        <v>1085240.2461180815</v>
      </c>
      <c r="L91" s="46">
        <f t="shared" si="57"/>
        <v>1093374.1071442054</v>
      </c>
      <c r="M91" s="46">
        <f t="shared" si="57"/>
        <v>2457635.1275107302</v>
      </c>
      <c r="N91" s="47">
        <f>N89+B90</f>
        <v>2457635.1275107292</v>
      </c>
      <c r="O91" s="48"/>
    </row>
    <row r="92" spans="1:15">
      <c r="A92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9" workbookViewId="0">
      <selection activeCell="A6" sqref="A6"/>
    </sheetView>
  </sheetViews>
  <sheetFormatPr defaultColWidth="9" defaultRowHeight="14.4"/>
  <cols>
    <col min="1" max="1" width="26" customWidth="1"/>
    <col min="2" max="2" width="16.5546875" customWidth="1"/>
    <col min="3" max="3" width="14.109375" style="14" customWidth="1"/>
    <col min="4" max="4" width="14" style="14" customWidth="1"/>
    <col min="5" max="5" width="19.33203125" customWidth="1"/>
    <col min="6" max="6" width="18.33203125" customWidth="1"/>
    <col min="7" max="7" width="12.6640625" customWidth="1"/>
    <col min="8" max="8" width="7.88671875" customWidth="1"/>
    <col min="9" max="9" width="22.44140625" customWidth="1"/>
    <col min="10" max="10" width="11.88671875" customWidth="1"/>
    <col min="11" max="256" width="10" customWidth="1"/>
  </cols>
  <sheetData>
    <row r="1" spans="1:9">
      <c r="A1" s="10"/>
      <c r="B1" s="3" t="s">
        <v>88</v>
      </c>
      <c r="C1" s="3" t="s">
        <v>112</v>
      </c>
      <c r="D1" s="53" t="s">
        <v>125</v>
      </c>
      <c r="E1" s="20"/>
      <c r="F1" s="12"/>
      <c r="G1" s="20"/>
      <c r="I1" s="10"/>
    </row>
    <row r="2" spans="1:9">
      <c r="A2" s="10" t="s">
        <v>6</v>
      </c>
      <c r="B2" s="20"/>
      <c r="C2" s="3"/>
      <c r="D2" s="54"/>
      <c r="E2" s="12"/>
      <c r="F2" s="12"/>
      <c r="G2" s="12"/>
    </row>
    <row r="3" spans="1:9">
      <c r="A3" s="73" t="s">
        <v>159</v>
      </c>
      <c r="B3" s="54">
        <f>'Monthly Cashflow'!N7</f>
        <v>450000</v>
      </c>
      <c r="C3" s="54">
        <f>'Monthly Cashflow'!N39</f>
        <v>450000</v>
      </c>
      <c r="D3" s="54">
        <f>'Monthly Cashflow'!N68</f>
        <v>450000</v>
      </c>
      <c r="E3" s="14"/>
      <c r="F3" s="12"/>
      <c r="G3" s="12"/>
      <c r="H3" s="12"/>
      <c r="I3" s="12"/>
    </row>
    <row r="4" spans="1:9">
      <c r="A4" s="73" t="s">
        <v>160</v>
      </c>
      <c r="B4" s="54">
        <f>'Monthly Cashflow'!N8</f>
        <v>0</v>
      </c>
      <c r="C4" s="54">
        <f>'Monthly Cashflow'!N40</f>
        <v>1500000</v>
      </c>
      <c r="D4" s="54">
        <f>'Monthly Cashflow'!N69</f>
        <v>1500000</v>
      </c>
      <c r="E4" s="12"/>
      <c r="F4" s="12"/>
      <c r="G4" s="12"/>
      <c r="H4" s="12"/>
      <c r="I4" s="12"/>
    </row>
    <row r="5" spans="1:9">
      <c r="A5" s="10" t="s">
        <v>17</v>
      </c>
      <c r="B5" s="3">
        <f>SUM(B3:B4)</f>
        <v>450000</v>
      </c>
      <c r="C5" s="3">
        <f>SUM(C3:C4)</f>
        <v>1950000</v>
      </c>
      <c r="D5" s="3">
        <f>SUM(D3:D4)</f>
        <v>1950000</v>
      </c>
      <c r="E5" s="12"/>
      <c r="F5" s="12"/>
      <c r="G5" s="12"/>
      <c r="H5" s="12"/>
      <c r="I5" s="12"/>
    </row>
    <row r="6" spans="1:9">
      <c r="A6" s="13" t="s">
        <v>7</v>
      </c>
      <c r="B6" s="25">
        <f>SUM('Monthly Cashflow'!N14:N18)</f>
        <v>167550</v>
      </c>
      <c r="C6" s="14">
        <f>SUM('Monthly Cashflow'!N46:N50)</f>
        <v>167550</v>
      </c>
      <c r="D6" s="14">
        <f>SUM('Monthly Cashflow'!N75:N79)</f>
        <v>163800</v>
      </c>
      <c r="E6" s="12"/>
      <c r="F6" s="12"/>
      <c r="G6" s="12"/>
      <c r="H6" s="12"/>
      <c r="I6" s="12"/>
    </row>
    <row r="7" spans="1:9">
      <c r="A7" s="10" t="s">
        <v>8</v>
      </c>
      <c r="B7" s="3">
        <f>B5-B6</f>
        <v>282450</v>
      </c>
      <c r="C7" s="3">
        <f>C5-C6</f>
        <v>1782450</v>
      </c>
      <c r="D7" s="3">
        <f>D5-D6</f>
        <v>1786200</v>
      </c>
      <c r="E7" s="20"/>
      <c r="F7" s="12"/>
      <c r="G7" s="20"/>
      <c r="H7" s="12"/>
      <c r="I7" s="20"/>
    </row>
    <row r="8" spans="1:9">
      <c r="A8" s="10" t="s">
        <v>9</v>
      </c>
      <c r="B8" s="53"/>
      <c r="C8" s="3"/>
      <c r="D8" s="3"/>
      <c r="E8" s="12"/>
      <c r="F8" s="12"/>
      <c r="G8" s="12"/>
      <c r="H8" s="12"/>
      <c r="I8" s="12"/>
    </row>
    <row r="9" spans="1:9">
      <c r="A9" t="str">
        <f>'Monthly Cashflow'!A20</f>
        <v>Salaries</v>
      </c>
      <c r="B9" s="54">
        <f>'Monthly Cashflow'!N20</f>
        <v>60000</v>
      </c>
      <c r="C9" s="14">
        <f>'Monthly Cashflow'!N52</f>
        <v>60000</v>
      </c>
      <c r="D9" s="14">
        <f>'Monthly Cashflow'!N81</f>
        <v>60000</v>
      </c>
      <c r="E9" s="12"/>
      <c r="F9" s="12"/>
      <c r="G9" s="12"/>
      <c r="H9" s="12"/>
    </row>
    <row r="10" spans="1:9">
      <c r="A10" t="str">
        <f>'Monthly Cashflow'!A21</f>
        <v>Marketing and Advertising</v>
      </c>
      <c r="B10" s="54">
        <f>'Monthly Cashflow'!N21</f>
        <v>18000</v>
      </c>
      <c r="C10" s="14">
        <f>'Monthly Cashflow'!N53</f>
        <v>18000</v>
      </c>
      <c r="D10" s="14">
        <f>'Monthly Cashflow'!N82</f>
        <v>18000</v>
      </c>
      <c r="E10" s="12"/>
      <c r="F10" s="12"/>
      <c r="G10" s="12"/>
      <c r="H10" s="12"/>
    </row>
    <row r="11" spans="1:9">
      <c r="A11" t="str">
        <f>'Monthly Cashflow'!A22</f>
        <v xml:space="preserve">Repairs and maintenance </v>
      </c>
      <c r="B11" s="54">
        <f>'Monthly Cashflow'!N22</f>
        <v>3600</v>
      </c>
      <c r="C11" s="14">
        <f>'Monthly Cashflow'!N54</f>
        <v>3600</v>
      </c>
      <c r="D11" s="14">
        <f>'Monthly Cashflow'!N83</f>
        <v>3600</v>
      </c>
      <c r="E11" s="12"/>
      <c r="F11" s="12"/>
      <c r="G11" s="12"/>
      <c r="H11" s="12"/>
    </row>
    <row r="12" spans="1:9">
      <c r="A12" t="str">
        <f>'Monthly Cashflow'!A23</f>
        <v>Other Costs</v>
      </c>
      <c r="B12" s="54">
        <f>'Monthly Cashflow'!N23</f>
        <v>3600</v>
      </c>
      <c r="C12" s="14">
        <f>'Monthly Cashflow'!N55</f>
        <v>3600</v>
      </c>
      <c r="D12" s="14">
        <f>'Monthly Cashflow'!N84</f>
        <v>3600</v>
      </c>
      <c r="E12" s="12"/>
      <c r="F12" s="12"/>
      <c r="G12" s="12"/>
      <c r="H12" s="12"/>
    </row>
    <row r="13" spans="1:9">
      <c r="A13" t="s">
        <v>45</v>
      </c>
      <c r="B13" s="54">
        <f>'Balance Sheet'!B4</f>
        <v>40000</v>
      </c>
      <c r="C13" s="14">
        <f t="shared" ref="C13:D13" si="0">B13</f>
        <v>40000</v>
      </c>
      <c r="D13" s="14">
        <f t="shared" si="0"/>
        <v>40000</v>
      </c>
      <c r="E13" s="12"/>
      <c r="F13" s="12"/>
      <c r="G13" s="12"/>
      <c r="H13" s="12"/>
    </row>
    <row r="14" spans="1:9">
      <c r="A14" t="s">
        <v>78</v>
      </c>
      <c r="B14" s="55">
        <f>IF('Startup Costs'!$B$28&gt;0,-CUMIPMT('Startup Costs'!$B$30/12,'Startup Costs'!$B$29,'Startup Costs'!$B$28,1,IF('Startup Costs'!$B$29&gt;12,12,'Startup Costs'!$B$29),0),0)</f>
        <v>24968.957697335529</v>
      </c>
      <c r="C14" s="55">
        <f>IF('Startup Costs'!$B$28&gt;0,IF('Startup Costs'!$B$29&gt;12,-CUMIPMT('Startup Costs'!$B$30/12,'Startup Costs'!$B$29,'Startup Costs'!$B$28,13,IF('Startup Costs'!$B$29&gt;24,24,'Startup Costs'!$B$29),0),0),0)</f>
        <v>20956.600693464585</v>
      </c>
      <c r="D14" s="55">
        <f>IF('Startup Costs'!$B$28&gt;0,IF('Startup Costs'!$B$29&gt;24,-CUMIPMT('Startup Costs'!$B$30/12,'Startup Costs'!$B$29,'Startup Costs'!$B$28,25,IF('Startup Costs'!$B$29&gt;36,36,'Startup Costs'!$B$29),0),0),0)</f>
        <v>16738.963890296553</v>
      </c>
      <c r="E14" s="54"/>
      <c r="F14" s="12"/>
      <c r="G14" s="12"/>
      <c r="H14" s="12"/>
    </row>
    <row r="15" spans="1:9">
      <c r="A15" s="10" t="s">
        <v>11</v>
      </c>
      <c r="B15" s="3">
        <f>SUM(B9:B14)</f>
        <v>150168.95769733551</v>
      </c>
      <c r="C15" s="3">
        <f>SUM(C9:C14)</f>
        <v>146156.60069346457</v>
      </c>
      <c r="D15" s="3">
        <f>SUM(D9:D14)</f>
        <v>141938.96389029655</v>
      </c>
      <c r="E15" s="56"/>
      <c r="F15" s="12"/>
      <c r="G15" s="56"/>
      <c r="H15" s="12"/>
      <c r="I15" s="56"/>
    </row>
    <row r="16" spans="1:9">
      <c r="A16" s="10" t="s">
        <v>12</v>
      </c>
      <c r="B16" s="3">
        <f>B7-B15</f>
        <v>132281.04230266449</v>
      </c>
      <c r="C16" s="3">
        <f>C7-C15</f>
        <v>1636293.3993065355</v>
      </c>
      <c r="D16" s="3">
        <f>D7-D15</f>
        <v>1644261.0361097034</v>
      </c>
      <c r="E16" s="20"/>
      <c r="F16" s="12"/>
      <c r="G16" s="20"/>
      <c r="H16" s="12"/>
      <c r="I16" s="20"/>
    </row>
    <row r="17" spans="1:10">
      <c r="A17" t="s">
        <v>13</v>
      </c>
      <c r="B17" s="14">
        <f>IF(B16&gt;0,0.25*B16,0)</f>
        <v>33070.260575666121</v>
      </c>
      <c r="C17" s="14">
        <f>IF(C16&gt;0,0.25*C16,0)</f>
        <v>409073.34982663387</v>
      </c>
      <c r="D17" s="14">
        <f>IF(D16&gt;0,0.25*D16,0)</f>
        <v>411065.25902742584</v>
      </c>
      <c r="E17" s="12"/>
      <c r="F17" s="12"/>
      <c r="G17" s="12"/>
      <c r="H17" s="12"/>
      <c r="I17" s="12"/>
    </row>
    <row r="18" spans="1:10">
      <c r="A18" s="10" t="s">
        <v>14</v>
      </c>
      <c r="B18" s="3">
        <f>B16-B17</f>
        <v>99210.781726998364</v>
      </c>
      <c r="C18" s="3">
        <f>C16-C17</f>
        <v>1227220.0494799016</v>
      </c>
      <c r="D18" s="3">
        <f>D16-D17</f>
        <v>1233195.7770822775</v>
      </c>
      <c r="E18" s="20"/>
      <c r="F18" s="54"/>
      <c r="G18" s="20"/>
      <c r="H18" s="12"/>
      <c r="I18" s="20"/>
    </row>
    <row r="19" spans="1:10">
      <c r="D19" s="54"/>
      <c r="E19" s="12"/>
      <c r="F19" s="12"/>
      <c r="G19" s="12"/>
    </row>
    <row r="20" spans="1:10">
      <c r="A20" s="10" t="s">
        <v>53</v>
      </c>
      <c r="B20" s="10" t="s">
        <v>47</v>
      </c>
      <c r="D20" s="54"/>
      <c r="E20" s="12"/>
      <c r="F20" s="12"/>
      <c r="G20" s="12"/>
    </row>
    <row r="21" spans="1:10">
      <c r="A21" t="s">
        <v>80</v>
      </c>
      <c r="B21" s="54">
        <f>Assumptions!B5</f>
        <v>2</v>
      </c>
      <c r="C21" s="53"/>
      <c r="D21" s="53"/>
      <c r="G21" s="12"/>
    </row>
    <row r="22" spans="1:10">
      <c r="A22" s="13" t="s">
        <v>81</v>
      </c>
      <c r="B22" s="14">
        <f>Assumptions!D23</f>
        <v>0.73911111111111116</v>
      </c>
      <c r="C22" s="54"/>
      <c r="D22" s="54"/>
      <c r="I22" s="10"/>
      <c r="J22" s="10"/>
    </row>
    <row r="23" spans="1:10">
      <c r="A23" t="s">
        <v>144</v>
      </c>
      <c r="B23" s="14">
        <f>B15</f>
        <v>150168.95769733551</v>
      </c>
      <c r="C23" s="54"/>
      <c r="D23" s="54"/>
      <c r="J23" s="14"/>
    </row>
    <row r="24" spans="1:10">
      <c r="A24" s="10" t="s">
        <v>52</v>
      </c>
      <c r="B24" s="57">
        <f>B23/(B21-B22)</f>
        <v>119097.69292175007</v>
      </c>
      <c r="C24" s="54"/>
      <c r="D24" s="54"/>
      <c r="J24" s="14"/>
    </row>
    <row r="25" spans="1:10">
      <c r="C25" s="54"/>
      <c r="D25" s="54"/>
      <c r="J25" s="14"/>
    </row>
    <row r="26" spans="1:10">
      <c r="C26" s="54"/>
      <c r="D26" s="54"/>
      <c r="I26" s="13"/>
      <c r="J26" s="58"/>
    </row>
    <row r="27" spans="1:10">
      <c r="A27" s="10"/>
      <c r="C27" s="54"/>
      <c r="D27" s="53"/>
      <c r="G27" s="12"/>
      <c r="I27" s="10"/>
      <c r="J27" s="5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2" workbookViewId="0">
      <selection activeCell="A15" sqref="A15"/>
    </sheetView>
  </sheetViews>
  <sheetFormatPr defaultColWidth="9" defaultRowHeight="14.4"/>
  <cols>
    <col min="1" max="1" width="26.109375" customWidth="1"/>
    <col min="2" max="2" width="13.5546875" style="14" customWidth="1"/>
    <col min="3" max="3" width="14.33203125" style="14" customWidth="1"/>
    <col min="4" max="4" width="15" customWidth="1"/>
    <col min="5" max="5" width="11.5546875" customWidth="1"/>
    <col min="6" max="256" width="10" customWidth="1"/>
  </cols>
  <sheetData>
    <row r="1" spans="1:4">
      <c r="A1" s="10" t="s">
        <v>44</v>
      </c>
    </row>
    <row r="2" spans="1:4">
      <c r="B2" s="53" t="s">
        <v>88</v>
      </c>
      <c r="C2" s="53" t="s">
        <v>112</v>
      </c>
      <c r="D2" s="10" t="s">
        <v>125</v>
      </c>
    </row>
    <row r="3" spans="1:4">
      <c r="A3" t="s">
        <v>18</v>
      </c>
      <c r="B3" s="54">
        <v>0</v>
      </c>
      <c r="C3" s="14">
        <f>B25</f>
        <v>86311.071737818886</v>
      </c>
      <c r="D3" s="14">
        <f>C25</f>
        <v>1271094.0542246699</v>
      </c>
    </row>
    <row r="4" spans="1:4">
      <c r="B4" s="54"/>
    </row>
    <row r="5" spans="1:4">
      <c r="A5" t="s">
        <v>19</v>
      </c>
      <c r="B5" s="54">
        <f>'Income Statement'!B5</f>
        <v>450000</v>
      </c>
      <c r="C5" s="54">
        <f>'Income Statement'!C5</f>
        <v>1950000</v>
      </c>
      <c r="D5" s="54">
        <f>'Income Statement'!D5</f>
        <v>1950000</v>
      </c>
    </row>
    <row r="6" spans="1:4">
      <c r="A6" s="10" t="s">
        <v>20</v>
      </c>
      <c r="B6" s="53">
        <f>B5</f>
        <v>450000</v>
      </c>
      <c r="C6" s="53">
        <f t="shared" ref="C6:D6" si="0">C5</f>
        <v>1950000</v>
      </c>
      <c r="D6" s="53">
        <f t="shared" si="0"/>
        <v>1950000</v>
      </c>
    </row>
    <row r="7" spans="1:4">
      <c r="B7" s="54"/>
    </row>
    <row r="8" spans="1:4">
      <c r="A8" s="10" t="s">
        <v>21</v>
      </c>
      <c r="B8" s="54"/>
    </row>
    <row r="9" spans="1:4">
      <c r="A9" s="13" t="s">
        <v>83</v>
      </c>
      <c r="B9" s="54">
        <f>'Startup Costs'!B25</f>
        <v>10525</v>
      </c>
      <c r="C9" s="54">
        <v>0</v>
      </c>
      <c r="D9" s="54">
        <v>0</v>
      </c>
    </row>
    <row r="10" spans="1:4">
      <c r="A10" t="s">
        <v>84</v>
      </c>
      <c r="B10" s="54">
        <f>'Startup Costs'!B24</f>
        <v>535000</v>
      </c>
      <c r="C10" s="54">
        <v>0</v>
      </c>
      <c r="D10" s="54">
        <v>0</v>
      </c>
    </row>
    <row r="11" spans="1:4">
      <c r="A11" s="10" t="s">
        <v>22</v>
      </c>
      <c r="B11" s="53">
        <f>SUM(B9:B10)</f>
        <v>545525</v>
      </c>
      <c r="C11" s="53">
        <f t="shared" ref="C11:D11" si="1">SUM(C9:C10)</f>
        <v>0</v>
      </c>
      <c r="D11" s="53">
        <f t="shared" si="1"/>
        <v>0</v>
      </c>
    </row>
    <row r="12" spans="1:4">
      <c r="B12" s="54"/>
    </row>
    <row r="13" spans="1:4">
      <c r="A13" s="10" t="s">
        <v>23</v>
      </c>
      <c r="B13" s="54"/>
    </row>
    <row r="14" spans="1:4">
      <c r="A14" s="73" t="s">
        <v>161</v>
      </c>
      <c r="B14" s="54">
        <f>'Income Statement'!B6</f>
        <v>167550</v>
      </c>
      <c r="C14" s="54">
        <f>'Income Statement'!C6</f>
        <v>167550</v>
      </c>
      <c r="D14" s="54">
        <f>'Income Statement'!D6</f>
        <v>163800</v>
      </c>
    </row>
    <row r="15" spans="1:4">
      <c r="A15" t="s">
        <v>9</v>
      </c>
      <c r="B15" s="54">
        <f>'Income Statement'!B15-'Income Statement'!B14-'Income Statement'!B13</f>
        <v>85199.999999999985</v>
      </c>
      <c r="C15" s="54">
        <f>'Income Statement'!C15-'Income Statement'!C14-'Income Statement'!C13</f>
        <v>85199.999999999985</v>
      </c>
      <c r="D15" s="54">
        <f>'Income Statement'!D15-'Income Statement'!D14-'Income Statement'!D13</f>
        <v>85200</v>
      </c>
    </row>
    <row r="16" spans="1:4">
      <c r="A16" s="10" t="s">
        <v>24</v>
      </c>
      <c r="B16" s="53">
        <f>B14+B15</f>
        <v>252750</v>
      </c>
      <c r="C16" s="53">
        <f t="shared" ref="C16" si="2">C14+C15</f>
        <v>252750</v>
      </c>
      <c r="D16" s="53">
        <f>D14+D15</f>
        <v>249000</v>
      </c>
    </row>
    <row r="17" spans="1:5">
      <c r="B17" s="54"/>
    </row>
    <row r="18" spans="1:5">
      <c r="A18" s="10" t="s">
        <v>25</v>
      </c>
      <c r="B18" s="54"/>
    </row>
    <row r="19" spans="1:5">
      <c r="A19" t="s">
        <v>26</v>
      </c>
      <c r="B19" s="54">
        <f>'Income Statement'!B17</f>
        <v>33070.260575666121</v>
      </c>
      <c r="C19" s="54">
        <f>'Income Statement'!C17</f>
        <v>409073.34982663387</v>
      </c>
      <c r="D19" s="54">
        <f>'Income Statement'!D17</f>
        <v>411065.25902742584</v>
      </c>
    </row>
    <row r="20" spans="1:5">
      <c r="A20" t="s">
        <v>27</v>
      </c>
      <c r="B20" s="54">
        <f>'Monthly Cashflow'!N24</f>
        <v>103393.66768651501</v>
      </c>
      <c r="C20" s="54">
        <f>'Monthly Cashflow'!N56</f>
        <v>103393.66768651501</v>
      </c>
      <c r="D20" s="54">
        <f>'Monthly Cashflow'!N85</f>
        <v>103393.66768651501</v>
      </c>
    </row>
    <row r="21" spans="1:5">
      <c r="A21" t="s">
        <v>28</v>
      </c>
      <c r="B21" s="54">
        <f>SUM('Startup Costs'!D7)</f>
        <v>520000</v>
      </c>
      <c r="C21" s="54">
        <v>0</v>
      </c>
      <c r="D21" s="54">
        <v>0</v>
      </c>
    </row>
    <row r="22" spans="1:5">
      <c r="A22" s="10" t="s">
        <v>29</v>
      </c>
      <c r="B22" s="53">
        <f>SUM(B19:B21)</f>
        <v>656463.92826218111</v>
      </c>
      <c r="C22" s="53">
        <f t="shared" ref="C22:D22" si="3">SUM(C19:C21)</f>
        <v>512467.01751314889</v>
      </c>
      <c r="D22" s="53">
        <f t="shared" si="3"/>
        <v>514458.92671394086</v>
      </c>
    </row>
    <row r="23" spans="1:5">
      <c r="B23" s="54"/>
      <c r="D23" s="14"/>
      <c r="E23" s="17"/>
    </row>
    <row r="24" spans="1:5">
      <c r="A24" s="10" t="s">
        <v>30</v>
      </c>
      <c r="B24" s="53">
        <f>B6+B11-B16-B22</f>
        <v>86311.071737818886</v>
      </c>
      <c r="C24" s="53">
        <f>C6+C11-C16-C22</f>
        <v>1184782.982486851</v>
      </c>
      <c r="D24" s="53">
        <f>D6+D11-D16-D22</f>
        <v>1186541.0732860591</v>
      </c>
    </row>
    <row r="25" spans="1:5">
      <c r="A25" s="10" t="s">
        <v>31</v>
      </c>
      <c r="B25" s="53">
        <f>B3+B24</f>
        <v>86311.071737818886</v>
      </c>
      <c r="C25" s="53">
        <f>C3+C24</f>
        <v>1271094.0542246699</v>
      </c>
      <c r="D25" s="53">
        <f>D3+D24</f>
        <v>2457635.1275107292</v>
      </c>
      <c r="E25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topLeftCell="A9" workbookViewId="0"/>
  </sheetViews>
  <sheetFormatPr defaultColWidth="9" defaultRowHeight="15.6"/>
  <cols>
    <col min="1" max="1" width="25.44140625" style="60" customWidth="1"/>
    <col min="2" max="2" width="21.5546875" style="61" customWidth="1"/>
    <col min="3" max="3" width="16" style="61" customWidth="1"/>
    <col min="4" max="4" width="15.21875" style="60" customWidth="1"/>
    <col min="5" max="5" width="11.5546875" style="60" customWidth="1"/>
    <col min="6" max="256" width="9.109375" style="60" customWidth="1"/>
  </cols>
  <sheetData>
    <row r="1" spans="1:4">
      <c r="A1" s="62"/>
      <c r="B1" s="63" t="s">
        <v>88</v>
      </c>
      <c r="C1" s="63" t="s">
        <v>112</v>
      </c>
      <c r="D1" s="64" t="s">
        <v>125</v>
      </c>
    </row>
    <row r="2" spans="1:4">
      <c r="A2" s="64" t="s">
        <v>32</v>
      </c>
    </row>
    <row r="3" spans="1:4">
      <c r="A3" s="13" t="s">
        <v>79</v>
      </c>
      <c r="B3" s="65">
        <f>'Startup Costs'!D7</f>
        <v>520000</v>
      </c>
      <c r="C3" s="65">
        <f>B3</f>
        <v>520000</v>
      </c>
      <c r="D3" s="61">
        <f>C3</f>
        <v>520000</v>
      </c>
    </row>
    <row r="4" spans="1:4">
      <c r="A4" s="66" t="s">
        <v>86</v>
      </c>
      <c r="B4" s="65">
        <f>B3/13</f>
        <v>40000</v>
      </c>
      <c r="C4" s="65">
        <f>B4*2</f>
        <v>80000</v>
      </c>
      <c r="D4" s="61">
        <f>B4*3</f>
        <v>120000</v>
      </c>
    </row>
    <row r="5" spans="1:4">
      <c r="A5" s="64" t="s">
        <v>33</v>
      </c>
      <c r="B5" s="63">
        <f t="shared" ref="B5:C5" si="0">B3-B4</f>
        <v>480000</v>
      </c>
      <c r="C5" s="63">
        <f t="shared" si="0"/>
        <v>440000</v>
      </c>
      <c r="D5" s="63">
        <f>D3-D4</f>
        <v>400000</v>
      </c>
    </row>
    <row r="6" spans="1:4">
      <c r="A6" s="64" t="s">
        <v>34</v>
      </c>
      <c r="B6" s="65"/>
    </row>
    <row r="7" spans="1:4">
      <c r="A7" s="60" t="s">
        <v>35</v>
      </c>
      <c r="B7" s="65">
        <f>'Annual Cashflow'!$B$25</f>
        <v>86311.071737818886</v>
      </c>
      <c r="C7" s="61">
        <f>'Annual Cashflow'!$C$25</f>
        <v>1271094.0542246699</v>
      </c>
      <c r="D7" s="61">
        <f>'Annual Cashflow'!D25</f>
        <v>2457635.1275107292</v>
      </c>
    </row>
    <row r="8" spans="1:4">
      <c r="A8" s="60" t="s">
        <v>49</v>
      </c>
      <c r="B8" s="65">
        <v>0</v>
      </c>
      <c r="C8" s="65">
        <v>0</v>
      </c>
      <c r="D8" s="65">
        <v>0</v>
      </c>
    </row>
    <row r="9" spans="1:4">
      <c r="A9" s="64" t="s">
        <v>50</v>
      </c>
      <c r="B9" s="67">
        <f>SUM(B7:B8)</f>
        <v>86311.071737818886</v>
      </c>
      <c r="C9" s="67">
        <f t="shared" ref="C9:D9" si="1">SUM(C7:C8)</f>
        <v>1271094.0542246699</v>
      </c>
      <c r="D9" s="67">
        <f t="shared" si="1"/>
        <v>2457635.1275107292</v>
      </c>
    </row>
    <row r="10" spans="1:4">
      <c r="A10" s="64" t="s">
        <v>36</v>
      </c>
      <c r="B10" s="68">
        <f>SUM(B5+B9)</f>
        <v>566311.07173781889</v>
      </c>
      <c r="C10" s="68">
        <f t="shared" ref="C10:D10" si="2">SUM(C5+C9)</f>
        <v>1711094.0542246699</v>
      </c>
      <c r="D10" s="68">
        <f t="shared" si="2"/>
        <v>2857635.1275107292</v>
      </c>
    </row>
    <row r="11" spans="1:4">
      <c r="A11" s="64"/>
      <c r="B11" s="68"/>
    </row>
    <row r="12" spans="1:4">
      <c r="A12" s="69" t="s">
        <v>37</v>
      </c>
      <c r="B12" s="65"/>
    </row>
    <row r="13" spans="1:4">
      <c r="A13" s="64" t="s">
        <v>38</v>
      </c>
      <c r="B13" s="65"/>
    </row>
    <row r="14" spans="1:4">
      <c r="A14" s="70" t="s">
        <v>85</v>
      </c>
      <c r="B14" s="65">
        <f>B10-B19</f>
        <v>109735.78172699834</v>
      </c>
      <c r="C14" s="65">
        <f t="shared" ref="C14:D14" si="3">C10-C19</f>
        <v>1336955.8312068998</v>
      </c>
      <c r="D14" s="65">
        <f t="shared" si="3"/>
        <v>2570151.6082891775</v>
      </c>
    </row>
    <row r="15" spans="1:4">
      <c r="A15" s="64" t="s">
        <v>39</v>
      </c>
      <c r="B15" s="68">
        <f>SUM(B14:B14)</f>
        <v>109735.78172699834</v>
      </c>
      <c r="C15" s="68">
        <f t="shared" ref="C15:D15" si="4">SUM(C14:C14)</f>
        <v>1336955.8312068998</v>
      </c>
      <c r="D15" s="68">
        <f t="shared" si="4"/>
        <v>2570151.6082891775</v>
      </c>
    </row>
    <row r="16" spans="1:4">
      <c r="A16" s="64" t="s">
        <v>40</v>
      </c>
      <c r="B16" s="68"/>
    </row>
    <row r="17" spans="1:5">
      <c r="A17" s="71" t="s">
        <v>82</v>
      </c>
      <c r="B17" s="65">
        <f>IF('Startup Costs'!$B$28&gt;0,'Startup Costs'!$B$28+CUMPRINC('Startup Costs'!$B$30/12,'Startup Costs'!$B$29,'Startup Costs'!$B$28,1,IF('Startup Costs'!$B$29&gt;12,12,'Startup Costs'!$B$29),0),0)</f>
        <v>456575.29001082055</v>
      </c>
      <c r="C17" s="65">
        <f>IF('Startup Costs'!B$28&gt;0,IF('Startup Costs'!B$29&gt;12,'Startup Costs'!B$28+CUMPRINC('Startup Costs'!B$30/12,'Startup Costs'!B$29,'Startup Costs'!B$28,1,IF('Startup Costs'!B$29&gt;24,24,'Startup Costs'!B$29),0),0),0)</f>
        <v>374138.22301777016</v>
      </c>
      <c r="D17" s="65">
        <f>IF('Startup Costs'!$B$28&gt;0,IF('Startup Costs'!$B$29&gt;24,'Startup Costs'!$B$28+CUMPRINC('Startup Costs'!$B$30/12,'Startup Costs'!$B$29,'Startup Costs'!$B$28,1,IF('Startup Costs'!$B$29&gt;36,36,'Startup Costs'!$B$29),0),0),0)</f>
        <v>287483.51922155183</v>
      </c>
    </row>
    <row r="18" spans="1:5">
      <c r="A18" s="60" t="s">
        <v>41</v>
      </c>
      <c r="B18" s="65">
        <v>0</v>
      </c>
      <c r="C18" s="65">
        <v>0</v>
      </c>
      <c r="D18" s="65">
        <v>0</v>
      </c>
    </row>
    <row r="19" spans="1:5">
      <c r="A19" s="64" t="s">
        <v>42</v>
      </c>
      <c r="B19" s="68">
        <f>SUM(B17:B18)</f>
        <v>456575.29001082055</v>
      </c>
      <c r="C19" s="68">
        <f t="shared" ref="C19:D19" si="5">SUM(C17:C18)</f>
        <v>374138.22301777016</v>
      </c>
      <c r="D19" s="68">
        <f t="shared" si="5"/>
        <v>287483.51922155183</v>
      </c>
      <c r="E19" s="72"/>
    </row>
    <row r="20" spans="1:5">
      <c r="B20" s="65"/>
    </row>
    <row r="21" spans="1:5">
      <c r="A21" s="64" t="s">
        <v>43</v>
      </c>
      <c r="B21" s="68">
        <f>SUM(B15+B19)</f>
        <v>566311.07173781889</v>
      </c>
      <c r="C21" s="68">
        <f t="shared" ref="C21:D21" si="6">SUM(C15+C19)</f>
        <v>1711094.0542246699</v>
      </c>
      <c r="D21" s="68">
        <f t="shared" si="6"/>
        <v>2857635.1275107292</v>
      </c>
    </row>
    <row r="23" spans="1:5">
      <c r="D23" s="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Assumptions</vt:lpstr>
      <vt:lpstr>Startup Costs</vt:lpstr>
      <vt:lpstr>Monthly Cashflow</vt:lpstr>
      <vt:lpstr>Income Statement</vt:lpstr>
      <vt:lpstr>Annual Cashflow</vt:lpstr>
      <vt:lpstr>Balance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lenovopc</dc:creator>
  <cp:lastModifiedBy>hp</cp:lastModifiedBy>
  <dcterms:created xsi:type="dcterms:W3CDTF">2015-05-30T14:01:01Z</dcterms:created>
  <dcterms:modified xsi:type="dcterms:W3CDTF">2024-01-30T12:21:37Z</dcterms:modified>
</cp:coreProperties>
</file>