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2" i="1"/>
  <c r="Q13" i="1"/>
  <c r="Q10" i="1"/>
  <c r="L17" i="1"/>
  <c r="L5" i="1"/>
  <c r="L6" i="1"/>
  <c r="L7" i="1"/>
  <c r="L8" i="1"/>
  <c r="L9" i="1"/>
  <c r="L10" i="1"/>
  <c r="L11" i="1"/>
  <c r="L12" i="1"/>
  <c r="L13" i="1"/>
  <c r="L14" i="1"/>
  <c r="L15" i="1"/>
  <c r="L16" i="1"/>
  <c r="L4" i="1"/>
  <c r="Q28" i="1"/>
  <c r="Q29" i="1"/>
  <c r="Q30" i="1"/>
  <c r="Q27" i="1"/>
  <c r="L35" i="1"/>
  <c r="L34" i="1"/>
  <c r="L22" i="1"/>
  <c r="L23" i="1"/>
  <c r="L24" i="1"/>
  <c r="L25" i="1"/>
  <c r="L26" i="1"/>
  <c r="L27" i="1"/>
  <c r="L28" i="1"/>
  <c r="L29" i="1"/>
  <c r="L30" i="1"/>
  <c r="L31" i="1"/>
  <c r="L32" i="1"/>
  <c r="L33" i="1"/>
  <c r="L21" i="1"/>
  <c r="AR33" i="1"/>
  <c r="AR30" i="1"/>
  <c r="AR31" i="1"/>
  <c r="AR16" i="1"/>
  <c r="AR14" i="1"/>
  <c r="AR13" i="1"/>
  <c r="J35" i="1"/>
  <c r="J17" i="1"/>
  <c r="AS22" i="1"/>
  <c r="AR27" i="1"/>
  <c r="AR28" i="1" s="1"/>
  <c r="AR25" i="1"/>
  <c r="AR24" i="1"/>
  <c r="AR21" i="1"/>
  <c r="AR22" i="1" s="1"/>
  <c r="AR20" i="1"/>
  <c r="AR4" i="1"/>
  <c r="AR7" i="1"/>
  <c r="AR3" i="1"/>
  <c r="AR10" i="1"/>
  <c r="AR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1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Q31" i="1" l="1"/>
  <c r="Q14" i="1"/>
  <c r="AR5" i="1"/>
  <c r="AR11" i="1"/>
  <c r="N12" i="1"/>
  <c r="N11" i="1"/>
  <c r="N10" i="1"/>
  <c r="N30" i="1"/>
  <c r="N29" i="1"/>
  <c r="N28" i="1"/>
  <c r="N27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21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Q24" i="1" l="1"/>
  <c r="Q23" i="1"/>
  <c r="Q22" i="1"/>
  <c r="Q21" i="1"/>
  <c r="Q5" i="1"/>
  <c r="Q6" i="1"/>
  <c r="Q7" i="1"/>
  <c r="Q4" i="1"/>
  <c r="X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5" i="1"/>
  <c r="J6" i="1"/>
  <c r="J7" i="1"/>
  <c r="J8" i="1"/>
  <c r="J9" i="1"/>
  <c r="J10" i="1"/>
  <c r="J11" i="1"/>
  <c r="J12" i="1"/>
  <c r="J13" i="1"/>
  <c r="J14" i="1"/>
  <c r="J15" i="1"/>
  <c r="J16" i="1"/>
  <c r="J4" i="1"/>
  <c r="N24" i="1"/>
  <c r="S24" i="1" s="1"/>
  <c r="N23" i="1"/>
  <c r="S23" i="1" s="1"/>
  <c r="N22" i="1"/>
  <c r="S22" i="1" s="1"/>
  <c r="N21" i="1"/>
  <c r="S21" i="1" s="1"/>
  <c r="F24" i="1"/>
  <c r="F22" i="1"/>
  <c r="F25" i="1"/>
  <c r="S7" i="1"/>
  <c r="F23" i="1"/>
  <c r="F26" i="1"/>
  <c r="F27" i="1"/>
  <c r="F28" i="1"/>
  <c r="F29" i="1"/>
  <c r="F30" i="1"/>
  <c r="F31" i="1"/>
  <c r="F32" i="1"/>
  <c r="F33" i="1"/>
  <c r="F34" i="1"/>
  <c r="F21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N6" i="1"/>
  <c r="S6" i="1" s="1"/>
  <c r="N5" i="1"/>
  <c r="S5" i="1" s="1"/>
  <c r="N4" i="1"/>
  <c r="S4" i="1" s="1"/>
</calcChain>
</file>

<file path=xl/sharedStrings.xml><?xml version="1.0" encoding="utf-8"?>
<sst xmlns="http://schemas.openxmlformats.org/spreadsheetml/2006/main" count="110" uniqueCount="43">
  <si>
    <t>d</t>
  </si>
  <si>
    <t>sigma d</t>
  </si>
  <si>
    <t>dV</t>
  </si>
  <si>
    <t>dT</t>
  </si>
  <si>
    <t>dV/dT</t>
  </si>
  <si>
    <t>p(L)</t>
  </si>
  <si>
    <t>p(Па)</t>
  </si>
  <si>
    <t>p(дел)</t>
  </si>
  <si>
    <t>тур</t>
  </si>
  <si>
    <t>лам</t>
  </si>
  <si>
    <t>dp/dl</t>
  </si>
  <si>
    <t>dv/dt</t>
  </si>
  <si>
    <t>sigma p па</t>
  </si>
  <si>
    <t>sigma v л</t>
  </si>
  <si>
    <t>sigma t с</t>
  </si>
  <si>
    <t>sigma L см</t>
  </si>
  <si>
    <t>L см</t>
  </si>
  <si>
    <t>p дел</t>
  </si>
  <si>
    <t>p па</t>
  </si>
  <si>
    <t>$\Delta t, c$</t>
  </si>
  <si>
    <t>$\sigma_t, c$</t>
  </si>
  <si>
    <t>$\Delta P, Па$</t>
  </si>
  <si>
    <t>$\sigma_p, Па$</t>
  </si>
  <si>
    <t>$\Delta V, л$</t>
  </si>
  <si>
    <t>$\sigma_V, л$</t>
  </si>
  <si>
    <t>$L, см$</t>
  </si>
  <si>
    <t>$\sigma_L, см$</t>
  </si>
  <si>
    <t>$\sigma_P, Па$</t>
  </si>
  <si>
    <t>sigma dv/dt</t>
  </si>
  <si>
    <t>5,59703E-4 ± 1,51513E-5</t>
  </si>
  <si>
    <t>0,00414 ± 9,39335E-4</t>
  </si>
  <si>
    <t>4,25143E-4 ± 6,40714E-5</t>
  </si>
  <si>
    <t>0,01827 ± 0,00321</t>
  </si>
  <si>
    <t>dQ/dP</t>
  </si>
  <si>
    <t xml:space="preserve">sigma </t>
  </si>
  <si>
    <t>sigma</t>
  </si>
  <si>
    <t>eps</t>
  </si>
  <si>
    <t>eta</t>
  </si>
  <si>
    <t>r</t>
  </si>
  <si>
    <t>l</t>
  </si>
  <si>
    <t>u</t>
  </si>
  <si>
    <t>Re</t>
  </si>
  <si>
    <t>Qкр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</si>
</sst>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70" formatCode="0.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abSelected="1" zoomScaleNormal="100" workbookViewId="0">
      <selection activeCell="Q9" sqref="Q9"/>
    </sheetView>
  </sheetViews>
  <sheetFormatPr defaultRowHeight="14.4" x14ac:dyDescent="0.3"/>
  <cols>
    <col min="1" max="6" width="8.88671875" style="2"/>
    <col min="7" max="7" width="9.88671875" style="9" customWidth="1"/>
    <col min="8" max="9" width="8.88671875" style="2" customWidth="1"/>
    <col min="10" max="10" width="8.88671875" style="2"/>
    <col min="11" max="11" width="11.77734375" style="2" customWidth="1"/>
    <col min="12" max="14" width="8.88671875" style="2"/>
    <col min="15" max="15" width="10.6640625" style="2" customWidth="1"/>
    <col min="16" max="17" width="8.88671875" style="2"/>
    <col min="18" max="18" width="10.109375" style="2" customWidth="1"/>
    <col min="19" max="43" width="8.88671875" style="2"/>
    <col min="44" max="44" width="15.109375" style="2" customWidth="1"/>
    <col min="45" max="45" width="9.44140625" style="2" bestFit="1" customWidth="1"/>
    <col min="46" max="16384" width="8.88671875" style="2"/>
  </cols>
  <sheetData>
    <row r="1" spans="1:45" x14ac:dyDescent="0.3">
      <c r="A1" s="2" t="s">
        <v>0</v>
      </c>
      <c r="B1" s="2" t="s">
        <v>1</v>
      </c>
    </row>
    <row r="2" spans="1:45" x14ac:dyDescent="0.3">
      <c r="A2" s="2">
        <v>3.95</v>
      </c>
      <c r="B2" s="2">
        <v>0.05</v>
      </c>
    </row>
    <row r="3" spans="1:45" x14ac:dyDescent="0.3">
      <c r="B3" s="2" t="s">
        <v>4</v>
      </c>
      <c r="C3" s="2" t="s">
        <v>3</v>
      </c>
      <c r="D3" s="4" t="s">
        <v>14</v>
      </c>
      <c r="E3" s="2" t="s">
        <v>7</v>
      </c>
      <c r="F3" s="2" t="s">
        <v>6</v>
      </c>
      <c r="G3" s="15" t="s">
        <v>12</v>
      </c>
      <c r="H3" s="2" t="s">
        <v>2</v>
      </c>
      <c r="I3" s="4" t="s">
        <v>13</v>
      </c>
      <c r="J3" s="2" t="s">
        <v>4</v>
      </c>
      <c r="K3" s="2" t="s">
        <v>28</v>
      </c>
      <c r="M3" s="2" t="s">
        <v>5</v>
      </c>
      <c r="N3" s="2" t="s">
        <v>16</v>
      </c>
      <c r="O3" s="4" t="s">
        <v>15</v>
      </c>
      <c r="P3" s="2" t="s">
        <v>17</v>
      </c>
      <c r="Q3" s="2" t="s">
        <v>18</v>
      </c>
      <c r="R3" s="4" t="s">
        <v>12</v>
      </c>
      <c r="S3" s="2" t="s">
        <v>10</v>
      </c>
      <c r="U3" s="2" t="s">
        <v>4</v>
      </c>
      <c r="V3" s="2" t="s">
        <v>2</v>
      </c>
      <c r="W3" s="2" t="s">
        <v>3</v>
      </c>
      <c r="X3" s="2" t="s">
        <v>11</v>
      </c>
      <c r="Z3" s="2" t="s">
        <v>3</v>
      </c>
      <c r="AA3" s="4" t="s">
        <v>14</v>
      </c>
      <c r="AB3" s="2" t="s">
        <v>7</v>
      </c>
      <c r="AC3" s="2" t="s">
        <v>6</v>
      </c>
      <c r="AD3" s="4" t="s">
        <v>12</v>
      </c>
      <c r="AE3" s="2" t="s">
        <v>2</v>
      </c>
      <c r="AF3" s="4" t="s">
        <v>13</v>
      </c>
      <c r="AJ3" s="2" t="s">
        <v>19</v>
      </c>
      <c r="AK3" s="2" t="s">
        <v>20</v>
      </c>
      <c r="AL3" s="2" t="s">
        <v>21</v>
      </c>
      <c r="AM3" s="2" t="s">
        <v>22</v>
      </c>
      <c r="AN3" s="2" t="s">
        <v>23</v>
      </c>
      <c r="AO3" s="2" t="s">
        <v>24</v>
      </c>
      <c r="AQ3" s="2" t="s">
        <v>33</v>
      </c>
      <c r="AR3" s="2">
        <f>5.59*10^-7</f>
        <v>5.5899999999999996E-7</v>
      </c>
    </row>
    <row r="4" spans="1:45" x14ac:dyDescent="0.3">
      <c r="B4" s="13" t="s">
        <v>9</v>
      </c>
      <c r="C4" s="2">
        <v>90</v>
      </c>
      <c r="D4" s="4">
        <v>1</v>
      </c>
      <c r="E4" s="2">
        <v>16</v>
      </c>
      <c r="F4" s="2">
        <f>E4*9.8*0.2</f>
        <v>31.360000000000003</v>
      </c>
      <c r="G4" s="15">
        <v>2.7169870371424301</v>
      </c>
      <c r="H4" s="2">
        <v>2</v>
      </c>
      <c r="I4" s="4">
        <v>0.1</v>
      </c>
      <c r="J4" s="2">
        <f>H4/C4</f>
        <v>2.2222222222222223E-2</v>
      </c>
      <c r="K4" s="2">
        <f>SQRT(D4^2*H4^2/C4^4+I4^2/D4^2)*J4</f>
        <v>2.2222289962470212E-3</v>
      </c>
      <c r="L4" s="2">
        <f>G4/F4</f>
        <v>8.6638617255817271E-2</v>
      </c>
      <c r="N4" s="2">
        <f>50+40+30+10.5</f>
        <v>130.5</v>
      </c>
      <c r="O4" s="4">
        <v>0.5</v>
      </c>
      <c r="P4" s="2">
        <v>235</v>
      </c>
      <c r="Q4" s="2">
        <f>9.8*0.2*P4</f>
        <v>460.6</v>
      </c>
      <c r="R4" s="4">
        <v>1.96</v>
      </c>
      <c r="S4" s="2">
        <f>P4/N4</f>
        <v>1.8007662835249043</v>
      </c>
      <c r="V4" s="2">
        <v>8</v>
      </c>
      <c r="W4" s="2">
        <v>93</v>
      </c>
      <c r="X4" s="2">
        <v>2.3E-2</v>
      </c>
      <c r="Z4" s="2">
        <v>90</v>
      </c>
      <c r="AA4" s="4">
        <v>1</v>
      </c>
      <c r="AB4" s="2">
        <v>16</v>
      </c>
      <c r="AC4" s="2">
        <f>AB4*9.8*0.2</f>
        <v>31.360000000000003</v>
      </c>
      <c r="AD4" s="4">
        <f>9.8*0.2</f>
        <v>1.9600000000000002</v>
      </c>
      <c r="AE4" s="2">
        <v>2</v>
      </c>
      <c r="AF4" s="4">
        <v>0.06</v>
      </c>
      <c r="AJ4" s="6">
        <v>90</v>
      </c>
      <c r="AK4" s="6">
        <v>1</v>
      </c>
      <c r="AL4" s="7">
        <v>31.360000000000003</v>
      </c>
      <c r="AM4" s="7">
        <v>2.7169870371424301</v>
      </c>
      <c r="AN4" s="6">
        <v>2</v>
      </c>
      <c r="AO4" s="6">
        <v>0.06</v>
      </c>
      <c r="AP4" s="6"/>
      <c r="AQ4" s="2" t="s">
        <v>35</v>
      </c>
      <c r="AR4" s="2">
        <f>3.5*10^-8</f>
        <v>3.5000000000000002E-8</v>
      </c>
    </row>
    <row r="5" spans="1:45" x14ac:dyDescent="0.3">
      <c r="B5" s="13"/>
      <c r="C5" s="2">
        <v>116</v>
      </c>
      <c r="D5" s="4">
        <v>1</v>
      </c>
      <c r="E5" s="2">
        <v>29</v>
      </c>
      <c r="F5" s="2">
        <f t="shared" ref="F5:F16" si="0">E5*9.8*0.2</f>
        <v>56.840000000000011</v>
      </c>
      <c r="G5" s="15">
        <v>3.9335007512392828</v>
      </c>
      <c r="H5" s="2">
        <v>4</v>
      </c>
      <c r="I5" s="4">
        <v>0.1</v>
      </c>
      <c r="J5" s="2">
        <f>H5/C5</f>
        <v>3.4482758620689655E-2</v>
      </c>
      <c r="K5" s="2">
        <f t="shared" ref="K5:K16" si="1">SQRT(D5^2*H5^2/C5^4+I5^2/D5^2)*J5</f>
        <v>3.4482910976518012E-3</v>
      </c>
      <c r="L5" s="2">
        <f t="shared" ref="L5:L16" si="2">G5/F5</f>
        <v>6.9203039254737544E-2</v>
      </c>
      <c r="N5" s="2">
        <f>10.5+30+50</f>
        <v>90.5</v>
      </c>
      <c r="O5" s="4">
        <v>0.5</v>
      </c>
      <c r="P5" s="2">
        <v>160</v>
      </c>
      <c r="Q5" s="2">
        <f t="shared" ref="Q5:Q7" si="3">9.8*0.2*P5</f>
        <v>313.60000000000002</v>
      </c>
      <c r="R5" s="4">
        <v>1.96</v>
      </c>
      <c r="S5" s="2">
        <f t="shared" ref="S5:S7" si="4">P5/N5</f>
        <v>1.7679558011049723</v>
      </c>
      <c r="Z5" s="2">
        <v>116</v>
      </c>
      <c r="AA5" s="4">
        <v>1</v>
      </c>
      <c r="AB5" s="2">
        <v>29</v>
      </c>
      <c r="AC5" s="2">
        <f t="shared" ref="AC5:AC16" si="5">AB5*9.8*0.2</f>
        <v>56.840000000000011</v>
      </c>
      <c r="AD5" s="4">
        <f t="shared" ref="AD5:AD16" si="6">9.8*0.2</f>
        <v>1.9600000000000002</v>
      </c>
      <c r="AE5" s="2">
        <v>4</v>
      </c>
      <c r="AF5" s="4">
        <v>0.12</v>
      </c>
      <c r="AJ5" s="6">
        <v>116</v>
      </c>
      <c r="AK5" s="6">
        <v>1</v>
      </c>
      <c r="AL5" s="7">
        <v>56.840000000000011</v>
      </c>
      <c r="AM5" s="7">
        <v>3.9335007512392828</v>
      </c>
      <c r="AN5" s="6">
        <v>4</v>
      </c>
      <c r="AO5" s="6">
        <v>0.12</v>
      </c>
      <c r="AP5" s="6"/>
      <c r="AQ5" s="2" t="s">
        <v>36</v>
      </c>
      <c r="AR5" s="17">
        <f>AR4/AR3</f>
        <v>6.2611806797853317E-2</v>
      </c>
      <c r="AS5" s="2">
        <v>6.2611806797853317E-2</v>
      </c>
    </row>
    <row r="6" spans="1:45" x14ac:dyDescent="0.3">
      <c r="B6" s="13"/>
      <c r="C6" s="2">
        <v>116</v>
      </c>
      <c r="D6" s="4">
        <v>1</v>
      </c>
      <c r="E6" s="2">
        <v>36</v>
      </c>
      <c r="F6" s="2">
        <f t="shared" si="0"/>
        <v>70.56</v>
      </c>
      <c r="G6" s="15">
        <v>4.6652940914801935</v>
      </c>
      <c r="H6" s="2">
        <v>5</v>
      </c>
      <c r="I6" s="4">
        <v>0.1</v>
      </c>
      <c r="J6" s="2">
        <f>H6/C6</f>
        <v>4.3103448275862072E-2</v>
      </c>
      <c r="K6" s="2">
        <f t="shared" si="1"/>
        <v>4.3103745845469556E-3</v>
      </c>
      <c r="L6" s="2">
        <f t="shared" si="2"/>
        <v>6.6118113541385956E-2</v>
      </c>
      <c r="N6" s="2">
        <f>10.5+30</f>
        <v>40.5</v>
      </c>
      <c r="O6" s="4">
        <v>0.5</v>
      </c>
      <c r="P6" s="2">
        <v>95</v>
      </c>
      <c r="Q6" s="2">
        <f t="shared" si="3"/>
        <v>186.20000000000002</v>
      </c>
      <c r="R6" s="4">
        <v>1.96</v>
      </c>
      <c r="S6" s="2">
        <f t="shared" si="4"/>
        <v>2.3456790123456792</v>
      </c>
      <c r="Z6" s="2">
        <v>116</v>
      </c>
      <c r="AA6" s="4">
        <v>1</v>
      </c>
      <c r="AB6" s="2">
        <v>36</v>
      </c>
      <c r="AC6" s="2">
        <f t="shared" si="5"/>
        <v>70.56</v>
      </c>
      <c r="AD6" s="4">
        <f t="shared" si="6"/>
        <v>1.9600000000000002</v>
      </c>
      <c r="AE6" s="2">
        <v>5</v>
      </c>
      <c r="AF6" s="4">
        <v>0.15</v>
      </c>
      <c r="AJ6" s="6">
        <v>116</v>
      </c>
      <c r="AK6" s="6">
        <v>1</v>
      </c>
      <c r="AL6" s="7">
        <v>70.56</v>
      </c>
      <c r="AM6" s="7">
        <v>4.6652940914801935</v>
      </c>
      <c r="AN6" s="6">
        <v>5</v>
      </c>
      <c r="AO6" s="6">
        <v>0.15</v>
      </c>
      <c r="AP6" s="6"/>
    </row>
    <row r="7" spans="1:45" x14ac:dyDescent="0.3">
      <c r="B7" s="13"/>
      <c r="C7" s="2">
        <v>108</v>
      </c>
      <c r="D7" s="4">
        <v>1</v>
      </c>
      <c r="E7" s="2">
        <v>47</v>
      </c>
      <c r="F7" s="2">
        <f t="shared" si="0"/>
        <v>92.12</v>
      </c>
      <c r="G7" s="15">
        <v>5.8644300524432893</v>
      </c>
      <c r="H7" s="2">
        <v>6</v>
      </c>
      <c r="I7" s="4">
        <v>0.1</v>
      </c>
      <c r="J7" s="2">
        <f>H7/C7</f>
        <v>5.5555555555555552E-2</v>
      </c>
      <c r="K7" s="2">
        <f t="shared" si="1"/>
        <v>5.5556290580545996E-3</v>
      </c>
      <c r="L7" s="2">
        <f t="shared" si="2"/>
        <v>6.3660769132037442E-2</v>
      </c>
      <c r="N7" s="2">
        <v>10.5</v>
      </c>
      <c r="O7" s="4">
        <v>0.5</v>
      </c>
      <c r="P7" s="2">
        <v>45</v>
      </c>
      <c r="Q7" s="2">
        <f t="shared" si="3"/>
        <v>88.2</v>
      </c>
      <c r="R7" s="4">
        <v>1.96</v>
      </c>
      <c r="S7" s="2">
        <f t="shared" si="4"/>
        <v>4.2857142857142856</v>
      </c>
      <c r="Z7" s="2">
        <v>108</v>
      </c>
      <c r="AA7" s="4">
        <v>1</v>
      </c>
      <c r="AB7" s="2">
        <v>47</v>
      </c>
      <c r="AC7" s="2">
        <f t="shared" si="5"/>
        <v>92.12</v>
      </c>
      <c r="AD7" s="4">
        <f t="shared" si="6"/>
        <v>1.9600000000000002</v>
      </c>
      <c r="AE7" s="2">
        <v>6</v>
      </c>
      <c r="AF7" s="4">
        <v>0.18</v>
      </c>
      <c r="AJ7" s="6">
        <v>108</v>
      </c>
      <c r="AK7" s="6">
        <v>1</v>
      </c>
      <c r="AL7" s="7">
        <v>92.12</v>
      </c>
      <c r="AM7" s="7">
        <v>5.8644300524432893</v>
      </c>
      <c r="AN7" s="6">
        <v>6</v>
      </c>
      <c r="AO7" s="6">
        <v>0.18</v>
      </c>
      <c r="AP7" s="6"/>
      <c r="AQ7" s="2" t="s">
        <v>37</v>
      </c>
      <c r="AR7" s="2">
        <f>3.14*AR8^4/(8*AR9*AR3)</f>
        <v>5.935041334546128E-6</v>
      </c>
    </row>
    <row r="8" spans="1:45" x14ac:dyDescent="0.3">
      <c r="B8" s="13"/>
      <c r="C8" s="2">
        <v>112</v>
      </c>
      <c r="D8" s="4">
        <v>1</v>
      </c>
      <c r="E8" s="2">
        <v>60</v>
      </c>
      <c r="F8" s="2">
        <f t="shared" si="0"/>
        <v>117.60000000000001</v>
      </c>
      <c r="G8" s="15">
        <v>7.3231643433696068</v>
      </c>
      <c r="H8" s="2">
        <v>8</v>
      </c>
      <c r="I8" s="4">
        <v>0.1</v>
      </c>
      <c r="J8" s="2">
        <f>H8/C8</f>
        <v>7.1428571428571425E-2</v>
      </c>
      <c r="K8" s="2">
        <f t="shared" si="1"/>
        <v>7.1430024026551782E-3</v>
      </c>
      <c r="L8" s="2">
        <f t="shared" si="2"/>
        <v>6.2271805640898015E-2</v>
      </c>
      <c r="Z8" s="2">
        <v>112</v>
      </c>
      <c r="AA8" s="4">
        <v>1</v>
      </c>
      <c r="AB8" s="2">
        <v>60</v>
      </c>
      <c r="AC8" s="2">
        <f t="shared" si="5"/>
        <v>117.60000000000001</v>
      </c>
      <c r="AD8" s="4">
        <f t="shared" si="6"/>
        <v>1.9600000000000002</v>
      </c>
      <c r="AE8" s="2">
        <v>8</v>
      </c>
      <c r="AF8" s="4">
        <v>0.24</v>
      </c>
      <c r="AJ8" s="6">
        <v>112</v>
      </c>
      <c r="AK8" s="6">
        <v>1</v>
      </c>
      <c r="AL8" s="7">
        <v>117.60000000000001</v>
      </c>
      <c r="AM8" s="7">
        <v>7.3231643433696068</v>
      </c>
      <c r="AN8" s="6">
        <v>8</v>
      </c>
      <c r="AO8" s="6">
        <v>0.24</v>
      </c>
      <c r="AP8" s="6"/>
      <c r="AQ8" s="2" t="s">
        <v>38</v>
      </c>
      <c r="AR8" s="2">
        <f>A2/2*10^-3</f>
        <v>1.9750000000000002E-3</v>
      </c>
    </row>
    <row r="9" spans="1:45" x14ac:dyDescent="0.3">
      <c r="B9" s="13"/>
      <c r="C9" s="2">
        <v>108</v>
      </c>
      <c r="D9" s="4">
        <v>1</v>
      </c>
      <c r="E9" s="2">
        <v>71</v>
      </c>
      <c r="F9" s="2">
        <f t="shared" si="0"/>
        <v>139.16000000000003</v>
      </c>
      <c r="G9" s="15">
        <v>8.5765622576881011</v>
      </c>
      <c r="H9" s="2">
        <v>9</v>
      </c>
      <c r="I9" s="4">
        <v>0.1</v>
      </c>
      <c r="J9" s="2">
        <f>H9/C9</f>
        <v>8.3333333333333329E-2</v>
      </c>
      <c r="K9" s="2">
        <f t="shared" si="1"/>
        <v>8.3335814022163623E-3</v>
      </c>
      <c r="L9" s="2">
        <f t="shared" si="2"/>
        <v>6.1630944651394792E-2</v>
      </c>
      <c r="N9" s="2" t="s">
        <v>25</v>
      </c>
      <c r="O9" s="2" t="s">
        <v>26</v>
      </c>
      <c r="P9" s="2" t="s">
        <v>21</v>
      </c>
      <c r="Q9" s="2" t="s">
        <v>27</v>
      </c>
      <c r="Z9" s="2">
        <v>108</v>
      </c>
      <c r="AA9" s="4">
        <v>1</v>
      </c>
      <c r="AB9" s="2">
        <v>71</v>
      </c>
      <c r="AC9" s="2">
        <f t="shared" si="5"/>
        <v>139.16000000000003</v>
      </c>
      <c r="AD9" s="4">
        <f t="shared" si="6"/>
        <v>1.9600000000000002</v>
      </c>
      <c r="AE9" s="2">
        <v>9</v>
      </c>
      <c r="AF9" s="4">
        <v>0.27</v>
      </c>
      <c r="AJ9" s="6">
        <v>108</v>
      </c>
      <c r="AK9" s="6">
        <v>1</v>
      </c>
      <c r="AL9" s="7">
        <v>139.16000000000003</v>
      </c>
      <c r="AM9" s="7">
        <v>8.5765622576881011</v>
      </c>
      <c r="AN9" s="6">
        <v>9</v>
      </c>
      <c r="AO9" s="6">
        <v>0.27</v>
      </c>
      <c r="AP9" s="6"/>
      <c r="AQ9" s="2" t="s">
        <v>39</v>
      </c>
      <c r="AR9" s="2">
        <v>1.8</v>
      </c>
    </row>
    <row r="10" spans="1:45" x14ac:dyDescent="0.3">
      <c r="B10" s="12" t="s">
        <v>8</v>
      </c>
      <c r="C10" s="2">
        <v>110</v>
      </c>
      <c r="D10" s="4">
        <v>1</v>
      </c>
      <c r="E10" s="2">
        <v>79</v>
      </c>
      <c r="F10" s="2">
        <f t="shared" si="0"/>
        <v>154.84000000000003</v>
      </c>
      <c r="G10" s="15">
        <v>9.4949003238580669</v>
      </c>
      <c r="H10" s="2">
        <v>10</v>
      </c>
      <c r="I10" s="4">
        <v>0.1</v>
      </c>
      <c r="J10" s="2">
        <f>H10/C10</f>
        <v>9.0909090909090912E-2</v>
      </c>
      <c r="K10" s="2">
        <f t="shared" si="1"/>
        <v>9.091219546269581E-3</v>
      </c>
      <c r="L10" s="2">
        <f t="shared" si="2"/>
        <v>6.1320720252247898E-2</v>
      </c>
      <c r="N10" s="2">
        <f>50+40+30+10.5</f>
        <v>130.5</v>
      </c>
      <c r="O10" s="6">
        <v>0.5</v>
      </c>
      <c r="P10" s="9">
        <v>451</v>
      </c>
      <c r="Q10" s="7">
        <f>$L$17*P10</f>
        <v>28.927363368592061</v>
      </c>
      <c r="Z10" s="2">
        <v>110</v>
      </c>
      <c r="AA10" s="4">
        <v>1</v>
      </c>
      <c r="AB10" s="2">
        <v>79</v>
      </c>
      <c r="AC10" s="2">
        <f t="shared" si="5"/>
        <v>154.84000000000003</v>
      </c>
      <c r="AD10" s="4">
        <f t="shared" si="6"/>
        <v>1.9600000000000002</v>
      </c>
      <c r="AE10" s="2">
        <v>10</v>
      </c>
      <c r="AF10" s="4">
        <v>0.3</v>
      </c>
      <c r="AJ10" s="6">
        <v>110</v>
      </c>
      <c r="AK10" s="6">
        <v>1</v>
      </c>
      <c r="AL10" s="7">
        <v>154.84000000000003</v>
      </c>
      <c r="AM10" s="7">
        <v>9.4949003238580669</v>
      </c>
      <c r="AN10" s="6">
        <v>10</v>
      </c>
      <c r="AO10" s="6">
        <v>0.3</v>
      </c>
      <c r="AP10" s="6"/>
      <c r="AQ10" s="2" t="s">
        <v>36</v>
      </c>
      <c r="AR10" s="17">
        <f>SQRT(16*0.0005^2+0.005^2+AS5^2)</f>
        <v>6.2842965799616041E-2</v>
      </c>
    </row>
    <row r="11" spans="1:45" x14ac:dyDescent="0.3">
      <c r="B11" s="12"/>
      <c r="C11" s="2">
        <v>98</v>
      </c>
      <c r="D11" s="4">
        <v>1</v>
      </c>
      <c r="E11" s="2">
        <v>94</v>
      </c>
      <c r="F11" s="2">
        <f t="shared" si="0"/>
        <v>184.24</v>
      </c>
      <c r="G11" s="15">
        <v>11.226814301483747</v>
      </c>
      <c r="H11" s="2">
        <v>9</v>
      </c>
      <c r="I11" s="4">
        <v>0.1</v>
      </c>
      <c r="J11" s="2">
        <f>H11/C11</f>
        <v>9.1836734693877556E-2</v>
      </c>
      <c r="K11" s="2">
        <f t="shared" si="1"/>
        <v>9.1840767038296207E-3</v>
      </c>
      <c r="L11" s="2">
        <f t="shared" si="2"/>
        <v>6.093581362073245E-2</v>
      </c>
      <c r="N11" s="2">
        <f>10.5+30+50</f>
        <v>90.5</v>
      </c>
      <c r="O11" s="6">
        <v>0.5</v>
      </c>
      <c r="P11" s="9">
        <v>314</v>
      </c>
      <c r="Q11" s="7">
        <f t="shared" ref="Q11:Q13" si="7">$L$17*P11</f>
        <v>20.140115516048574</v>
      </c>
      <c r="Z11" s="2">
        <v>98</v>
      </c>
      <c r="AA11" s="4">
        <v>1</v>
      </c>
      <c r="AB11" s="2">
        <v>94</v>
      </c>
      <c r="AC11" s="2">
        <f t="shared" si="5"/>
        <v>184.24</v>
      </c>
      <c r="AD11" s="4">
        <f t="shared" si="6"/>
        <v>1.9600000000000002</v>
      </c>
      <c r="AE11" s="2">
        <v>9</v>
      </c>
      <c r="AF11" s="4">
        <v>0.27</v>
      </c>
      <c r="AJ11" s="6">
        <v>98</v>
      </c>
      <c r="AK11" s="6">
        <v>1</v>
      </c>
      <c r="AL11" s="7">
        <v>184.24</v>
      </c>
      <c r="AM11" s="7">
        <v>11.226814301483747</v>
      </c>
      <c r="AN11" s="6">
        <v>9</v>
      </c>
      <c r="AO11" s="6">
        <v>0.27</v>
      </c>
      <c r="AP11" s="6"/>
      <c r="AQ11" s="2" t="s">
        <v>35</v>
      </c>
      <c r="AR11" s="2">
        <f>AR10*AR7</f>
        <v>3.7297559960618989E-7</v>
      </c>
    </row>
    <row r="12" spans="1:45" x14ac:dyDescent="0.3">
      <c r="B12" s="12"/>
      <c r="C12" s="2">
        <v>100</v>
      </c>
      <c r="D12" s="4">
        <v>1</v>
      </c>
      <c r="E12" s="2">
        <v>115</v>
      </c>
      <c r="F12" s="2">
        <f t="shared" si="0"/>
        <v>225.4</v>
      </c>
      <c r="G12" s="15">
        <v>13.665290922625832</v>
      </c>
      <c r="H12" s="2">
        <v>11</v>
      </c>
      <c r="I12" s="4">
        <v>0.1</v>
      </c>
      <c r="J12" s="2">
        <f>H12/C12</f>
        <v>0.11</v>
      </c>
      <c r="K12" s="2">
        <f t="shared" si="1"/>
        <v>1.1000665479869843E-2</v>
      </c>
      <c r="L12" s="2">
        <f t="shared" si="2"/>
        <v>6.0626845264533415E-2</v>
      </c>
      <c r="N12" s="2">
        <f>10.5+30</f>
        <v>40.5</v>
      </c>
      <c r="O12" s="6">
        <v>0.5</v>
      </c>
      <c r="P12" s="9">
        <v>185</v>
      </c>
      <c r="Q12" s="7">
        <f t="shared" si="7"/>
        <v>11.865991625697408</v>
      </c>
      <c r="Z12" s="2">
        <v>100</v>
      </c>
      <c r="AA12" s="4">
        <v>1</v>
      </c>
      <c r="AB12" s="2">
        <v>115</v>
      </c>
      <c r="AC12" s="2">
        <f t="shared" si="5"/>
        <v>225.4</v>
      </c>
      <c r="AD12" s="4">
        <f t="shared" si="6"/>
        <v>1.9600000000000002</v>
      </c>
      <c r="AE12" s="2">
        <v>11</v>
      </c>
      <c r="AF12" s="4">
        <v>0.32999999999999996</v>
      </c>
      <c r="AJ12" s="6">
        <v>100</v>
      </c>
      <c r="AK12" s="6">
        <v>1</v>
      </c>
      <c r="AL12" s="7">
        <v>225.4</v>
      </c>
      <c r="AM12" s="7">
        <v>13.665290922625832</v>
      </c>
      <c r="AN12" s="6">
        <v>11</v>
      </c>
      <c r="AO12" s="6">
        <v>0.32999999999999996</v>
      </c>
      <c r="AP12" s="6"/>
    </row>
    <row r="13" spans="1:45" x14ac:dyDescent="0.3">
      <c r="B13" s="12"/>
      <c r="C13" s="2">
        <v>107</v>
      </c>
      <c r="D13" s="4">
        <v>1</v>
      </c>
      <c r="E13" s="2">
        <v>130</v>
      </c>
      <c r="F13" s="2">
        <f t="shared" si="0"/>
        <v>254.8</v>
      </c>
      <c r="G13" s="15">
        <v>15.4131289490486</v>
      </c>
      <c r="H13" s="2">
        <v>12</v>
      </c>
      <c r="I13" s="4">
        <v>0.1</v>
      </c>
      <c r="J13" s="2">
        <f>H13/C13</f>
        <v>0.11214953271028037</v>
      </c>
      <c r="K13" s="2">
        <f t="shared" si="1"/>
        <v>1.1215569274169526E-2</v>
      </c>
      <c r="L13" s="2">
        <f t="shared" si="2"/>
        <v>6.0491086927192309E-2</v>
      </c>
      <c r="N13" s="2">
        <v>10.5</v>
      </c>
      <c r="O13" s="6">
        <v>0.5</v>
      </c>
      <c r="P13" s="9">
        <v>90</v>
      </c>
      <c r="Q13" s="7">
        <f t="shared" si="7"/>
        <v>5.7726445746636044</v>
      </c>
      <c r="Z13" s="2">
        <v>107</v>
      </c>
      <c r="AA13" s="4">
        <v>1</v>
      </c>
      <c r="AB13" s="2">
        <v>130</v>
      </c>
      <c r="AC13" s="2">
        <f t="shared" si="5"/>
        <v>254.8</v>
      </c>
      <c r="AD13" s="4">
        <f t="shared" si="6"/>
        <v>1.9600000000000002</v>
      </c>
      <c r="AE13" s="2">
        <v>12</v>
      </c>
      <c r="AF13" s="4">
        <v>0.36</v>
      </c>
      <c r="AJ13" s="6">
        <v>107</v>
      </c>
      <c r="AK13" s="6">
        <v>1</v>
      </c>
      <c r="AL13" s="7">
        <v>254.8</v>
      </c>
      <c r="AM13" s="7">
        <v>15.4131289490486</v>
      </c>
      <c r="AN13" s="6">
        <v>12</v>
      </c>
      <c r="AO13" s="6">
        <v>0.36</v>
      </c>
      <c r="AP13" s="6"/>
      <c r="AQ13" s="2" t="s">
        <v>42</v>
      </c>
      <c r="AR13" s="2">
        <f>J9</f>
        <v>8.3333333333333329E-2</v>
      </c>
    </row>
    <row r="14" spans="1:45" x14ac:dyDescent="0.3">
      <c r="B14" s="12"/>
      <c r="C14" s="3">
        <v>102</v>
      </c>
      <c r="D14" s="4">
        <v>1</v>
      </c>
      <c r="E14" s="3">
        <v>148</v>
      </c>
      <c r="F14" s="3">
        <f t="shared" si="0"/>
        <v>290.08000000000004</v>
      </c>
      <c r="G14" s="15">
        <v>17.514812674990278</v>
      </c>
      <c r="H14" s="3">
        <v>12</v>
      </c>
      <c r="I14" s="4">
        <v>0.1</v>
      </c>
      <c r="J14" s="2">
        <f>H14/C14</f>
        <v>0.11764705882352941</v>
      </c>
      <c r="K14" s="2">
        <f t="shared" si="1"/>
        <v>1.176548840774793E-2</v>
      </c>
      <c r="L14" s="2">
        <f t="shared" si="2"/>
        <v>6.0379249431157869E-2</v>
      </c>
      <c r="P14" s="9"/>
      <c r="Q14" s="9">
        <f>AVERAGE(Q10:Q13)</f>
        <v>16.67652877125041</v>
      </c>
      <c r="Z14" s="3">
        <v>102</v>
      </c>
      <c r="AA14" s="4">
        <v>1</v>
      </c>
      <c r="AB14" s="3">
        <v>148</v>
      </c>
      <c r="AC14" s="3">
        <f t="shared" si="5"/>
        <v>290.08000000000004</v>
      </c>
      <c r="AD14" s="4">
        <f t="shared" si="6"/>
        <v>1.9600000000000002</v>
      </c>
      <c r="AE14" s="3">
        <v>12</v>
      </c>
      <c r="AF14" s="4">
        <v>0.36</v>
      </c>
      <c r="AJ14" s="5">
        <v>102</v>
      </c>
      <c r="AK14" s="6">
        <v>1</v>
      </c>
      <c r="AL14" s="8">
        <v>290.08000000000004</v>
      </c>
      <c r="AM14" s="7">
        <v>17.514812674990278</v>
      </c>
      <c r="AN14" s="5">
        <v>12</v>
      </c>
      <c r="AO14" s="6">
        <v>0.36</v>
      </c>
      <c r="AP14" s="6"/>
      <c r="AQ14" s="2" t="s">
        <v>40</v>
      </c>
      <c r="AR14" s="2">
        <f>AR13/(3.14*AR8^2)*10^(-3)</f>
        <v>6.8038527496580201</v>
      </c>
    </row>
    <row r="15" spans="1:45" x14ac:dyDescent="0.3">
      <c r="B15" s="12"/>
      <c r="C15" s="2">
        <v>98</v>
      </c>
      <c r="D15" s="4">
        <v>1</v>
      </c>
      <c r="E15" s="2">
        <v>164</v>
      </c>
      <c r="F15" s="2">
        <f t="shared" si="0"/>
        <v>321.44000000000005</v>
      </c>
      <c r="G15" s="15">
        <v>19.385737668708927</v>
      </c>
      <c r="H15" s="2">
        <v>12</v>
      </c>
      <c r="I15" s="4">
        <v>0.1</v>
      </c>
      <c r="J15" s="2">
        <f>H15/C15</f>
        <v>0.12244897959183673</v>
      </c>
      <c r="K15" s="2">
        <f t="shared" si="1"/>
        <v>1.2245853757837492E-2</v>
      </c>
      <c r="L15" s="2">
        <f t="shared" si="2"/>
        <v>6.0309039536799787E-2</v>
      </c>
      <c r="Z15" s="2">
        <v>98</v>
      </c>
      <c r="AA15" s="4">
        <v>1</v>
      </c>
      <c r="AB15" s="2">
        <v>164</v>
      </c>
      <c r="AC15" s="2">
        <f t="shared" si="5"/>
        <v>321.44000000000005</v>
      </c>
      <c r="AD15" s="4">
        <f t="shared" si="6"/>
        <v>1.9600000000000002</v>
      </c>
      <c r="AE15" s="2">
        <v>12</v>
      </c>
      <c r="AF15" s="4">
        <v>0.36</v>
      </c>
      <c r="AJ15" s="6">
        <v>98</v>
      </c>
      <c r="AK15" s="6">
        <v>1</v>
      </c>
      <c r="AL15" s="7">
        <v>321.44000000000005</v>
      </c>
      <c r="AM15" s="7">
        <v>19.385737668708927</v>
      </c>
      <c r="AN15" s="6">
        <v>12</v>
      </c>
      <c r="AO15" s="6">
        <v>0.36</v>
      </c>
      <c r="AP15" s="6"/>
    </row>
    <row r="16" spans="1:45" x14ac:dyDescent="0.3">
      <c r="B16" s="12"/>
      <c r="C16" s="2">
        <v>94</v>
      </c>
      <c r="D16" s="4">
        <v>1</v>
      </c>
      <c r="E16" s="2">
        <v>186</v>
      </c>
      <c r="F16" s="2">
        <f t="shared" si="0"/>
        <v>364.56000000000006</v>
      </c>
      <c r="G16" s="15">
        <v>21.961238056175251</v>
      </c>
      <c r="H16" s="2">
        <v>12</v>
      </c>
      <c r="I16" s="4">
        <v>0.1</v>
      </c>
      <c r="J16" s="2">
        <f>H16/C16</f>
        <v>0.1276595744680851</v>
      </c>
      <c r="K16" s="2">
        <f t="shared" si="1"/>
        <v>1.2767134658185795E-2</v>
      </c>
      <c r="L16" s="2">
        <f t="shared" si="2"/>
        <v>6.0240394053585819E-2</v>
      </c>
      <c r="Z16" s="2">
        <v>94</v>
      </c>
      <c r="AA16" s="4">
        <v>1</v>
      </c>
      <c r="AB16" s="2">
        <v>186</v>
      </c>
      <c r="AC16" s="2">
        <f t="shared" si="5"/>
        <v>364.56000000000006</v>
      </c>
      <c r="AD16" s="4">
        <f t="shared" si="6"/>
        <v>1.9600000000000002</v>
      </c>
      <c r="AE16" s="2">
        <v>12</v>
      </c>
      <c r="AF16" s="4">
        <v>0.36</v>
      </c>
      <c r="AJ16" s="6">
        <v>94</v>
      </c>
      <c r="AK16" s="6">
        <v>1</v>
      </c>
      <c r="AL16" s="7">
        <v>364.56000000000006</v>
      </c>
      <c r="AM16" s="7">
        <v>21.961238056175251</v>
      </c>
      <c r="AN16" s="6">
        <v>12</v>
      </c>
      <c r="AO16" s="6">
        <v>0.36</v>
      </c>
      <c r="AP16" s="6"/>
      <c r="AQ16" s="2" t="s">
        <v>41</v>
      </c>
      <c r="AR16" s="2">
        <f>AR14*1.2*1.8*10^(-3)/AR7</f>
        <v>2476.1953811034746</v>
      </c>
    </row>
    <row r="17" spans="1:45" x14ac:dyDescent="0.3">
      <c r="J17" s="2">
        <f>AVERAGE(J4:J16)</f>
        <v>8.3290527740994963E-2</v>
      </c>
      <c r="L17" s="2">
        <f>AVERAGE(L4:L16)</f>
        <v>6.4140495274040046E-2</v>
      </c>
      <c r="AJ17" s="16" t="s">
        <v>30</v>
      </c>
      <c r="AM17" s="9"/>
    </row>
    <row r="18" spans="1:45" x14ac:dyDescent="0.3">
      <c r="A18" s="2" t="s">
        <v>0</v>
      </c>
      <c r="B18" s="2" t="s">
        <v>1</v>
      </c>
      <c r="AJ18" s="16" t="s">
        <v>29</v>
      </c>
    </row>
    <row r="19" spans="1:45" x14ac:dyDescent="0.3">
      <c r="A19" s="2">
        <v>5.0999999999999996</v>
      </c>
      <c r="B19" s="2">
        <v>0.05</v>
      </c>
    </row>
    <row r="20" spans="1:45" x14ac:dyDescent="0.3">
      <c r="B20" s="2" t="s">
        <v>4</v>
      </c>
      <c r="C20" s="2" t="s">
        <v>3</v>
      </c>
      <c r="D20" s="4" t="s">
        <v>14</v>
      </c>
      <c r="E20" s="2" t="s">
        <v>7</v>
      </c>
      <c r="F20" s="2" t="s">
        <v>6</v>
      </c>
      <c r="G20" s="15" t="s">
        <v>12</v>
      </c>
      <c r="H20" s="2" t="s">
        <v>2</v>
      </c>
      <c r="I20" s="4" t="s">
        <v>13</v>
      </c>
      <c r="J20" s="2" t="s">
        <v>4</v>
      </c>
      <c r="K20" s="2" t="s">
        <v>28</v>
      </c>
      <c r="M20" s="2" t="s">
        <v>5</v>
      </c>
      <c r="N20" s="2" t="s">
        <v>16</v>
      </c>
      <c r="O20" s="4" t="s">
        <v>15</v>
      </c>
      <c r="P20" s="2" t="s">
        <v>17</v>
      </c>
      <c r="Q20" s="2" t="s">
        <v>18</v>
      </c>
      <c r="R20" s="4" t="s">
        <v>12</v>
      </c>
      <c r="S20" s="2" t="s">
        <v>10</v>
      </c>
      <c r="U20" s="2" t="s">
        <v>4</v>
      </c>
      <c r="V20" s="2" t="s">
        <v>2</v>
      </c>
      <c r="W20" s="2" t="s">
        <v>3</v>
      </c>
      <c r="X20" s="2" t="s">
        <v>11</v>
      </c>
      <c r="Z20" s="2" t="s">
        <v>3</v>
      </c>
      <c r="AA20" s="2" t="s">
        <v>14</v>
      </c>
      <c r="AB20" s="2" t="s">
        <v>7</v>
      </c>
      <c r="AC20" s="2" t="s">
        <v>6</v>
      </c>
      <c r="AD20" s="2" t="s">
        <v>12</v>
      </c>
      <c r="AE20" s="2" t="s">
        <v>2</v>
      </c>
      <c r="AF20" s="2" t="s">
        <v>13</v>
      </c>
      <c r="AJ20" s="2" t="s">
        <v>19</v>
      </c>
      <c r="AK20" s="2" t="s">
        <v>20</v>
      </c>
      <c r="AL20" s="2" t="s">
        <v>21</v>
      </c>
      <c r="AM20" s="2" t="s">
        <v>22</v>
      </c>
      <c r="AN20" s="2" t="s">
        <v>23</v>
      </c>
      <c r="AO20" s="2" t="s">
        <v>24</v>
      </c>
      <c r="AQ20" s="2" t="s">
        <v>33</v>
      </c>
      <c r="AR20" s="2">
        <f>4.25*10^-7</f>
        <v>4.2499999999999995E-7</v>
      </c>
    </row>
    <row r="21" spans="1:45" x14ac:dyDescent="0.3">
      <c r="B21" s="14" t="s">
        <v>9</v>
      </c>
      <c r="C21" s="2">
        <v>104</v>
      </c>
      <c r="D21" s="4">
        <v>1</v>
      </c>
      <c r="E21" s="2">
        <v>14</v>
      </c>
      <c r="F21" s="2">
        <f t="shared" ref="F21:F26" si="8">E21*9.8*0.2</f>
        <v>27.440000000000005</v>
      </c>
      <c r="G21" s="15">
        <v>2.559732986074915</v>
      </c>
      <c r="H21" s="2">
        <v>3</v>
      </c>
      <c r="I21" s="4">
        <v>0.1</v>
      </c>
      <c r="J21" s="2">
        <f>H21/C21</f>
        <v>2.8846153846153848E-2</v>
      </c>
      <c r="K21" s="2">
        <f>SQRT(D21^2*H21^2/C21^4+I21^2/D21^2)*J21</f>
        <v>2.8846264806099853E-3</v>
      </c>
      <c r="L21" s="2">
        <f>G21/F21</f>
        <v>9.3284729813225747E-2</v>
      </c>
      <c r="N21" s="2">
        <f>10.5+30+40+50</f>
        <v>130.5</v>
      </c>
      <c r="O21" s="4">
        <v>0.5</v>
      </c>
      <c r="P21" s="2">
        <v>255</v>
      </c>
      <c r="Q21" s="2">
        <f>9.8*0.2*P21</f>
        <v>499.80000000000007</v>
      </c>
      <c r="R21" s="4">
        <v>1.96</v>
      </c>
      <c r="S21" s="2">
        <f>P21/N21</f>
        <v>1.9540229885057472</v>
      </c>
      <c r="V21" s="2">
        <v>8</v>
      </c>
      <c r="W21" s="2">
        <v>94</v>
      </c>
      <c r="X21" s="2">
        <f>V21/W21</f>
        <v>8.5106382978723402E-2</v>
      </c>
      <c r="Z21" s="2">
        <v>104</v>
      </c>
      <c r="AA21" s="2">
        <v>1</v>
      </c>
      <c r="AB21" s="2">
        <v>14</v>
      </c>
      <c r="AC21" s="9">
        <v>27.440000000000005</v>
      </c>
      <c r="AD21" s="2">
        <v>1.9600000000000002</v>
      </c>
      <c r="AE21" s="2">
        <v>3</v>
      </c>
      <c r="AF21" s="10">
        <f>SQRT(0.01^2+(0.03*AE21)^2)</f>
        <v>9.0553851381374159E-2</v>
      </c>
      <c r="AJ21" s="2">
        <v>104</v>
      </c>
      <c r="AK21" s="2">
        <v>1</v>
      </c>
      <c r="AL21" s="9">
        <v>27.440000000000005</v>
      </c>
      <c r="AM21" s="7">
        <v>2.559732986074915</v>
      </c>
      <c r="AN21" s="2">
        <v>3</v>
      </c>
      <c r="AO21" s="10">
        <f>SQRT(0.01^2+(0.03*AN21)^2)</f>
        <v>9.0553851381374159E-2</v>
      </c>
      <c r="AQ21" s="2" t="s">
        <v>34</v>
      </c>
      <c r="AR21" s="2">
        <f>3.2*10^-8</f>
        <v>3.2000000000000002E-8</v>
      </c>
    </row>
    <row r="22" spans="1:45" x14ac:dyDescent="0.3">
      <c r="B22" s="14"/>
      <c r="C22" s="2">
        <v>107</v>
      </c>
      <c r="D22" s="4">
        <v>1</v>
      </c>
      <c r="E22" s="2">
        <v>19</v>
      </c>
      <c r="F22" s="2">
        <f t="shared" si="8"/>
        <v>37.24</v>
      </c>
      <c r="G22" s="15">
        <v>2.9722286856835227</v>
      </c>
      <c r="H22" s="2">
        <v>4</v>
      </c>
      <c r="I22" s="4">
        <v>0.1</v>
      </c>
      <c r="J22" s="2">
        <f>H22/C22</f>
        <v>3.7383177570093455E-2</v>
      </c>
      <c r="K22" s="2">
        <f t="shared" ref="K22:K34" si="9">SQRT(D22^2*H22^2/C22^4+I22^2/D22^2)*J22</f>
        <v>3.7383405724974658E-3</v>
      </c>
      <c r="L22" s="2">
        <f t="shared" ref="L22:L33" si="10">G22/F22</f>
        <v>7.9812800367441525E-2</v>
      </c>
      <c r="N22" s="2">
        <f>10.5+30+40</f>
        <v>80.5</v>
      </c>
      <c r="O22" s="4">
        <v>0.5</v>
      </c>
      <c r="P22" s="2">
        <v>180</v>
      </c>
      <c r="Q22" s="2">
        <f t="shared" ref="Q22:Q24" si="11">9.8*0.2*P22</f>
        <v>352.8</v>
      </c>
      <c r="R22" s="4">
        <v>1.96</v>
      </c>
      <c r="S22" s="2">
        <f t="shared" ref="S22:S24" si="12">P22/N22</f>
        <v>2.2360248447204967</v>
      </c>
      <c r="Z22" s="2">
        <v>107</v>
      </c>
      <c r="AA22" s="2">
        <v>1</v>
      </c>
      <c r="AB22" s="2">
        <v>19</v>
      </c>
      <c r="AC22" s="9">
        <v>37.24</v>
      </c>
      <c r="AD22" s="2">
        <v>1.9600000000000002</v>
      </c>
      <c r="AE22" s="2">
        <v>4</v>
      </c>
      <c r="AF22" s="10">
        <f t="shared" ref="AF22:AF34" si="13">SQRT(0.01^2+(0.03*AE22)^2)</f>
        <v>0.12041594578792295</v>
      </c>
      <c r="AJ22" s="2">
        <v>107</v>
      </c>
      <c r="AK22" s="2">
        <v>1</v>
      </c>
      <c r="AL22" s="9">
        <v>37.24</v>
      </c>
      <c r="AM22" s="7">
        <v>2.9722286856835227</v>
      </c>
      <c r="AN22" s="2">
        <v>4</v>
      </c>
      <c r="AO22" s="10">
        <f t="shared" ref="AO22:AO34" si="14">SQRT(0.01^2+(0.03*AN22)^2)</f>
        <v>0.12041594578792295</v>
      </c>
      <c r="AQ22" s="2" t="s">
        <v>36</v>
      </c>
      <c r="AR22" s="17">
        <f>AR21/AR20</f>
        <v>7.5294117647058831E-2</v>
      </c>
      <c r="AS22" s="18">
        <f>AR22</f>
        <v>7.5294117647058831E-2</v>
      </c>
    </row>
    <row r="23" spans="1:45" x14ac:dyDescent="0.3">
      <c r="B23" s="14"/>
      <c r="C23" s="2">
        <v>99</v>
      </c>
      <c r="D23" s="4">
        <v>1</v>
      </c>
      <c r="E23" s="2">
        <v>30</v>
      </c>
      <c r="F23" s="2">
        <f t="shared" si="8"/>
        <v>58.800000000000004</v>
      </c>
      <c r="G23" s="15">
        <v>4.035887015266904</v>
      </c>
      <c r="H23" s="2">
        <v>4</v>
      </c>
      <c r="I23" s="4">
        <v>0.1</v>
      </c>
      <c r="J23" s="2">
        <f>H23/C23</f>
        <v>4.0404040404040407E-2</v>
      </c>
      <c r="K23" s="2">
        <f t="shared" si="9"/>
        <v>4.0404376894067348E-3</v>
      </c>
      <c r="L23" s="2">
        <f t="shared" si="10"/>
        <v>6.8637534273246661E-2</v>
      </c>
      <c r="N23" s="1">
        <f>10.5+30</f>
        <v>40.5</v>
      </c>
      <c r="O23" s="4">
        <v>0.5</v>
      </c>
      <c r="P23" s="2">
        <v>120</v>
      </c>
      <c r="Q23" s="2">
        <f t="shared" si="11"/>
        <v>235.20000000000002</v>
      </c>
      <c r="R23" s="4">
        <v>1.96</v>
      </c>
      <c r="S23" s="2">
        <f t="shared" si="12"/>
        <v>2.9629629629629628</v>
      </c>
      <c r="Z23" s="2">
        <v>99</v>
      </c>
      <c r="AA23" s="2">
        <v>1</v>
      </c>
      <c r="AB23" s="2">
        <v>30</v>
      </c>
      <c r="AC23" s="9">
        <v>58.800000000000004</v>
      </c>
      <c r="AD23" s="2">
        <v>1.9600000000000002</v>
      </c>
      <c r="AE23" s="2">
        <v>4</v>
      </c>
      <c r="AF23" s="10">
        <f t="shared" si="13"/>
        <v>0.12041594578792295</v>
      </c>
      <c r="AJ23" s="2">
        <v>99</v>
      </c>
      <c r="AK23" s="2">
        <v>1</v>
      </c>
      <c r="AL23" s="9">
        <v>58.800000000000004</v>
      </c>
      <c r="AM23" s="7">
        <v>4.035887015266904</v>
      </c>
      <c r="AN23" s="2">
        <v>4</v>
      </c>
      <c r="AO23" s="10">
        <f t="shared" si="14"/>
        <v>0.12041594578792295</v>
      </c>
    </row>
    <row r="24" spans="1:45" ht="15" customHeight="1" x14ac:dyDescent="0.3">
      <c r="B24" s="14"/>
      <c r="C24" s="2">
        <v>103</v>
      </c>
      <c r="D24" s="4">
        <v>1</v>
      </c>
      <c r="E24" s="2">
        <v>35</v>
      </c>
      <c r="F24" s="2">
        <f t="shared" si="8"/>
        <v>68.600000000000009</v>
      </c>
      <c r="G24" s="15">
        <v>4.5588437130482991</v>
      </c>
      <c r="H24" s="2">
        <v>5</v>
      </c>
      <c r="I24" s="4">
        <v>0.1</v>
      </c>
      <c r="J24" s="2">
        <f>H24/C24</f>
        <v>4.8543689320388349E-2</v>
      </c>
      <c r="K24" s="2">
        <f t="shared" si="9"/>
        <v>4.8544228447884811E-3</v>
      </c>
      <c r="L24" s="2">
        <f t="shared" si="10"/>
        <v>6.6455447712074317E-2</v>
      </c>
      <c r="N24" s="1">
        <f>10.5</f>
        <v>10.5</v>
      </c>
      <c r="O24" s="4">
        <v>0.5</v>
      </c>
      <c r="P24" s="2">
        <v>65</v>
      </c>
      <c r="Q24" s="2">
        <f t="shared" si="11"/>
        <v>127.4</v>
      </c>
      <c r="R24" s="4">
        <v>1.96</v>
      </c>
      <c r="S24" s="2">
        <f t="shared" si="12"/>
        <v>6.1904761904761907</v>
      </c>
      <c r="Z24" s="2">
        <v>103</v>
      </c>
      <c r="AA24" s="2">
        <v>1</v>
      </c>
      <c r="AB24" s="2">
        <v>35</v>
      </c>
      <c r="AC24" s="9">
        <v>68.600000000000009</v>
      </c>
      <c r="AD24" s="2">
        <v>1.9600000000000002</v>
      </c>
      <c r="AE24" s="2">
        <v>5</v>
      </c>
      <c r="AF24" s="10">
        <f t="shared" si="13"/>
        <v>0.15033296378372907</v>
      </c>
      <c r="AJ24" s="2">
        <v>103</v>
      </c>
      <c r="AK24" s="2">
        <v>1</v>
      </c>
      <c r="AL24" s="9">
        <v>68.600000000000009</v>
      </c>
      <c r="AM24" s="7">
        <v>4.5588437130482991</v>
      </c>
      <c r="AN24" s="2">
        <v>5</v>
      </c>
      <c r="AO24" s="10">
        <f t="shared" si="14"/>
        <v>0.15033296378372907</v>
      </c>
      <c r="AQ24" s="2" t="s">
        <v>37</v>
      </c>
      <c r="AR24" s="2">
        <f>3.14*AR25^4/(8*AR26*AR20)</f>
        <v>2.1693965624999991E-5</v>
      </c>
    </row>
    <row r="25" spans="1:45" x14ac:dyDescent="0.3">
      <c r="B25" s="14"/>
      <c r="C25" s="2">
        <v>113</v>
      </c>
      <c r="D25" s="4">
        <v>1</v>
      </c>
      <c r="E25" s="2">
        <v>41</v>
      </c>
      <c r="F25" s="2">
        <f t="shared" si="8"/>
        <v>80.360000000000014</v>
      </c>
      <c r="G25" s="15">
        <v>5.2047503840241953</v>
      </c>
      <c r="H25" s="2">
        <v>6</v>
      </c>
      <c r="I25" s="4">
        <v>0.1</v>
      </c>
      <c r="J25" s="2">
        <f>H25/C25</f>
        <v>5.3097345132743362E-2</v>
      </c>
      <c r="K25" s="2">
        <f t="shared" si="9"/>
        <v>5.3097931310238647E-3</v>
      </c>
      <c r="L25" s="2">
        <f t="shared" si="10"/>
        <v>6.4767924141664934E-2</v>
      </c>
      <c r="N25" s="1"/>
      <c r="O25" s="1"/>
      <c r="Z25" s="2">
        <v>113</v>
      </c>
      <c r="AA25" s="2">
        <v>1</v>
      </c>
      <c r="AB25" s="2">
        <v>41</v>
      </c>
      <c r="AC25" s="9">
        <v>80.360000000000014</v>
      </c>
      <c r="AD25" s="2">
        <v>1.9600000000000002</v>
      </c>
      <c r="AE25" s="2">
        <v>6</v>
      </c>
      <c r="AF25" s="10">
        <f t="shared" si="13"/>
        <v>0.18027756377319948</v>
      </c>
      <c r="AJ25" s="2">
        <v>113</v>
      </c>
      <c r="AK25" s="2">
        <v>1</v>
      </c>
      <c r="AL25" s="9">
        <v>80.360000000000014</v>
      </c>
      <c r="AM25" s="7">
        <v>5.2047503840241953</v>
      </c>
      <c r="AN25" s="2">
        <v>6</v>
      </c>
      <c r="AO25" s="10">
        <f t="shared" si="14"/>
        <v>0.18027756377319948</v>
      </c>
      <c r="AQ25" s="2" t="s">
        <v>38</v>
      </c>
      <c r="AR25" s="2">
        <f>A19/2*10^-3</f>
        <v>2.5499999999999997E-3</v>
      </c>
    </row>
    <row r="26" spans="1:45" x14ac:dyDescent="0.3">
      <c r="B26" s="12" t="s">
        <v>8</v>
      </c>
      <c r="C26" s="2">
        <v>116</v>
      </c>
      <c r="D26" s="4">
        <v>1</v>
      </c>
      <c r="E26" s="2">
        <v>49</v>
      </c>
      <c r="F26" s="2">
        <f t="shared" si="8"/>
        <v>96.04000000000002</v>
      </c>
      <c r="G26" s="15">
        <v>6.0866126671573255</v>
      </c>
      <c r="H26" s="2">
        <v>7</v>
      </c>
      <c r="I26" s="4">
        <v>0.1</v>
      </c>
      <c r="J26" s="2">
        <f>H26/C26</f>
        <v>6.0344827586206899E-2</v>
      </c>
      <c r="K26" s="2">
        <f t="shared" si="9"/>
        <v>6.0345644114504103E-3</v>
      </c>
      <c r="L26" s="2">
        <f t="shared" si="10"/>
        <v>6.3375808695932151E-2</v>
      </c>
      <c r="N26" s="2" t="s">
        <v>25</v>
      </c>
      <c r="O26" s="2" t="s">
        <v>26</v>
      </c>
      <c r="P26" s="2" t="s">
        <v>21</v>
      </c>
      <c r="Q26" s="2" t="s">
        <v>27</v>
      </c>
      <c r="Z26" s="2">
        <v>116</v>
      </c>
      <c r="AA26" s="2">
        <v>1</v>
      </c>
      <c r="AB26" s="2">
        <v>49</v>
      </c>
      <c r="AC26" s="9">
        <v>96.04000000000002</v>
      </c>
      <c r="AD26" s="2">
        <v>1.9600000000000002</v>
      </c>
      <c r="AE26" s="2">
        <v>7</v>
      </c>
      <c r="AF26" s="10">
        <f t="shared" si="13"/>
        <v>0.21023796041628637</v>
      </c>
      <c r="AJ26" s="2">
        <v>116</v>
      </c>
      <c r="AK26" s="2">
        <v>1</v>
      </c>
      <c r="AL26" s="9">
        <v>96.04000000000002</v>
      </c>
      <c r="AM26" s="7">
        <v>6.0866126671573255</v>
      </c>
      <c r="AN26" s="2">
        <v>7</v>
      </c>
      <c r="AO26" s="10">
        <f t="shared" si="14"/>
        <v>0.21023796041628637</v>
      </c>
      <c r="AQ26" s="2" t="s">
        <v>39</v>
      </c>
      <c r="AR26" s="2">
        <v>1.8</v>
      </c>
    </row>
    <row r="27" spans="1:45" x14ac:dyDescent="0.3">
      <c r="B27" s="12"/>
      <c r="C27" s="2">
        <v>109</v>
      </c>
      <c r="D27" s="4">
        <v>1</v>
      </c>
      <c r="E27" s="2">
        <v>62</v>
      </c>
      <c r="F27" s="2">
        <f t="shared" ref="F27:F34" si="15">E27*9.8*0.2</f>
        <v>121.52000000000001</v>
      </c>
      <c r="G27" s="15">
        <v>7.5500461879381904</v>
      </c>
      <c r="H27" s="2">
        <v>8</v>
      </c>
      <c r="I27" s="4">
        <v>0.1</v>
      </c>
      <c r="J27" s="2">
        <f>H27/C27</f>
        <v>7.3394495412844041E-2</v>
      </c>
      <c r="K27" s="2">
        <f t="shared" si="9"/>
        <v>7.339615921833428E-3</v>
      </c>
      <c r="L27" s="2">
        <f t="shared" si="10"/>
        <v>6.2130070670985763E-2</v>
      </c>
      <c r="N27" s="6">
        <f>10.5+30+40+50</f>
        <v>130.5</v>
      </c>
      <c r="O27" s="6">
        <v>0.5</v>
      </c>
      <c r="P27" s="7">
        <v>305</v>
      </c>
      <c r="Q27" s="7">
        <f>$L$35*P27</f>
        <v>20.105698592734878</v>
      </c>
      <c r="Z27" s="2">
        <v>109</v>
      </c>
      <c r="AA27" s="2">
        <v>1</v>
      </c>
      <c r="AB27" s="2">
        <v>62</v>
      </c>
      <c r="AC27" s="9">
        <v>121.52000000000001</v>
      </c>
      <c r="AD27" s="2">
        <v>1.9600000000000002</v>
      </c>
      <c r="AE27" s="2">
        <v>8</v>
      </c>
      <c r="AF27" s="10">
        <f t="shared" si="13"/>
        <v>0.24020824298928628</v>
      </c>
      <c r="AJ27" s="2">
        <v>109</v>
      </c>
      <c r="AK27" s="2">
        <v>1</v>
      </c>
      <c r="AL27" s="9">
        <v>121.52000000000001</v>
      </c>
      <c r="AM27" s="7">
        <v>7.5500461879381904</v>
      </c>
      <c r="AN27" s="2">
        <v>8</v>
      </c>
      <c r="AO27" s="10">
        <f t="shared" si="14"/>
        <v>0.24020824298928628</v>
      </c>
      <c r="AQ27" s="2" t="s">
        <v>36</v>
      </c>
      <c r="AR27" s="17">
        <f>SQRT(16*0.0005^2+0.005^2+AS22^2)</f>
        <v>7.5486450123509824E-2</v>
      </c>
    </row>
    <row r="28" spans="1:45" x14ac:dyDescent="0.3">
      <c r="B28" s="12"/>
      <c r="C28" s="2">
        <v>104</v>
      </c>
      <c r="D28" s="4">
        <v>1</v>
      </c>
      <c r="E28" s="2">
        <v>75</v>
      </c>
      <c r="F28" s="2">
        <f t="shared" si="15"/>
        <v>147</v>
      </c>
      <c r="G28" s="15">
        <v>9.0351535681470292</v>
      </c>
      <c r="H28" s="2">
        <v>9</v>
      </c>
      <c r="I28" s="4">
        <v>0.1</v>
      </c>
      <c r="J28" s="2">
        <f>H28/C28</f>
        <v>8.6538461538461536E-2</v>
      </c>
      <c r="K28" s="2">
        <f t="shared" si="9"/>
        <v>8.654145741090866E-3</v>
      </c>
      <c r="L28" s="2">
        <f t="shared" si="10"/>
        <v>6.1463629715285913E-2</v>
      </c>
      <c r="N28" s="6">
        <f>10.5+30+40</f>
        <v>80.5</v>
      </c>
      <c r="O28" s="6">
        <v>0.5</v>
      </c>
      <c r="P28" s="7">
        <v>219</v>
      </c>
      <c r="Q28" s="7">
        <f t="shared" ref="Q28:Q30" si="16">$L$35*P28</f>
        <v>14.43655079281619</v>
      </c>
      <c r="Z28" s="2">
        <v>104</v>
      </c>
      <c r="AA28" s="2">
        <v>1</v>
      </c>
      <c r="AB28" s="2">
        <v>75</v>
      </c>
      <c r="AC28" s="9">
        <v>147</v>
      </c>
      <c r="AD28" s="2">
        <v>1.9600000000000002</v>
      </c>
      <c r="AE28" s="2">
        <v>9</v>
      </c>
      <c r="AF28" s="10">
        <f t="shared" si="13"/>
        <v>0.27018512172212594</v>
      </c>
      <c r="AJ28" s="2">
        <v>104</v>
      </c>
      <c r="AK28" s="2">
        <v>1</v>
      </c>
      <c r="AL28" s="9">
        <v>147</v>
      </c>
      <c r="AM28" s="7">
        <v>9.0351535681470292</v>
      </c>
      <c r="AN28" s="2">
        <v>9</v>
      </c>
      <c r="AO28" s="10">
        <f t="shared" si="14"/>
        <v>0.27018512172212594</v>
      </c>
      <c r="AQ28" s="2" t="s">
        <v>35</v>
      </c>
      <c r="AR28" s="2">
        <f>AR27*AR24</f>
        <v>1.6376004541326985E-6</v>
      </c>
    </row>
    <row r="29" spans="1:45" x14ac:dyDescent="0.3">
      <c r="B29" s="12"/>
      <c r="C29" s="2">
        <v>113</v>
      </c>
      <c r="D29" s="4">
        <v>1</v>
      </c>
      <c r="E29" s="2">
        <v>90</v>
      </c>
      <c r="F29" s="2">
        <f t="shared" si="15"/>
        <v>176.40000000000003</v>
      </c>
      <c r="G29" s="15">
        <v>10.763951690712851</v>
      </c>
      <c r="H29" s="2">
        <v>11</v>
      </c>
      <c r="I29" s="4">
        <v>0.1</v>
      </c>
      <c r="J29" s="2">
        <f>H29/C29</f>
        <v>9.7345132743362831E-2</v>
      </c>
      <c r="K29" s="2">
        <f t="shared" si="9"/>
        <v>9.734874474372511E-3</v>
      </c>
      <c r="L29" s="2">
        <f t="shared" si="10"/>
        <v>6.1020134301093244E-2</v>
      </c>
      <c r="N29" s="11">
        <f>10.5+30</f>
        <v>40.5</v>
      </c>
      <c r="O29" s="6">
        <v>0.5</v>
      </c>
      <c r="P29" s="7">
        <v>152</v>
      </c>
      <c r="Q29" s="7">
        <f t="shared" si="16"/>
        <v>10.019889134740005</v>
      </c>
      <c r="Z29" s="2">
        <v>113</v>
      </c>
      <c r="AA29" s="2">
        <v>1</v>
      </c>
      <c r="AB29" s="2">
        <v>90</v>
      </c>
      <c r="AC29" s="9">
        <v>176.40000000000003</v>
      </c>
      <c r="AD29" s="2">
        <v>1.9600000000000002</v>
      </c>
      <c r="AE29" s="2">
        <v>11</v>
      </c>
      <c r="AF29" s="10">
        <f t="shared" si="13"/>
        <v>0.33015148038438352</v>
      </c>
      <c r="AJ29" s="2">
        <v>113</v>
      </c>
      <c r="AK29" s="2">
        <v>1</v>
      </c>
      <c r="AL29" s="9">
        <v>176.40000000000003</v>
      </c>
      <c r="AM29" s="7">
        <v>10.763951690712851</v>
      </c>
      <c r="AN29" s="2">
        <v>11</v>
      </c>
      <c r="AO29" s="10">
        <f t="shared" si="14"/>
        <v>0.33015148038438352</v>
      </c>
    </row>
    <row r="30" spans="1:45" x14ac:dyDescent="0.3">
      <c r="B30" s="12"/>
      <c r="C30" s="2">
        <v>107</v>
      </c>
      <c r="D30" s="4">
        <v>1</v>
      </c>
      <c r="E30" s="2">
        <v>107</v>
      </c>
      <c r="F30" s="2">
        <f t="shared" si="15"/>
        <v>209.72000000000003</v>
      </c>
      <c r="G30" s="15">
        <v>12.734933146271324</v>
      </c>
      <c r="H30" s="2">
        <v>12</v>
      </c>
      <c r="I30" s="4">
        <v>0.1</v>
      </c>
      <c r="J30" s="2">
        <f>H30/C30</f>
        <v>0.11214953271028037</v>
      </c>
      <c r="K30" s="2">
        <f t="shared" si="9"/>
        <v>1.1215569274169526E-2</v>
      </c>
      <c r="L30" s="2">
        <f t="shared" si="10"/>
        <v>6.0723503463052268E-2</v>
      </c>
      <c r="N30" s="11">
        <f>10.5</f>
        <v>10.5</v>
      </c>
      <c r="O30" s="6">
        <v>0.5</v>
      </c>
      <c r="P30" s="7">
        <v>85</v>
      </c>
      <c r="Q30" s="7">
        <f t="shared" si="16"/>
        <v>5.6032274766638182</v>
      </c>
      <c r="Z30" s="2">
        <v>107</v>
      </c>
      <c r="AA30" s="2">
        <v>1</v>
      </c>
      <c r="AB30" s="2">
        <v>107</v>
      </c>
      <c r="AC30" s="9">
        <v>209.72000000000003</v>
      </c>
      <c r="AD30" s="2">
        <v>1.9600000000000002</v>
      </c>
      <c r="AE30" s="2">
        <v>12</v>
      </c>
      <c r="AF30" s="10">
        <f t="shared" si="13"/>
        <v>0.36013886210738211</v>
      </c>
      <c r="AJ30" s="2">
        <v>107</v>
      </c>
      <c r="AK30" s="2">
        <v>1</v>
      </c>
      <c r="AL30" s="9">
        <v>209.72000000000003</v>
      </c>
      <c r="AM30" s="7">
        <v>12.734933146271324</v>
      </c>
      <c r="AN30" s="2">
        <v>12</v>
      </c>
      <c r="AO30" s="10">
        <f t="shared" si="14"/>
        <v>0.36013886210738211</v>
      </c>
      <c r="AQ30" s="2" t="s">
        <v>42</v>
      </c>
      <c r="AR30" s="2">
        <f>J25</f>
        <v>5.3097345132743362E-2</v>
      </c>
    </row>
    <row r="31" spans="1:45" x14ac:dyDescent="0.3">
      <c r="B31" s="12"/>
      <c r="C31" s="2">
        <v>100</v>
      </c>
      <c r="D31" s="4">
        <v>1</v>
      </c>
      <c r="E31" s="2">
        <v>140</v>
      </c>
      <c r="F31" s="2">
        <f t="shared" si="15"/>
        <v>274.40000000000003</v>
      </c>
      <c r="G31" s="15">
        <v>16.580256210324379</v>
      </c>
      <c r="H31" s="2">
        <v>12</v>
      </c>
      <c r="I31" s="4">
        <v>0.1</v>
      </c>
      <c r="J31" s="2">
        <f>H31/C31</f>
        <v>0.12</v>
      </c>
      <c r="K31" s="2">
        <f t="shared" si="9"/>
        <v>1.200086396889824E-2</v>
      </c>
      <c r="L31" s="2">
        <f t="shared" si="10"/>
        <v>6.042367423587601E-2</v>
      </c>
      <c r="Q31" s="9">
        <f>AVERAGE(Q27:Q30)</f>
        <v>12.541341499238722</v>
      </c>
      <c r="Z31" s="2">
        <v>100</v>
      </c>
      <c r="AA31" s="2">
        <v>1</v>
      </c>
      <c r="AB31" s="2">
        <v>140</v>
      </c>
      <c r="AC31" s="9">
        <v>274.40000000000003</v>
      </c>
      <c r="AD31" s="2">
        <v>1.9600000000000002</v>
      </c>
      <c r="AE31" s="2">
        <v>12</v>
      </c>
      <c r="AF31" s="10">
        <f t="shared" si="13"/>
        <v>0.36013886210738211</v>
      </c>
      <c r="AJ31" s="2">
        <v>100</v>
      </c>
      <c r="AK31" s="2">
        <v>1</v>
      </c>
      <c r="AL31" s="9">
        <v>274.40000000000003</v>
      </c>
      <c r="AM31" s="7">
        <v>16.580256210324379</v>
      </c>
      <c r="AN31" s="2">
        <v>12</v>
      </c>
      <c r="AO31" s="10">
        <f t="shared" si="14"/>
        <v>0.36013886210738211</v>
      </c>
      <c r="AQ31" s="2" t="s">
        <v>40</v>
      </c>
      <c r="AR31" s="2">
        <f>AR30/(3.14*AR25^2)*10^(-3)</f>
        <v>2.6005355672974075</v>
      </c>
    </row>
    <row r="32" spans="1:45" x14ac:dyDescent="0.3">
      <c r="B32" s="12"/>
      <c r="C32" s="3">
        <v>98</v>
      </c>
      <c r="D32" s="4">
        <v>1</v>
      </c>
      <c r="E32" s="3">
        <v>160</v>
      </c>
      <c r="F32" s="3">
        <f t="shared" si="15"/>
        <v>313.60000000000002</v>
      </c>
      <c r="G32" s="15">
        <v>18.917807906837407</v>
      </c>
      <c r="H32" s="3">
        <v>12</v>
      </c>
      <c r="I32" s="4">
        <v>0.1</v>
      </c>
      <c r="J32" s="2">
        <f>H32/C32</f>
        <v>0.12244897959183673</v>
      </c>
      <c r="K32" s="2">
        <f t="shared" si="9"/>
        <v>1.2245853757837492E-2</v>
      </c>
      <c r="L32" s="2">
        <f t="shared" si="10"/>
        <v>6.032464256006826E-2</v>
      </c>
      <c r="Z32" s="2">
        <v>98</v>
      </c>
      <c r="AA32" s="2">
        <v>1</v>
      </c>
      <c r="AB32" s="2">
        <v>160</v>
      </c>
      <c r="AC32" s="9">
        <v>313.60000000000002</v>
      </c>
      <c r="AD32" s="2">
        <v>1.9600000000000002</v>
      </c>
      <c r="AE32" s="2">
        <v>12</v>
      </c>
      <c r="AF32" s="10">
        <f t="shared" si="13"/>
        <v>0.36013886210738211</v>
      </c>
      <c r="AJ32" s="2">
        <v>98</v>
      </c>
      <c r="AK32" s="2">
        <v>1</v>
      </c>
      <c r="AL32" s="9">
        <v>313.60000000000002</v>
      </c>
      <c r="AM32" s="7">
        <v>18.917807906837407</v>
      </c>
      <c r="AN32" s="2">
        <v>12</v>
      </c>
      <c r="AO32" s="10">
        <f t="shared" si="14"/>
        <v>0.36013886210738211</v>
      </c>
    </row>
    <row r="33" spans="2:44" x14ac:dyDescent="0.3">
      <c r="B33" s="12"/>
      <c r="C33" s="3">
        <v>112</v>
      </c>
      <c r="D33" s="4">
        <v>1</v>
      </c>
      <c r="E33" s="3">
        <v>180</v>
      </c>
      <c r="F33" s="3">
        <f t="shared" si="15"/>
        <v>352.80000000000007</v>
      </c>
      <c r="G33" s="15">
        <v>21.258547081115402</v>
      </c>
      <c r="H33" s="3">
        <v>16</v>
      </c>
      <c r="I33" s="4">
        <v>0.1</v>
      </c>
      <c r="J33" s="2">
        <f>H33/C33</f>
        <v>0.14285714285714285</v>
      </c>
      <c r="K33" s="2">
        <f t="shared" si="9"/>
        <v>1.4286876328652765E-2</v>
      </c>
      <c r="L33" s="2">
        <f t="shared" si="10"/>
        <v>6.0256652724249994E-2</v>
      </c>
      <c r="Z33" s="2">
        <v>112</v>
      </c>
      <c r="AA33" s="2">
        <v>1</v>
      </c>
      <c r="AB33" s="2">
        <v>180</v>
      </c>
      <c r="AC33" s="9">
        <v>352.80000000000007</v>
      </c>
      <c r="AD33" s="2">
        <v>1.9600000000000002</v>
      </c>
      <c r="AE33" s="2">
        <v>16</v>
      </c>
      <c r="AF33" s="10">
        <f t="shared" si="13"/>
        <v>0.48010415536631212</v>
      </c>
      <c r="AJ33" s="2">
        <v>112</v>
      </c>
      <c r="AK33" s="2">
        <v>1</v>
      </c>
      <c r="AL33" s="9">
        <v>352.80000000000007</v>
      </c>
      <c r="AM33" s="7">
        <v>21.258547081115402</v>
      </c>
      <c r="AN33" s="2">
        <v>16</v>
      </c>
      <c r="AO33" s="10">
        <f t="shared" si="14"/>
        <v>0.48010415536631212</v>
      </c>
      <c r="AQ33" s="2" t="s">
        <v>41</v>
      </c>
      <c r="AR33" s="2">
        <f>AR31*1.2*1.8*10^(-2)/AR24</f>
        <v>2589.2715617144813</v>
      </c>
    </row>
    <row r="34" spans="2:44" x14ac:dyDescent="0.3">
      <c r="B34" s="12"/>
      <c r="C34" s="3">
        <v>103</v>
      </c>
      <c r="D34" s="4">
        <v>1</v>
      </c>
      <c r="E34" s="3">
        <v>200</v>
      </c>
      <c r="F34" s="3">
        <f t="shared" si="15"/>
        <v>392.00000000000006</v>
      </c>
      <c r="G34" s="15">
        <v>23.601525374432903</v>
      </c>
      <c r="H34" s="3">
        <v>17</v>
      </c>
      <c r="I34" s="4">
        <v>0.1</v>
      </c>
      <c r="J34" s="2">
        <f>H34/C34</f>
        <v>0.1650485436893204</v>
      </c>
      <c r="K34" s="2">
        <f t="shared" si="9"/>
        <v>1.6506973231403071E-2</v>
      </c>
      <c r="L34" s="2">
        <f>G34/F34</f>
        <v>6.020797289396148E-2</v>
      </c>
      <c r="Z34" s="2">
        <v>103</v>
      </c>
      <c r="AA34" s="2">
        <v>1</v>
      </c>
      <c r="AB34" s="2">
        <v>200</v>
      </c>
      <c r="AC34" s="9">
        <v>392.00000000000006</v>
      </c>
      <c r="AD34" s="2">
        <v>1.9600000000000002</v>
      </c>
      <c r="AE34" s="2">
        <v>17</v>
      </c>
      <c r="AF34" s="10">
        <f t="shared" si="13"/>
        <v>0.51009802979427399</v>
      </c>
      <c r="AJ34" s="2">
        <v>103</v>
      </c>
      <c r="AK34" s="2">
        <v>1</v>
      </c>
      <c r="AL34" s="9">
        <v>392.00000000000006</v>
      </c>
      <c r="AM34" s="7">
        <v>23.601525374432903</v>
      </c>
      <c r="AN34" s="2">
        <v>17</v>
      </c>
      <c r="AO34" s="10">
        <f t="shared" si="14"/>
        <v>0.51009802979427399</v>
      </c>
    </row>
    <row r="35" spans="2:44" x14ac:dyDescent="0.3">
      <c r="J35" s="2">
        <f>AVERAGE(J21:J34)</f>
        <v>8.4885823028776786E-2</v>
      </c>
      <c r="L35" s="2">
        <f>AVERAGE(L21:L34)</f>
        <v>6.5920323254868449E-2</v>
      </c>
      <c r="AJ35" s="16" t="s">
        <v>32</v>
      </c>
      <c r="AM35" s="9"/>
    </row>
    <row r="36" spans="2:44" x14ac:dyDescent="0.3">
      <c r="AJ36" s="2" t="s">
        <v>31</v>
      </c>
    </row>
  </sheetData>
  <mergeCells count="4">
    <mergeCell ref="B10:B16"/>
    <mergeCell ref="B4:B9"/>
    <mergeCell ref="B21:B25"/>
    <mergeCell ref="B26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2021-04-05T19:48:03Z</dcterms:modified>
</cp:coreProperties>
</file>