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ipt\phys\lab131\"/>
    </mc:Choice>
  </mc:AlternateContent>
  <bookViews>
    <workbookView xWindow="0" yWindow="0" windowWidth="17256" windowHeight="51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19" i="1"/>
  <c r="E13" i="1"/>
  <c r="E14" i="1"/>
  <c r="E15" i="1"/>
  <c r="E16" i="1"/>
  <c r="E17" i="1"/>
  <c r="E12" i="1"/>
  <c r="AF48" i="1"/>
  <c r="AF49" i="1"/>
  <c r="AF50" i="1"/>
  <c r="AF47" i="1"/>
  <c r="AE53" i="1"/>
  <c r="AE54" i="1"/>
  <c r="AE55" i="1"/>
  <c r="AE52" i="1"/>
  <c r="AD53" i="1"/>
  <c r="AD54" i="1"/>
  <c r="AD55" i="1"/>
  <c r="AD52" i="1"/>
  <c r="AC53" i="1"/>
  <c r="AC54" i="1"/>
  <c r="AC55" i="1"/>
  <c r="AC52" i="1"/>
  <c r="AB53" i="1"/>
  <c r="AB54" i="1"/>
  <c r="AB55" i="1"/>
  <c r="AB52" i="1"/>
  <c r="AE48" i="1"/>
  <c r="AE49" i="1"/>
  <c r="AE50" i="1"/>
  <c r="AE47" i="1"/>
  <c r="AD48" i="1"/>
  <c r="AD49" i="1"/>
  <c r="AD50" i="1"/>
  <c r="AD47" i="1"/>
  <c r="AC48" i="1"/>
  <c r="AC49" i="1"/>
  <c r="AC50" i="1"/>
  <c r="AC47" i="1"/>
  <c r="AB48" i="1"/>
  <c r="AB49" i="1"/>
  <c r="AB50" i="1"/>
  <c r="AB47" i="1"/>
  <c r="AE62" i="1"/>
  <c r="AE51" i="1"/>
  <c r="AE60" i="1" s="1"/>
  <c r="AF60" i="1" s="1"/>
  <c r="AD51" i="1"/>
  <c r="AC51" i="1"/>
  <c r="AB51" i="1"/>
  <c r="AE57" i="1" s="1"/>
  <c r="AF26" i="1"/>
  <c r="AE26" i="1"/>
  <c r="AD26" i="1"/>
  <c r="AC26" i="1"/>
  <c r="AF25" i="1"/>
  <c r="AE25" i="1"/>
  <c r="AD25" i="1"/>
  <c r="AC25" i="1"/>
  <c r="AF24" i="1"/>
  <c r="AE24" i="1"/>
  <c r="AD24" i="1"/>
  <c r="AC24" i="1"/>
  <c r="AF23" i="1"/>
  <c r="AF31" i="1" s="1"/>
  <c r="AF36" i="1" s="1"/>
  <c r="AE23" i="1"/>
  <c r="AE31" i="1" s="1"/>
  <c r="AE36" i="1" s="1"/>
  <c r="AD23" i="1"/>
  <c r="AD31" i="1" s="1"/>
  <c r="AD36" i="1" s="1"/>
  <c r="AC23" i="1"/>
  <c r="AC31" i="1" s="1"/>
  <c r="AC36" i="1" s="1"/>
  <c r="AF22" i="1"/>
  <c r="AF30" i="1" s="1"/>
  <c r="AF35" i="1" s="1"/>
  <c r="AE22" i="1"/>
  <c r="AE30" i="1" s="1"/>
  <c r="AE35" i="1" s="1"/>
  <c r="AD22" i="1"/>
  <c r="AD30" i="1" s="1"/>
  <c r="AD35" i="1" s="1"/>
  <c r="AC22" i="1"/>
  <c r="AC30" i="1" s="1"/>
  <c r="AC35" i="1" s="1"/>
  <c r="AF21" i="1"/>
  <c r="AF29" i="1" s="1"/>
  <c r="AF34" i="1" s="1"/>
  <c r="AE21" i="1"/>
  <c r="AE29" i="1" s="1"/>
  <c r="AE34" i="1" s="1"/>
  <c r="AD21" i="1"/>
  <c r="AD29" i="1" s="1"/>
  <c r="AD34" i="1" s="1"/>
  <c r="AC21" i="1"/>
  <c r="AC29" i="1" s="1"/>
  <c r="AC34" i="1" s="1"/>
  <c r="AF20" i="1"/>
  <c r="AF28" i="1" s="1"/>
  <c r="AF33" i="1" s="1"/>
  <c r="AE20" i="1"/>
  <c r="AE28" i="1" s="1"/>
  <c r="AE33" i="1" s="1"/>
  <c r="AD20" i="1"/>
  <c r="AD28" i="1" s="1"/>
  <c r="AD33" i="1" s="1"/>
  <c r="AC20" i="1"/>
  <c r="AC28" i="1" s="1"/>
  <c r="AC33" i="1" s="1"/>
  <c r="W55" i="1"/>
  <c r="W54" i="1"/>
  <c r="W53" i="1"/>
  <c r="W52" i="1"/>
  <c r="W60" i="1"/>
  <c r="X48" i="1"/>
  <c r="X49" i="1"/>
  <c r="X50" i="1"/>
  <c r="X47" i="1"/>
  <c r="W48" i="1"/>
  <c r="W49" i="1"/>
  <c r="W50" i="1"/>
  <c r="W47" i="1"/>
  <c r="V48" i="1"/>
  <c r="V49" i="1"/>
  <c r="V50" i="1"/>
  <c r="V47" i="1"/>
  <c r="V53" i="1"/>
  <c r="V54" i="1"/>
  <c r="V55" i="1"/>
  <c r="V52" i="1"/>
  <c r="U53" i="1"/>
  <c r="U54" i="1"/>
  <c r="U55" i="1"/>
  <c r="U52" i="1"/>
  <c r="U48" i="1"/>
  <c r="U49" i="1"/>
  <c r="U50" i="1"/>
  <c r="U47" i="1"/>
  <c r="T53" i="1"/>
  <c r="T54" i="1"/>
  <c r="T55" i="1"/>
  <c r="T52" i="1"/>
  <c r="T48" i="1"/>
  <c r="T49" i="1"/>
  <c r="T50" i="1"/>
  <c r="T47" i="1"/>
  <c r="W62" i="1"/>
  <c r="S41" i="1" s="1"/>
  <c r="W51" i="1"/>
  <c r="X60" i="1" s="1"/>
  <c r="V51" i="1"/>
  <c r="W59" i="1" s="1"/>
  <c r="X59" i="1" s="1"/>
  <c r="U51" i="1"/>
  <c r="T51" i="1"/>
  <c r="W58" i="1"/>
  <c r="X58" i="1" s="1"/>
  <c r="W5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X31" i="1" s="1"/>
  <c r="X36" i="1" s="1"/>
  <c r="W23" i="1"/>
  <c r="W31" i="1" s="1"/>
  <c r="W36" i="1" s="1"/>
  <c r="V23" i="1"/>
  <c r="V31" i="1" s="1"/>
  <c r="V36" i="1" s="1"/>
  <c r="U23" i="1"/>
  <c r="U31" i="1" s="1"/>
  <c r="U36" i="1" s="1"/>
  <c r="X22" i="1"/>
  <c r="X30" i="1" s="1"/>
  <c r="X35" i="1" s="1"/>
  <c r="W22" i="1"/>
  <c r="W30" i="1" s="1"/>
  <c r="W35" i="1" s="1"/>
  <c r="V22" i="1"/>
  <c r="V30" i="1" s="1"/>
  <c r="V35" i="1" s="1"/>
  <c r="U22" i="1"/>
  <c r="U30" i="1" s="1"/>
  <c r="U35" i="1" s="1"/>
  <c r="X21" i="1"/>
  <c r="X29" i="1" s="1"/>
  <c r="X34" i="1" s="1"/>
  <c r="W21" i="1"/>
  <c r="W29" i="1" s="1"/>
  <c r="W34" i="1" s="1"/>
  <c r="V21" i="1"/>
  <c r="V29" i="1" s="1"/>
  <c r="V34" i="1" s="1"/>
  <c r="U21" i="1"/>
  <c r="U29" i="1" s="1"/>
  <c r="U34" i="1" s="1"/>
  <c r="X20" i="1"/>
  <c r="X28" i="1" s="1"/>
  <c r="X33" i="1" s="1"/>
  <c r="W20" i="1"/>
  <c r="W28" i="1" s="1"/>
  <c r="W33" i="1" s="1"/>
  <c r="V20" i="1"/>
  <c r="V28" i="1" s="1"/>
  <c r="V33" i="1" s="1"/>
  <c r="U20" i="1"/>
  <c r="U28" i="1" s="1"/>
  <c r="U33" i="1" s="1"/>
  <c r="AA41" i="1"/>
  <c r="AE67" i="1" s="1"/>
  <c r="AA40" i="1"/>
  <c r="AA39" i="1"/>
  <c r="AA38" i="1"/>
  <c r="S39" i="1"/>
  <c r="S38" i="1"/>
  <c r="P70" i="1"/>
  <c r="O70" i="1"/>
  <c r="O69" i="1"/>
  <c r="O68" i="1"/>
  <c r="O67" i="1"/>
  <c r="K38" i="1"/>
  <c r="K41" i="1"/>
  <c r="K40" i="1"/>
  <c r="K39" i="1"/>
  <c r="P65" i="1"/>
  <c r="O65" i="1"/>
  <c r="O64" i="1"/>
  <c r="P48" i="1"/>
  <c r="P49" i="1"/>
  <c r="P51" i="1" s="1"/>
  <c r="O63" i="1" s="1"/>
  <c r="P50" i="1"/>
  <c r="P47" i="1"/>
  <c r="O62" i="1"/>
  <c r="B48" i="1"/>
  <c r="A50" i="1" s="1"/>
  <c r="E9" i="1"/>
  <c r="E8" i="1"/>
  <c r="E7" i="1"/>
  <c r="E6" i="1"/>
  <c r="E5" i="1"/>
  <c r="E4" i="1"/>
  <c r="D9" i="1"/>
  <c r="D8" i="1"/>
  <c r="D7" i="1"/>
  <c r="D6" i="1"/>
  <c r="D5" i="1"/>
  <c r="D4" i="1"/>
  <c r="AE59" i="1" l="1"/>
  <c r="AF59" i="1" s="1"/>
  <c r="AE58" i="1"/>
  <c r="AF58" i="1" s="1"/>
  <c r="AF51" i="1"/>
  <c r="AE63" i="1" s="1"/>
  <c r="AE69" i="1"/>
  <c r="AF57" i="1"/>
  <c r="X51" i="1"/>
  <c r="W63" i="1" s="1"/>
  <c r="X57" i="1"/>
  <c r="W64" i="1"/>
  <c r="D25" i="1"/>
  <c r="F30" i="1"/>
  <c r="B50" i="1"/>
  <c r="C50" i="1"/>
  <c r="B52" i="1"/>
  <c r="B54" i="1" s="1"/>
  <c r="AA15" i="1"/>
  <c r="AA18" i="1" s="1"/>
  <c r="Z15" i="1"/>
  <c r="Z21" i="1" s="1"/>
  <c r="Y15" i="1"/>
  <c r="AF14" i="1"/>
  <c r="AE14" i="1"/>
  <c r="AD14" i="1"/>
  <c r="AC14" i="1"/>
  <c r="AF13" i="1"/>
  <c r="AE13" i="1"/>
  <c r="AD13" i="1"/>
  <c r="AC13" i="1"/>
  <c r="AF12" i="1"/>
  <c r="AE12" i="1"/>
  <c r="AD12" i="1"/>
  <c r="AC12" i="1"/>
  <c r="AF11" i="1"/>
  <c r="AE11" i="1"/>
  <c r="AD11" i="1"/>
  <c r="AC11" i="1"/>
  <c r="S15" i="1"/>
  <c r="R15" i="1"/>
  <c r="R21" i="1" s="1"/>
  <c r="Q15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K15" i="1"/>
  <c r="K19" i="1" s="1"/>
  <c r="J15" i="1"/>
  <c r="J20" i="1" s="1"/>
  <c r="I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S19" i="1" l="1"/>
  <c r="S40" i="1"/>
  <c r="W67" i="1" s="1"/>
  <c r="W69" i="1" s="1"/>
  <c r="AE64" i="1"/>
  <c r="AE65" i="1" s="1"/>
  <c r="AF65" i="1" s="1"/>
  <c r="W65" i="1"/>
  <c r="X65" i="1" s="1"/>
  <c r="S25" i="1"/>
  <c r="N47" i="1"/>
  <c r="N51" i="1"/>
  <c r="N55" i="1" s="1"/>
  <c r="R17" i="1"/>
  <c r="J22" i="1"/>
  <c r="L51" i="1"/>
  <c r="L52" i="1" s="1"/>
  <c r="L47" i="1"/>
  <c r="L48" i="1"/>
  <c r="L54" i="1"/>
  <c r="L49" i="1"/>
  <c r="M23" i="1"/>
  <c r="M31" i="1" s="1"/>
  <c r="M36" i="1" s="1"/>
  <c r="L50" i="1"/>
  <c r="R19" i="1"/>
  <c r="M47" i="1"/>
  <c r="M51" i="1"/>
  <c r="M52" i="1" s="1"/>
  <c r="M48" i="1"/>
  <c r="M49" i="1"/>
  <c r="N23" i="1"/>
  <c r="N31" i="1" s="1"/>
  <c r="N36" i="1" s="1"/>
  <c r="M50" i="1"/>
  <c r="N53" i="1"/>
  <c r="N48" i="1"/>
  <c r="N49" i="1"/>
  <c r="O23" i="1"/>
  <c r="O31" i="1" s="1"/>
  <c r="O36" i="1" s="1"/>
  <c r="N50" i="1"/>
  <c r="O47" i="1"/>
  <c r="O51" i="1"/>
  <c r="O53" i="1" s="1"/>
  <c r="O48" i="1"/>
  <c r="O54" i="1"/>
  <c r="O49" i="1"/>
  <c r="P23" i="1"/>
  <c r="P31" i="1" s="1"/>
  <c r="P36" i="1" s="1"/>
  <c r="O50" i="1"/>
  <c r="R26" i="1"/>
  <c r="J18" i="1"/>
  <c r="M26" i="1"/>
  <c r="M20" i="1"/>
  <c r="M25" i="1"/>
  <c r="M21" i="1"/>
  <c r="M22" i="1"/>
  <c r="M24" i="1"/>
  <c r="R23" i="1"/>
  <c r="S21" i="1"/>
  <c r="K25" i="1"/>
  <c r="D27" i="1"/>
  <c r="O20" i="1"/>
  <c r="O26" i="1"/>
  <c r="O21" i="1"/>
  <c r="O29" i="1" s="1"/>
  <c r="O34" i="1" s="1"/>
  <c r="O25" i="1"/>
  <c r="O24" i="1"/>
  <c r="O22" i="1"/>
  <c r="D24" i="1"/>
  <c r="P26" i="1"/>
  <c r="P20" i="1"/>
  <c r="P28" i="1" s="1"/>
  <c r="P33" i="1" s="1"/>
  <c r="P21" i="1"/>
  <c r="P25" i="1"/>
  <c r="P24" i="1"/>
  <c r="P22" i="1"/>
  <c r="P30" i="1" s="1"/>
  <c r="P35" i="1" s="1"/>
  <c r="N20" i="1"/>
  <c r="N26" i="1"/>
  <c r="N25" i="1"/>
  <c r="N21" i="1"/>
  <c r="N29" i="1" s="1"/>
  <c r="N34" i="1" s="1"/>
  <c r="N24" i="1"/>
  <c r="N22" i="1"/>
  <c r="R22" i="1"/>
  <c r="J17" i="1"/>
  <c r="K21" i="1"/>
  <c r="D28" i="1"/>
  <c r="D23" i="1"/>
  <c r="F23" i="1"/>
  <c r="D26" i="1"/>
  <c r="R24" i="1"/>
  <c r="R20" i="1"/>
  <c r="R28" i="1" s="1"/>
  <c r="R32" i="1" s="1"/>
  <c r="S26" i="1"/>
  <c r="S22" i="1"/>
  <c r="S18" i="1"/>
  <c r="J23" i="1"/>
  <c r="J19" i="1"/>
  <c r="K26" i="1"/>
  <c r="K22" i="1"/>
  <c r="K18" i="1"/>
  <c r="Z17" i="1"/>
  <c r="Z24" i="1"/>
  <c r="Z20" i="1"/>
  <c r="AA25" i="1"/>
  <c r="AA21" i="1"/>
  <c r="AA17" i="1"/>
  <c r="Z23" i="1"/>
  <c r="Z19" i="1"/>
  <c r="AA24" i="1"/>
  <c r="AA20" i="1"/>
  <c r="R18" i="1"/>
  <c r="S24" i="1"/>
  <c r="S20" i="1"/>
  <c r="J25" i="1"/>
  <c r="J21" i="1"/>
  <c r="J26" i="1"/>
  <c r="K24" i="1"/>
  <c r="K20" i="1"/>
  <c r="Z26" i="1"/>
  <c r="Z22" i="1"/>
  <c r="Z18" i="1"/>
  <c r="AA23" i="1"/>
  <c r="AA19" i="1"/>
  <c r="R25" i="1"/>
  <c r="S17" i="1"/>
  <c r="S23" i="1"/>
  <c r="J24" i="1"/>
  <c r="K17" i="1"/>
  <c r="K23" i="1"/>
  <c r="Z25" i="1"/>
  <c r="AA26" i="1"/>
  <c r="AA22" i="1"/>
  <c r="C43" i="1"/>
  <c r="F9" i="1" s="1"/>
  <c r="H9" i="1" s="1"/>
  <c r="F17" i="1" s="1"/>
  <c r="A43" i="1"/>
  <c r="C38" i="1"/>
  <c r="F8" i="1" s="1"/>
  <c r="H8" i="1" s="1"/>
  <c r="F16" i="1" s="1"/>
  <c r="A38" i="1"/>
  <c r="A33" i="1"/>
  <c r="B35" i="1" s="1"/>
  <c r="A28" i="1"/>
  <c r="B29" i="1" s="1"/>
  <c r="B25" i="1"/>
  <c r="A23" i="1"/>
  <c r="B23" i="1" s="1"/>
  <c r="A18" i="1"/>
  <c r="B20" i="1" s="1"/>
  <c r="A14" i="1"/>
  <c r="A13" i="1"/>
  <c r="A12" i="1"/>
  <c r="AE68" i="1" l="1"/>
  <c r="AE70" i="1" s="1"/>
  <c r="AF70" i="1" s="1"/>
  <c r="O30" i="1"/>
  <c r="O35" i="1" s="1"/>
  <c r="O55" i="1"/>
  <c r="O52" i="1"/>
  <c r="M54" i="1"/>
  <c r="L55" i="1"/>
  <c r="L53" i="1"/>
  <c r="O57" i="1" s="1"/>
  <c r="P57" i="1" s="1"/>
  <c r="AA28" i="1"/>
  <c r="AA32" i="1" s="1"/>
  <c r="M30" i="1"/>
  <c r="M35" i="1" s="1"/>
  <c r="N54" i="1"/>
  <c r="O59" i="1" s="1"/>
  <c r="P59" i="1" s="1"/>
  <c r="M55" i="1"/>
  <c r="M53" i="1"/>
  <c r="O58" i="1" s="1"/>
  <c r="P58" i="1" s="1"/>
  <c r="N52" i="1"/>
  <c r="O60" i="1"/>
  <c r="P60" i="1" s="1"/>
  <c r="N30" i="1"/>
  <c r="N35" i="1" s="1"/>
  <c r="P29" i="1"/>
  <c r="P34" i="1" s="1"/>
  <c r="M29" i="1"/>
  <c r="M34" i="1" s="1"/>
  <c r="Z28" i="1"/>
  <c r="Z32" i="1" s="1"/>
  <c r="J28" i="1"/>
  <c r="J32" i="1" s="1"/>
  <c r="N28" i="1"/>
  <c r="N33" i="1" s="1"/>
  <c r="O28" i="1"/>
  <c r="O33" i="1" s="1"/>
  <c r="S28" i="1"/>
  <c r="S32" i="1" s="1"/>
  <c r="W68" i="1" s="1"/>
  <c r="W70" i="1" s="1"/>
  <c r="X70" i="1" s="1"/>
  <c r="B24" i="1"/>
  <c r="E27" i="1"/>
  <c r="E23" i="1"/>
  <c r="E24" i="1"/>
  <c r="E26" i="1"/>
  <c r="E25" i="1"/>
  <c r="E28" i="1"/>
  <c r="M28" i="1"/>
  <c r="M33" i="1" s="1"/>
  <c r="B21" i="1"/>
  <c r="B28" i="1"/>
  <c r="C28" i="1" s="1"/>
  <c r="F6" i="1" s="1"/>
  <c r="H6" i="1" s="1"/>
  <c r="F14" i="1" s="1"/>
  <c r="K28" i="1"/>
  <c r="K32" i="1" s="1"/>
  <c r="B18" i="1"/>
  <c r="B19" i="1"/>
  <c r="B26" i="1"/>
  <c r="C23" i="1" s="1"/>
  <c r="F5" i="1" s="1"/>
  <c r="H5" i="1" s="1"/>
  <c r="F13" i="1" s="1"/>
  <c r="B36" i="1"/>
  <c r="B33" i="1"/>
  <c r="A10" i="1"/>
  <c r="A11" i="1"/>
  <c r="C33" i="1" l="1"/>
  <c r="F7" i="1" s="1"/>
  <c r="H7" i="1" s="1"/>
  <c r="F15" i="1" s="1"/>
  <c r="C18" i="1"/>
  <c r="F4" i="1" s="1"/>
  <c r="H4" i="1" s="1"/>
  <c r="F12" i="1" s="1"/>
  <c r="F21" i="1"/>
  <c r="F31" i="1" s="1"/>
  <c r="G15" i="1" l="1"/>
  <c r="G17" i="1"/>
  <c r="G13" i="1"/>
  <c r="G14" i="1"/>
  <c r="G12" i="1"/>
  <c r="G16" i="1"/>
</calcChain>
</file>

<file path=xl/sharedStrings.xml><?xml version="1.0" encoding="utf-8"?>
<sst xmlns="http://schemas.openxmlformats.org/spreadsheetml/2006/main" count="313" uniqueCount="102">
  <si>
    <t>Одноосное растяжение</t>
  </si>
  <si>
    <t>Измерение 1, мм</t>
  </si>
  <si>
    <t>Измерение 2, мм</t>
  </si>
  <si>
    <t>Одноосное растяжение - результаты измерений</t>
  </si>
  <si>
    <t>Одноосное растяжение - точки для графика</t>
  </si>
  <si>
    <t>Вес нагрузки, Н</t>
  </si>
  <si>
    <t>478,7 г</t>
  </si>
  <si>
    <t>квадраты отклонений</t>
  </si>
  <si>
    <t>случайная погрешность, мм</t>
  </si>
  <si>
    <t>среднее, мм</t>
  </si>
  <si>
    <t>1990,5 г</t>
  </si>
  <si>
    <t>1489,2 г</t>
  </si>
  <si>
    <t>986,1 г</t>
  </si>
  <si>
    <t>2490,5 г</t>
  </si>
  <si>
    <t>2992,5 г</t>
  </si>
  <si>
    <t>Погрешности</t>
  </si>
  <si>
    <t>Случайная, мм</t>
  </si>
  <si>
    <t>Измерение геометрических параметров балки</t>
  </si>
  <si>
    <t>Длина, см</t>
  </si>
  <si>
    <t>Ширина, мм</t>
  </si>
  <si>
    <t>Высота, мм</t>
  </si>
  <si>
    <t>Средние значения</t>
  </si>
  <si>
    <t>Квадраты отклонений от среднего</t>
  </si>
  <si>
    <t>-</t>
  </si>
  <si>
    <t>Случайная погрешность измерения</t>
  </si>
  <si>
    <t>Инструментальная погрешность</t>
  </si>
  <si>
    <t>Полная погрешность</t>
  </si>
  <si>
    <t>Итоговый результат</t>
  </si>
  <si>
    <t>Величина нагрузки Н</t>
  </si>
  <si>
    <t>Прогиб посередине балки, мм
сторона 1</t>
  </si>
  <si>
    <t>Прогиб со смещением, мм
сторона 1</t>
  </si>
  <si>
    <t>Прогиб посередине балки, мм
сторона 2</t>
  </si>
  <si>
    <t>Прогиб со смещением, мм
сторона 2</t>
  </si>
  <si>
    <t>Усреднение величин</t>
  </si>
  <si>
    <t>Полная погрешность во всех измерениях составляет 0,02 мм - погрешность инструмента.</t>
  </si>
  <si>
    <t>Изгиб балки деревянной 1</t>
  </si>
  <si>
    <t xml:space="preserve">Изгиб балки металлической </t>
  </si>
  <si>
    <t>Ширина, см</t>
  </si>
  <si>
    <t xml:space="preserve">(5050+-5)*10^-3 </t>
  </si>
  <si>
    <t>(91+-1)*10^-1</t>
  </si>
  <si>
    <t>(193+-2)*10^-1</t>
  </si>
  <si>
    <t>(397+-5)*10^-1</t>
  </si>
  <si>
    <t>(218+-2)*10^-1</t>
  </si>
  <si>
    <t>Изгиб балки деревянной 2</t>
  </si>
  <si>
    <t>(101+-1)*10^-1</t>
  </si>
  <si>
    <t>(205+-3)*10^-1</t>
  </si>
  <si>
    <t>Вычисление случайной погрешности для каждой из нагрузок</t>
  </si>
  <si>
    <t>Квадраты отклонения</t>
  </si>
  <si>
    <t>Вычисление погрешностей прямых измерений</t>
  </si>
  <si>
    <t>Случайные погрешности</t>
  </si>
  <si>
    <t>Полные погрешности</t>
  </si>
  <si>
    <t>Вспомогательные вычисления</t>
  </si>
  <si>
    <t>Одноосное растяжение - 
итоговые результаты измерений</t>
  </si>
  <si>
    <t>Измерение по шкале, мм</t>
  </si>
  <si>
    <t>Удлинение, мм</t>
  </si>
  <si>
    <t>r, мм</t>
  </si>
  <si>
    <t>Погрешность, мм</t>
  </si>
  <si>
    <t>Погрешность измерения расстояния от зеркала до шкалы, мм</t>
  </si>
  <si>
    <t>Среднее значение, мм</t>
  </si>
  <si>
    <t>Квадраты отклонений от среднего, мм^2</t>
  </si>
  <si>
    <t>Полная погрешность измерения, мм</t>
  </si>
  <si>
    <t>Случайная погрешность измерения, мм</t>
  </si>
  <si>
    <t>(1366+-3)*10^-1 см</t>
  </si>
  <si>
    <t>Коэффициенты прямой по МНК</t>
  </si>
  <si>
    <t>Коэффициент наклона k [Н/мм]</t>
  </si>
  <si>
    <t>Коэффициент смещения b [мм]</t>
  </si>
  <si>
    <t>Погрешность коэффициента наклона k [Н/мм]</t>
  </si>
  <si>
    <t>Результаты эксперимента</t>
  </si>
  <si>
    <t>Модуль Юнга [Н/м^2]</t>
  </si>
  <si>
    <t>Погрешность определения модуля Юнга [Н/м^2]</t>
  </si>
  <si>
    <t>Итог : E = 7*10^10+-0.2*10^9 [Па]</t>
  </si>
  <si>
    <t>Вычисление модуля Юнга</t>
  </si>
  <si>
    <t xml:space="preserve">МНК для зависимостей прогиба от нагрузки </t>
  </si>
  <si>
    <t>Коэффициент наклона для первого эксперимента [мм/Н]</t>
  </si>
  <si>
    <t>Коэффициент наклона для второго эксперимента [мм/Н]</t>
  </si>
  <si>
    <t>Коэффициент наклона для третьего эксперимента [мм/Н]</t>
  </si>
  <si>
    <t>Коэффициент наклона для четвертого эксперимента [мм/Н]</t>
  </si>
  <si>
    <t>Коэффициент смещения для первого эксперимента [мм]</t>
  </si>
  <si>
    <t>Коэффициент смещения для второго эксперимента [мм]</t>
  </si>
  <si>
    <t>Коэффициент смещения для третьего эксперимента [мм]</t>
  </si>
  <si>
    <t>Коэффициент смещения для четвертого эксперимента [мм]</t>
  </si>
  <si>
    <t>Погрешность вычисления коэффициентов МНК</t>
  </si>
  <si>
    <t>Усредненный коэффициент наклона [мм/Н]</t>
  </si>
  <si>
    <t>Итоговый коэффициент наклона [мм/Н]</t>
  </si>
  <si>
    <t>Случайная погрешность вычисления коэффициента наклона</t>
  </si>
  <si>
    <t>Статистическая погрешность вычисления коэффициента наклона</t>
  </si>
  <si>
    <t>Полная погрешность вычисления коэффициента наклона</t>
  </si>
  <si>
    <t>Перевод в СИ</t>
  </si>
  <si>
    <t>Длина, м</t>
  </si>
  <si>
    <t>Высота, м</t>
  </si>
  <si>
    <t>Ширина, м</t>
  </si>
  <si>
    <t>Коэффициент наклона, [м/H]</t>
  </si>
  <si>
    <t>Вычисление модуля Юнга, Па</t>
  </si>
  <si>
    <t>Вычисление погрешности  модуля Юнга, Па</t>
  </si>
  <si>
    <t>Модуль Юнга, ГПа</t>
  </si>
  <si>
    <t>Погрешность модуля Юнга, ГПа</t>
  </si>
  <si>
    <t>Модуль Юнга : (447+-38)*10^8 Па, погрешность 8,5%</t>
  </si>
  <si>
    <t>Модуль Юнга : (669+-55)*10^8 Па, погрешность 8,3%</t>
  </si>
  <si>
    <t>Модуль Юнга : (135+-15)*10^8 Па, погрешность 11%</t>
  </si>
  <si>
    <t>Погрешность для точек графика, мм</t>
  </si>
  <si>
    <t>Статистическая,мм</t>
  </si>
  <si>
    <t>Полная,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</si>
</sst>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"/>
    <numFmt numFmtId="166" formatCode="0.0000"/>
    <numFmt numFmtId="167" formatCode="0.000000"/>
    <numFmt numFmtId="168" formatCode="0.0000000000000"/>
    <numFmt numFmtId="169" formatCode="0.00000"/>
    <numFmt numFmtId="170" formatCode="0.0%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/>
    <xf numFmtId="168" fontId="0" fillId="0" borderId="0" xfId="0" applyNumberFormat="1" applyFill="1" applyAlignment="1"/>
    <xf numFmtId="2" fontId="0" fillId="0" borderId="0" xfId="0" applyNumberFormat="1" applyFill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9" fontId="0" fillId="0" borderId="0" xfId="0" applyNumberFormat="1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66" fontId="0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vertical="center"/>
    </xf>
    <xf numFmtId="17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8576"/>
  <sheetViews>
    <sheetView tabSelected="1" topLeftCell="K1" zoomScale="70" zoomScaleNormal="70" workbookViewId="0">
      <selection activeCell="O24" sqref="O24"/>
    </sheetView>
  </sheetViews>
  <sheetFormatPr defaultColWidth="21.77734375" defaultRowHeight="14.4" x14ac:dyDescent="0.3"/>
  <cols>
    <col min="1" max="2" width="21.77734375" style="1"/>
    <col min="3" max="3" width="25.88671875" style="1" customWidth="1"/>
    <col min="4" max="4" width="21.77734375" style="1"/>
    <col min="5" max="5" width="24" style="1" customWidth="1"/>
    <col min="6" max="6" width="16.6640625" style="1" customWidth="1"/>
    <col min="7" max="7" width="18.109375" style="1" customWidth="1"/>
    <col min="8" max="8" width="17.21875" style="1" customWidth="1"/>
    <col min="9" max="16384" width="21.77734375" style="1"/>
  </cols>
  <sheetData>
    <row r="1" spans="1:32" x14ac:dyDescent="0.3">
      <c r="A1" s="55" t="s">
        <v>0</v>
      </c>
      <c r="B1" s="55"/>
      <c r="C1" s="55"/>
      <c r="D1" s="55"/>
      <c r="E1" s="55"/>
      <c r="F1" s="55"/>
      <c r="G1" s="55"/>
      <c r="H1" s="55"/>
      <c r="I1" s="52" t="s">
        <v>35</v>
      </c>
      <c r="J1" s="52"/>
      <c r="K1" s="52"/>
      <c r="L1" s="52"/>
      <c r="M1" s="52"/>
      <c r="N1" s="52"/>
      <c r="O1" s="52"/>
      <c r="P1" s="52"/>
      <c r="Q1" s="45" t="s">
        <v>36</v>
      </c>
      <c r="R1" s="45"/>
      <c r="S1" s="45"/>
      <c r="T1" s="45"/>
      <c r="U1" s="45"/>
      <c r="V1" s="45"/>
      <c r="W1" s="45"/>
      <c r="X1" s="45"/>
      <c r="Y1" s="41" t="s">
        <v>43</v>
      </c>
      <c r="Z1" s="41"/>
      <c r="AA1" s="41"/>
      <c r="AB1" s="41"/>
      <c r="AC1" s="41"/>
      <c r="AD1" s="41"/>
      <c r="AE1" s="41"/>
      <c r="AF1" s="41"/>
    </row>
    <row r="2" spans="1:32" ht="43.2" x14ac:dyDescent="0.3">
      <c r="A2" s="59" t="s">
        <v>3</v>
      </c>
      <c r="B2" s="59"/>
      <c r="C2" s="59"/>
      <c r="D2" s="60" t="s">
        <v>52</v>
      </c>
      <c r="E2" s="47"/>
      <c r="F2" s="47" t="s">
        <v>15</v>
      </c>
      <c r="G2" s="47"/>
      <c r="H2" s="47"/>
      <c r="I2" s="47" t="s">
        <v>17</v>
      </c>
      <c r="J2" s="47"/>
      <c r="K2" s="47"/>
      <c r="L2" s="8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47" t="s">
        <v>17</v>
      </c>
      <c r="R2" s="47"/>
      <c r="S2" s="47"/>
      <c r="T2" s="8" t="s">
        <v>28</v>
      </c>
      <c r="U2" s="9" t="s">
        <v>29</v>
      </c>
      <c r="V2" s="9" t="s">
        <v>30</v>
      </c>
      <c r="W2" s="9" t="s">
        <v>31</v>
      </c>
      <c r="X2" s="9" t="s">
        <v>32</v>
      </c>
      <c r="Y2" s="47" t="s">
        <v>17</v>
      </c>
      <c r="Z2" s="47"/>
      <c r="AA2" s="47"/>
      <c r="AB2" s="8" t="s">
        <v>28</v>
      </c>
      <c r="AC2" s="9" t="s">
        <v>29</v>
      </c>
      <c r="AD2" s="9" t="s">
        <v>30</v>
      </c>
      <c r="AE2" s="9" t="s">
        <v>31</v>
      </c>
      <c r="AF2" s="9" t="s">
        <v>32</v>
      </c>
    </row>
    <row r="3" spans="1:32" x14ac:dyDescent="0.3">
      <c r="A3" s="2" t="s">
        <v>5</v>
      </c>
      <c r="B3" s="2" t="s">
        <v>1</v>
      </c>
      <c r="C3" s="2" t="s">
        <v>2</v>
      </c>
      <c r="D3" s="2" t="s">
        <v>5</v>
      </c>
      <c r="E3" s="2" t="s">
        <v>53</v>
      </c>
      <c r="F3" s="7" t="s">
        <v>16</v>
      </c>
      <c r="G3" s="7" t="s">
        <v>100</v>
      </c>
      <c r="H3" s="7" t="s">
        <v>101</v>
      </c>
      <c r="I3" s="8" t="s">
        <v>18</v>
      </c>
      <c r="J3" s="8" t="s">
        <v>20</v>
      </c>
      <c r="K3" s="8" t="s">
        <v>19</v>
      </c>
      <c r="L3" s="2">
        <v>4.5</v>
      </c>
      <c r="M3" s="5">
        <v>0.57999999999999996</v>
      </c>
      <c r="N3" s="5">
        <v>0.56000000000000005</v>
      </c>
      <c r="O3" s="5">
        <v>0.61</v>
      </c>
      <c r="P3" s="5">
        <v>0.59</v>
      </c>
      <c r="Q3" s="8" t="s">
        <v>18</v>
      </c>
      <c r="R3" s="8" t="s">
        <v>20</v>
      </c>
      <c r="S3" s="8" t="s">
        <v>37</v>
      </c>
      <c r="T3" s="2">
        <v>4.5</v>
      </c>
      <c r="U3" s="5">
        <v>1.01</v>
      </c>
      <c r="V3" s="5">
        <v>0.99</v>
      </c>
      <c r="W3" s="5">
        <v>1.03</v>
      </c>
      <c r="X3" s="5">
        <v>0.96</v>
      </c>
      <c r="Y3" s="8" t="s">
        <v>18</v>
      </c>
      <c r="Z3" s="8" t="s">
        <v>20</v>
      </c>
      <c r="AA3" s="8" t="s">
        <v>37</v>
      </c>
      <c r="AB3" s="2">
        <v>4.5</v>
      </c>
      <c r="AC3" s="5">
        <v>0.57999999999999996</v>
      </c>
      <c r="AD3" s="5">
        <v>0.56000000000000005</v>
      </c>
      <c r="AE3" s="5">
        <v>0.52</v>
      </c>
      <c r="AF3" s="5">
        <v>0.54</v>
      </c>
    </row>
    <row r="4" spans="1:32" x14ac:dyDescent="0.3">
      <c r="A4" s="2">
        <v>4.5999999999999996</v>
      </c>
      <c r="B4" s="2">
        <v>16.7</v>
      </c>
      <c r="C4" s="2">
        <v>16.8</v>
      </c>
      <c r="D4" s="2">
        <f t="shared" ref="D4:D9" si="0">A4</f>
        <v>4.5999999999999996</v>
      </c>
      <c r="E4" s="2">
        <f>AVERAGE(B4,C4,B14,C14)</f>
        <v>16.7</v>
      </c>
      <c r="F4" s="5">
        <f>C18</f>
        <v>1.6217274740226859</v>
      </c>
      <c r="G4" s="7">
        <v>0.05</v>
      </c>
      <c r="H4" s="5">
        <f>SQRT(F4*F4+G4*G4)</f>
        <v>1.6224980739587955</v>
      </c>
      <c r="I4" s="7">
        <v>50.5</v>
      </c>
      <c r="J4" s="7">
        <v>9.17</v>
      </c>
      <c r="K4" s="7">
        <v>19.100000000000001</v>
      </c>
      <c r="L4" s="2">
        <v>9.5</v>
      </c>
      <c r="M4" s="5">
        <v>1.25</v>
      </c>
      <c r="N4" s="5">
        <v>1.24</v>
      </c>
      <c r="O4" s="5">
        <v>1.25</v>
      </c>
      <c r="P4" s="5">
        <v>1.23</v>
      </c>
      <c r="Q4" s="7">
        <v>50.5</v>
      </c>
      <c r="R4" s="5">
        <v>3.92</v>
      </c>
      <c r="S4" s="5">
        <v>2.17</v>
      </c>
      <c r="T4" s="2">
        <v>9.5</v>
      </c>
      <c r="U4" s="5">
        <v>2.19</v>
      </c>
      <c r="V4" s="5">
        <v>2.1</v>
      </c>
      <c r="W4" s="5">
        <v>2.2999999999999998</v>
      </c>
      <c r="X4" s="5">
        <v>2.15</v>
      </c>
      <c r="Y4" s="7">
        <v>50.5</v>
      </c>
      <c r="Z4" s="5">
        <v>10.25</v>
      </c>
      <c r="AA4" s="5">
        <v>19.86</v>
      </c>
      <c r="AB4" s="2">
        <v>9.5</v>
      </c>
      <c r="AC4" s="5">
        <v>1.36</v>
      </c>
      <c r="AD4" s="5">
        <v>1.27</v>
      </c>
      <c r="AE4" s="5">
        <v>1.22</v>
      </c>
      <c r="AF4" s="5">
        <v>1.24</v>
      </c>
    </row>
    <row r="5" spans="1:32" x14ac:dyDescent="0.3">
      <c r="A5" s="2">
        <v>9.6</v>
      </c>
      <c r="B5" s="2">
        <v>19.5</v>
      </c>
      <c r="C5" s="2">
        <v>19.5</v>
      </c>
      <c r="D5" s="2">
        <f t="shared" si="0"/>
        <v>9.6</v>
      </c>
      <c r="E5" s="2">
        <f>AVERAGE(C13,B13,B5,C5)</f>
        <v>19.75</v>
      </c>
      <c r="F5" s="5">
        <f>C23</f>
        <v>0.30000000000000032</v>
      </c>
      <c r="G5" s="7">
        <v>0.05</v>
      </c>
      <c r="H5" s="5">
        <f t="shared" ref="H5:H9" si="1">SQRT(F5*F5+G5*G5)</f>
        <v>0.30413812651491129</v>
      </c>
      <c r="I5" s="7" t="s">
        <v>23</v>
      </c>
      <c r="J5" s="7">
        <v>9.1199999999999992</v>
      </c>
      <c r="K5" s="7">
        <v>19.3</v>
      </c>
      <c r="L5" s="2">
        <v>14.1</v>
      </c>
      <c r="M5" s="5">
        <v>1.85</v>
      </c>
      <c r="N5" s="5">
        <v>1.84</v>
      </c>
      <c r="O5" s="5">
        <v>1.86</v>
      </c>
      <c r="P5" s="5">
        <v>1.83</v>
      </c>
      <c r="Q5" s="7" t="s">
        <v>23</v>
      </c>
      <c r="R5" s="5">
        <v>3.98</v>
      </c>
      <c r="S5" s="5">
        <v>2.19</v>
      </c>
      <c r="T5" s="2">
        <v>14.1</v>
      </c>
      <c r="U5" s="5">
        <v>3.19</v>
      </c>
      <c r="V5" s="5">
        <v>3.25</v>
      </c>
      <c r="W5" s="5">
        <v>3.35</v>
      </c>
      <c r="X5" s="5">
        <v>3.23</v>
      </c>
      <c r="Y5" s="7" t="s">
        <v>23</v>
      </c>
      <c r="Z5" s="5">
        <v>10.17</v>
      </c>
      <c r="AA5" s="5">
        <v>20.72</v>
      </c>
      <c r="AB5" s="2">
        <v>14.1</v>
      </c>
      <c r="AC5" s="5">
        <v>1.95</v>
      </c>
      <c r="AD5" s="5">
        <v>1.89</v>
      </c>
      <c r="AE5" s="5">
        <v>1.85</v>
      </c>
      <c r="AF5" s="5">
        <v>1.83</v>
      </c>
    </row>
    <row r="6" spans="1:32" x14ac:dyDescent="0.3">
      <c r="A6" s="2">
        <v>14.6</v>
      </c>
      <c r="B6" s="2">
        <v>21.3</v>
      </c>
      <c r="C6" s="2">
        <v>21.6</v>
      </c>
      <c r="D6" s="2">
        <f t="shared" si="0"/>
        <v>14.6</v>
      </c>
      <c r="E6" s="2">
        <f>AVERAGE(B6,C6,B12,C12)</f>
        <v>21.5</v>
      </c>
      <c r="F6" s="5">
        <f>C28</f>
        <v>0.1414213562373095</v>
      </c>
      <c r="G6" s="7">
        <v>0.05</v>
      </c>
      <c r="H6" s="5">
        <f t="shared" si="1"/>
        <v>0.15</v>
      </c>
      <c r="I6" s="7" t="s">
        <v>23</v>
      </c>
      <c r="J6" s="7">
        <v>9.1300000000000008</v>
      </c>
      <c r="K6" s="7">
        <v>19.100000000000001</v>
      </c>
      <c r="L6" s="2">
        <v>18.7</v>
      </c>
      <c r="M6" s="5">
        <v>2.5</v>
      </c>
      <c r="N6" s="5">
        <v>2.4300000000000002</v>
      </c>
      <c r="O6" s="5">
        <v>2.4700000000000002</v>
      </c>
      <c r="P6" s="5">
        <v>2.48</v>
      </c>
      <c r="Q6" s="7" t="s">
        <v>23</v>
      </c>
      <c r="R6" s="5">
        <v>3.97</v>
      </c>
      <c r="S6" s="5">
        <v>2.19</v>
      </c>
      <c r="T6" s="2">
        <v>18.7</v>
      </c>
      <c r="U6" s="5">
        <v>4.28</v>
      </c>
      <c r="V6" s="5">
        <v>4.3099999999999996</v>
      </c>
      <c r="W6" s="5">
        <v>4.54</v>
      </c>
      <c r="X6" s="5">
        <v>4.29</v>
      </c>
      <c r="Y6" s="7" t="s">
        <v>23</v>
      </c>
      <c r="Z6" s="5">
        <v>10.210000000000001</v>
      </c>
      <c r="AA6" s="5">
        <v>20.81</v>
      </c>
      <c r="AB6" s="2">
        <v>18.7</v>
      </c>
      <c r="AC6" s="5">
        <v>2.63</v>
      </c>
      <c r="AD6" s="5">
        <v>2.5299999999999998</v>
      </c>
      <c r="AE6" s="5">
        <v>2.4900000000000002</v>
      </c>
      <c r="AF6" s="5">
        <v>2.5</v>
      </c>
    </row>
    <row r="7" spans="1:32" x14ac:dyDescent="0.3">
      <c r="A7" s="2">
        <v>19.5</v>
      </c>
      <c r="B7" s="2">
        <v>23.2</v>
      </c>
      <c r="C7" s="2">
        <v>23.5</v>
      </c>
      <c r="D7" s="2">
        <f t="shared" si="0"/>
        <v>19.5</v>
      </c>
      <c r="E7" s="2">
        <f>AVERAGE(B11,C11,B7,C7)</f>
        <v>23.475000000000001</v>
      </c>
      <c r="F7" s="5">
        <f>C33</f>
        <v>0.20615528128088315</v>
      </c>
      <c r="G7" s="7">
        <v>0.05</v>
      </c>
      <c r="H7" s="5">
        <f t="shared" si="1"/>
        <v>0.21213203435596439</v>
      </c>
      <c r="I7" s="7" t="s">
        <v>23</v>
      </c>
      <c r="J7" s="7">
        <v>9.0299999999999994</v>
      </c>
      <c r="K7" s="7">
        <v>19.3</v>
      </c>
      <c r="L7" s="2">
        <v>14.1</v>
      </c>
      <c r="M7" s="5">
        <v>1.88</v>
      </c>
      <c r="N7" s="5">
        <v>1.87</v>
      </c>
      <c r="O7" s="5">
        <v>1.9</v>
      </c>
      <c r="P7" s="5">
        <v>1.89</v>
      </c>
      <c r="Q7" s="7" t="s">
        <v>23</v>
      </c>
      <c r="R7" s="5">
        <v>4.03</v>
      </c>
      <c r="S7" s="5">
        <v>2.2000000000000002</v>
      </c>
      <c r="T7" s="2">
        <v>14.1</v>
      </c>
      <c r="U7" s="5">
        <v>3.25</v>
      </c>
      <c r="V7" s="5">
        <v>3.26</v>
      </c>
      <c r="W7" s="5">
        <v>3.49</v>
      </c>
      <c r="X7" s="5">
        <v>3.35</v>
      </c>
      <c r="Y7" s="7" t="s">
        <v>23</v>
      </c>
      <c r="Z7" s="5">
        <v>10.210000000000001</v>
      </c>
      <c r="AA7" s="5">
        <v>20.7</v>
      </c>
      <c r="AB7" s="2">
        <v>14.1</v>
      </c>
      <c r="AC7" s="5">
        <v>2.0099999999999998</v>
      </c>
      <c r="AD7" s="5">
        <v>1.93</v>
      </c>
      <c r="AE7" s="5">
        <v>1.89</v>
      </c>
      <c r="AF7" s="5">
        <v>1.91</v>
      </c>
    </row>
    <row r="8" spans="1:32" x14ac:dyDescent="0.3">
      <c r="A8" s="2">
        <v>24.4</v>
      </c>
      <c r="B8" s="2">
        <v>26.5</v>
      </c>
      <c r="C8" s="2">
        <v>26.5</v>
      </c>
      <c r="D8" s="2">
        <f t="shared" si="0"/>
        <v>24.4</v>
      </c>
      <c r="E8" s="2">
        <f>AVERAGE(B10,C10,C8,B8)</f>
        <v>26.524999999999999</v>
      </c>
      <c r="F8" s="5">
        <f>C38</f>
        <v>5.7735026918962581E-2</v>
      </c>
      <c r="G8" s="7">
        <v>0.05</v>
      </c>
      <c r="H8" s="5">
        <f t="shared" si="1"/>
        <v>7.6376261582597346E-2</v>
      </c>
      <c r="I8" s="7" t="s">
        <v>23</v>
      </c>
      <c r="J8" s="7">
        <v>9.0500000000000007</v>
      </c>
      <c r="K8" s="7">
        <v>19.5</v>
      </c>
      <c r="L8" s="2">
        <v>9.5</v>
      </c>
      <c r="M8" s="5">
        <v>1.28</v>
      </c>
      <c r="N8" s="5">
        <v>1.24</v>
      </c>
      <c r="O8" s="5">
        <v>1.28</v>
      </c>
      <c r="P8" s="5">
        <v>1.28</v>
      </c>
      <c r="Q8" s="7" t="s">
        <v>23</v>
      </c>
      <c r="R8" s="5">
        <v>4.0599999999999996</v>
      </c>
      <c r="S8" s="5">
        <v>2.2200000000000002</v>
      </c>
      <c r="T8" s="2">
        <v>9.5</v>
      </c>
      <c r="U8" s="5">
        <v>2.17</v>
      </c>
      <c r="V8" s="5">
        <v>2.25</v>
      </c>
      <c r="W8" s="5">
        <v>2.4500000000000002</v>
      </c>
      <c r="X8" s="5">
        <v>2.35</v>
      </c>
      <c r="Y8" s="7" t="s">
        <v>23</v>
      </c>
      <c r="Z8" s="5">
        <v>9.9499999999999993</v>
      </c>
      <c r="AA8" s="5">
        <v>20.56</v>
      </c>
      <c r="AB8" s="2">
        <v>9.5</v>
      </c>
      <c r="AC8" s="5">
        <v>1.38</v>
      </c>
      <c r="AD8" s="5">
        <v>1.32</v>
      </c>
      <c r="AE8" s="5">
        <v>1.31</v>
      </c>
      <c r="AF8" s="5">
        <v>1.32</v>
      </c>
    </row>
    <row r="9" spans="1:32" x14ac:dyDescent="0.3">
      <c r="A9" s="2">
        <v>29.3</v>
      </c>
      <c r="B9" s="2">
        <v>28.9</v>
      </c>
      <c r="C9" s="2">
        <v>29.1</v>
      </c>
      <c r="D9" s="2">
        <f t="shared" si="0"/>
        <v>29.3</v>
      </c>
      <c r="E9" s="2">
        <f>AVERAGE(B9,C9)</f>
        <v>29</v>
      </c>
      <c r="F9" s="5">
        <f>C43</f>
        <v>0.1414213562373095</v>
      </c>
      <c r="G9" s="7">
        <v>0.05</v>
      </c>
      <c r="H9" s="5">
        <f t="shared" si="1"/>
        <v>0.15</v>
      </c>
      <c r="I9" s="7" t="s">
        <v>23</v>
      </c>
      <c r="J9" s="7">
        <v>8.9700000000000006</v>
      </c>
      <c r="K9" s="7">
        <v>19.600000000000001</v>
      </c>
      <c r="L9" s="2">
        <v>4.5</v>
      </c>
      <c r="M9" s="5">
        <v>0.6</v>
      </c>
      <c r="N9" s="5">
        <v>0.55000000000000004</v>
      </c>
      <c r="O9" s="5">
        <v>0.59</v>
      </c>
      <c r="P9" s="5">
        <v>0.57999999999999996</v>
      </c>
      <c r="Q9" s="7" t="s">
        <v>23</v>
      </c>
      <c r="R9" s="5">
        <v>3.94</v>
      </c>
      <c r="S9" s="5">
        <v>2.19</v>
      </c>
      <c r="T9" s="2">
        <v>4.5</v>
      </c>
      <c r="U9" s="5">
        <v>1.01</v>
      </c>
      <c r="V9" s="5">
        <v>1.1599999999999999</v>
      </c>
      <c r="W9" s="5">
        <v>1.22</v>
      </c>
      <c r="X9" s="5">
        <v>1.1000000000000001</v>
      </c>
      <c r="Y9" s="7" t="s">
        <v>23</v>
      </c>
      <c r="Z9" s="5">
        <v>9.9600000000000009</v>
      </c>
      <c r="AA9" s="5">
        <v>20.43</v>
      </c>
      <c r="AB9" s="2">
        <v>4.5</v>
      </c>
      <c r="AC9" s="5">
        <v>0.69</v>
      </c>
      <c r="AD9" s="5">
        <v>0.65</v>
      </c>
      <c r="AE9" s="5">
        <v>0.65</v>
      </c>
      <c r="AF9" s="5">
        <v>0.68</v>
      </c>
    </row>
    <row r="10" spans="1:32" x14ac:dyDescent="0.3">
      <c r="A10" s="2">
        <f>A8</f>
        <v>24.4</v>
      </c>
      <c r="B10" s="2">
        <v>26.5</v>
      </c>
      <c r="C10" s="2">
        <v>26.6</v>
      </c>
      <c r="D10" s="55" t="s">
        <v>4</v>
      </c>
      <c r="E10" s="55"/>
      <c r="F10" s="55"/>
      <c r="G10" s="55"/>
      <c r="H10" s="55"/>
      <c r="I10" s="7" t="s">
        <v>23</v>
      </c>
      <c r="J10" s="7">
        <v>8.9</v>
      </c>
      <c r="K10" s="7">
        <v>19.399999999999999</v>
      </c>
      <c r="L10" s="53" t="s">
        <v>33</v>
      </c>
      <c r="M10" s="53"/>
      <c r="N10" s="53"/>
      <c r="O10" s="53"/>
      <c r="P10" s="53"/>
      <c r="Q10" s="7" t="s">
        <v>23</v>
      </c>
      <c r="R10" s="5">
        <v>3.98</v>
      </c>
      <c r="S10" s="5">
        <v>2.17</v>
      </c>
      <c r="T10" s="53" t="s">
        <v>33</v>
      </c>
      <c r="U10" s="53"/>
      <c r="V10" s="53"/>
      <c r="W10" s="53"/>
      <c r="X10" s="53"/>
      <c r="Y10" s="7" t="s">
        <v>23</v>
      </c>
      <c r="Z10" s="5">
        <v>10.039999999999999</v>
      </c>
      <c r="AA10" s="5">
        <v>20.399999999999999</v>
      </c>
      <c r="AB10" s="53" t="s">
        <v>33</v>
      </c>
      <c r="AC10" s="53"/>
      <c r="AD10" s="53"/>
      <c r="AE10" s="53"/>
      <c r="AF10" s="53"/>
    </row>
    <row r="11" spans="1:32" x14ac:dyDescent="0.3">
      <c r="A11" s="2">
        <f>A7</f>
        <v>19.5</v>
      </c>
      <c r="B11" s="2">
        <v>23.5</v>
      </c>
      <c r="C11" s="2">
        <v>23.7</v>
      </c>
      <c r="D11" s="2" t="s">
        <v>5</v>
      </c>
      <c r="E11" s="2" t="s">
        <v>54</v>
      </c>
      <c r="F11" s="7" t="s">
        <v>56</v>
      </c>
      <c r="G11" s="39" t="s">
        <v>99</v>
      </c>
      <c r="H11" s="39"/>
      <c r="I11" s="7" t="s">
        <v>23</v>
      </c>
      <c r="J11" s="7">
        <v>9.17</v>
      </c>
      <c r="K11" s="7">
        <v>19.3</v>
      </c>
      <c r="L11" s="2">
        <v>4.5</v>
      </c>
      <c r="M11" s="5">
        <f>AVERAGE(M9,M3)</f>
        <v>0.59</v>
      </c>
      <c r="N11" s="5">
        <f t="shared" ref="N11:P11" si="2">AVERAGE(N9,N3)</f>
        <v>0.55500000000000005</v>
      </c>
      <c r="O11" s="5">
        <f t="shared" si="2"/>
        <v>0.6</v>
      </c>
      <c r="P11" s="5">
        <f t="shared" si="2"/>
        <v>0.58499999999999996</v>
      </c>
      <c r="Q11" s="7" t="s">
        <v>23</v>
      </c>
      <c r="R11" s="5">
        <v>3.93</v>
      </c>
      <c r="S11" s="5">
        <v>2.16</v>
      </c>
      <c r="T11" s="2">
        <v>4.5</v>
      </c>
      <c r="U11" s="5">
        <f>AVERAGE(U9,U3)</f>
        <v>1.01</v>
      </c>
      <c r="V11" s="5">
        <f t="shared" ref="V11:X11" si="3">AVERAGE(V9,V3)</f>
        <v>1.075</v>
      </c>
      <c r="W11" s="5">
        <f t="shared" si="3"/>
        <v>1.125</v>
      </c>
      <c r="X11" s="5">
        <f t="shared" si="3"/>
        <v>1.03</v>
      </c>
      <c r="Y11" s="7" t="s">
        <v>23</v>
      </c>
      <c r="Z11" s="5">
        <v>10.15</v>
      </c>
      <c r="AA11" s="5">
        <v>20.45</v>
      </c>
      <c r="AB11" s="2">
        <v>4.5</v>
      </c>
      <c r="AC11" s="5">
        <f>AVERAGE(AC9,AC3)</f>
        <v>0.63500000000000001</v>
      </c>
      <c r="AD11" s="5">
        <f t="shared" ref="AD11:AF11" si="4">AVERAGE(AD9,AD3)</f>
        <v>0.60499999999999998</v>
      </c>
      <c r="AE11" s="5">
        <f t="shared" si="4"/>
        <v>0.58499999999999996</v>
      </c>
      <c r="AF11" s="5">
        <f t="shared" si="4"/>
        <v>0.6100000000000001</v>
      </c>
    </row>
    <row r="12" spans="1:32" x14ac:dyDescent="0.3">
      <c r="A12" s="2">
        <f>A6</f>
        <v>14.6</v>
      </c>
      <c r="B12" s="2">
        <v>21.5</v>
      </c>
      <c r="C12" s="2">
        <v>21.6</v>
      </c>
      <c r="D12" s="2">
        <v>4.5999999999999996</v>
      </c>
      <c r="E12" s="6">
        <f>E4*$C$57/(2*$B$48)</f>
        <v>7.9446206391802887E-2</v>
      </c>
      <c r="F12" s="15">
        <f>E12*SQRT((H4/E4)^2+($B$54/$B$48)^2)</f>
        <v>7.7200590730955752E-3</v>
      </c>
      <c r="G12" s="54">
        <f>AVERAGE(F12:F17)</f>
        <v>2.0229161426574692E-3</v>
      </c>
      <c r="H12" s="54"/>
      <c r="I12" s="7" t="s">
        <v>23</v>
      </c>
      <c r="J12" s="7">
        <v>9.2100000000000009</v>
      </c>
      <c r="K12" s="7">
        <v>19.2</v>
      </c>
      <c r="L12" s="2">
        <v>9.5</v>
      </c>
      <c r="M12" s="5">
        <f>AVERAGE(M8,M4)</f>
        <v>1.2650000000000001</v>
      </c>
      <c r="N12" s="5">
        <f t="shared" ref="N12:P12" si="5">AVERAGE(N8,N4)</f>
        <v>1.24</v>
      </c>
      <c r="O12" s="5">
        <f t="shared" si="5"/>
        <v>1.2650000000000001</v>
      </c>
      <c r="P12" s="5">
        <f t="shared" si="5"/>
        <v>1.2549999999999999</v>
      </c>
      <c r="Q12" s="7" t="s">
        <v>23</v>
      </c>
      <c r="R12" s="5">
        <v>3.94</v>
      </c>
      <c r="S12" s="5">
        <v>2.15</v>
      </c>
      <c r="T12" s="2">
        <v>9.5</v>
      </c>
      <c r="U12" s="5">
        <f>AVERAGE(U8,U4)</f>
        <v>2.1799999999999997</v>
      </c>
      <c r="V12" s="5">
        <f t="shared" ref="V12:X12" si="6">AVERAGE(V8,V4)</f>
        <v>2.1749999999999998</v>
      </c>
      <c r="W12" s="5">
        <f t="shared" si="6"/>
        <v>2.375</v>
      </c>
      <c r="X12" s="5">
        <f t="shared" si="6"/>
        <v>2.25</v>
      </c>
      <c r="Y12" s="7" t="s">
        <v>23</v>
      </c>
      <c r="Z12" s="5">
        <v>10.19</v>
      </c>
      <c r="AA12" s="5">
        <v>20.51</v>
      </c>
      <c r="AB12" s="2">
        <v>9.5</v>
      </c>
      <c r="AC12" s="5">
        <f>AVERAGE(AC8,AC4)</f>
        <v>1.37</v>
      </c>
      <c r="AD12" s="5">
        <f t="shared" ref="AD12:AF12" si="7">AVERAGE(AD8,AD4)</f>
        <v>1.2949999999999999</v>
      </c>
      <c r="AE12" s="5">
        <f t="shared" si="7"/>
        <v>1.2650000000000001</v>
      </c>
      <c r="AF12" s="5">
        <f t="shared" si="7"/>
        <v>1.28</v>
      </c>
    </row>
    <row r="13" spans="1:32" x14ac:dyDescent="0.3">
      <c r="A13" s="2">
        <f>A5</f>
        <v>9.6</v>
      </c>
      <c r="B13" s="2">
        <v>19.899999999999999</v>
      </c>
      <c r="C13" s="2">
        <v>20.100000000000001</v>
      </c>
      <c r="D13" s="2">
        <v>9.6</v>
      </c>
      <c r="E13" s="6">
        <f t="shared" ref="E13:E17" si="8">E5*$C$57/(2*$B$48)</f>
        <v>9.3955842888509403E-2</v>
      </c>
      <c r="F13" s="15">
        <f t="shared" ref="F13:F17" si="9">E13*SQRT((H5/E5)^2+($B$54/$B$48)^2)</f>
        <v>1.4574013319431835E-3</v>
      </c>
      <c r="G13" s="54">
        <f>AVERAGE(F12:F17)</f>
        <v>2.0229161426574692E-3</v>
      </c>
      <c r="H13" s="54"/>
      <c r="I13" s="7" t="s">
        <v>23</v>
      </c>
      <c r="J13" s="7">
        <v>9.23</v>
      </c>
      <c r="K13" s="7">
        <v>18.899999999999999</v>
      </c>
      <c r="L13" s="2">
        <v>14.1</v>
      </c>
      <c r="M13" s="5">
        <f>AVERAGE(M7,M5)</f>
        <v>1.865</v>
      </c>
      <c r="N13" s="5">
        <f t="shared" ref="N13:P13" si="10">AVERAGE(N7,N5)</f>
        <v>1.855</v>
      </c>
      <c r="O13" s="5">
        <f t="shared" si="10"/>
        <v>1.88</v>
      </c>
      <c r="P13" s="5">
        <f t="shared" si="10"/>
        <v>1.8599999999999999</v>
      </c>
      <c r="Q13" s="7" t="s">
        <v>23</v>
      </c>
      <c r="R13" s="5">
        <v>3.93</v>
      </c>
      <c r="S13" s="5">
        <v>2.16</v>
      </c>
      <c r="T13" s="2">
        <v>14.1</v>
      </c>
      <c r="U13" s="5">
        <f>AVERAGE(U7,U5)</f>
        <v>3.2199999999999998</v>
      </c>
      <c r="V13" s="5">
        <f t="shared" ref="V13:X13" si="11">AVERAGE(V7,V5)</f>
        <v>3.2549999999999999</v>
      </c>
      <c r="W13" s="5">
        <f t="shared" si="11"/>
        <v>3.42</v>
      </c>
      <c r="X13" s="5">
        <f t="shared" si="11"/>
        <v>3.29</v>
      </c>
      <c r="Y13" s="7" t="s">
        <v>23</v>
      </c>
      <c r="Z13" s="5">
        <v>10.220000000000001</v>
      </c>
      <c r="AA13" s="5">
        <v>20.51</v>
      </c>
      <c r="AB13" s="2">
        <v>14.1</v>
      </c>
      <c r="AC13" s="5">
        <f>AVERAGE(AC7,AC5)</f>
        <v>1.98</v>
      </c>
      <c r="AD13" s="5">
        <f t="shared" ref="AD13:AF13" si="12">AVERAGE(AD7,AD5)</f>
        <v>1.91</v>
      </c>
      <c r="AE13" s="5">
        <f t="shared" si="12"/>
        <v>1.87</v>
      </c>
      <c r="AF13" s="5">
        <f t="shared" si="12"/>
        <v>1.87</v>
      </c>
    </row>
    <row r="14" spans="1:32" x14ac:dyDescent="0.3">
      <c r="A14" s="2">
        <f>A4</f>
        <v>4.5999999999999996</v>
      </c>
      <c r="B14" s="2">
        <v>16.8</v>
      </c>
      <c r="C14" s="2">
        <v>16.5</v>
      </c>
      <c r="D14" s="2">
        <v>14.6</v>
      </c>
      <c r="E14" s="6">
        <f t="shared" si="8"/>
        <v>0.10228104415711149</v>
      </c>
      <c r="F14" s="15">
        <f t="shared" si="9"/>
        <v>7.3856439912881424E-4</v>
      </c>
      <c r="G14" s="54">
        <f>AVERAGE(F12:F17)</f>
        <v>2.0229161426574692E-3</v>
      </c>
      <c r="H14" s="54"/>
      <c r="I14" s="47" t="s">
        <v>21</v>
      </c>
      <c r="J14" s="47"/>
      <c r="K14" s="47"/>
      <c r="L14" s="2">
        <v>18.7</v>
      </c>
      <c r="M14" s="5">
        <f>M6</f>
        <v>2.5</v>
      </c>
      <c r="N14" s="5">
        <f t="shared" ref="N14:P14" si="13">N6</f>
        <v>2.4300000000000002</v>
      </c>
      <c r="O14" s="5">
        <f t="shared" si="13"/>
        <v>2.4700000000000002</v>
      </c>
      <c r="P14" s="5">
        <f t="shared" si="13"/>
        <v>2.48</v>
      </c>
      <c r="Q14" s="47" t="s">
        <v>21</v>
      </c>
      <c r="R14" s="47"/>
      <c r="S14" s="47"/>
      <c r="T14" s="2">
        <v>18.7</v>
      </c>
      <c r="U14" s="5">
        <f>U6</f>
        <v>4.28</v>
      </c>
      <c r="V14" s="5">
        <f t="shared" ref="V14:X14" si="14">V6</f>
        <v>4.3099999999999996</v>
      </c>
      <c r="W14" s="5">
        <f t="shared" si="14"/>
        <v>4.54</v>
      </c>
      <c r="X14" s="5">
        <f t="shared" si="14"/>
        <v>4.29</v>
      </c>
      <c r="Y14" s="47" t="s">
        <v>21</v>
      </c>
      <c r="Z14" s="47"/>
      <c r="AA14" s="47"/>
      <c r="AB14" s="2">
        <v>18.7</v>
      </c>
      <c r="AC14" s="5">
        <f>AC6</f>
        <v>2.63</v>
      </c>
      <c r="AD14" s="5">
        <f t="shared" ref="AD14:AF14" si="15">AD6</f>
        <v>2.5299999999999998</v>
      </c>
      <c r="AE14" s="5">
        <f t="shared" si="15"/>
        <v>2.4900000000000002</v>
      </c>
      <c r="AF14" s="5">
        <f t="shared" si="15"/>
        <v>2.5</v>
      </c>
    </row>
    <row r="15" spans="1:32" x14ac:dyDescent="0.3">
      <c r="A15" s="47" t="s">
        <v>46</v>
      </c>
      <c r="B15" s="47"/>
      <c r="C15" s="47"/>
      <c r="D15" s="2">
        <v>19.5</v>
      </c>
      <c r="E15" s="6">
        <f t="shared" si="8"/>
        <v>0.11167662844596243</v>
      </c>
      <c r="F15" s="15">
        <f t="shared" si="9"/>
        <v>1.0303666908970189E-3</v>
      </c>
      <c r="G15" s="54">
        <f>AVERAGE(F12:F17)</f>
        <v>2.0229161426574692E-3</v>
      </c>
      <c r="H15" s="54"/>
      <c r="I15" s="7">
        <f>AVERAGE(I4:I13)</f>
        <v>50.5</v>
      </c>
      <c r="J15" s="5">
        <f>AVERAGE(J4:J13)</f>
        <v>9.0980000000000008</v>
      </c>
      <c r="K15" s="7">
        <f>AVERAGE(K4:K13)</f>
        <v>19.270000000000003</v>
      </c>
      <c r="L15" s="47" t="s">
        <v>34</v>
      </c>
      <c r="M15" s="47"/>
      <c r="N15" s="47"/>
      <c r="O15" s="47"/>
      <c r="P15" s="47"/>
      <c r="Q15" s="7">
        <f>AVERAGE(Q4:Q13)</f>
        <v>50.5</v>
      </c>
      <c r="R15" s="5">
        <f>AVERAGE(R4:R13)</f>
        <v>3.968</v>
      </c>
      <c r="S15" s="7">
        <f>AVERAGE(S4:S13)</f>
        <v>2.1800000000000002</v>
      </c>
      <c r="T15" s="47" t="s">
        <v>34</v>
      </c>
      <c r="U15" s="47"/>
      <c r="V15" s="47"/>
      <c r="W15" s="47"/>
      <c r="X15" s="47"/>
      <c r="Y15" s="7">
        <f>AVERAGE(Y4:Y13)</f>
        <v>50.5</v>
      </c>
      <c r="Z15" s="5">
        <f>AVERAGE(Z4:Z13)</f>
        <v>10.135000000000002</v>
      </c>
      <c r="AA15" s="7">
        <f>AVERAGE(AA4:AA13)</f>
        <v>20.494999999999997</v>
      </c>
      <c r="AB15" s="47" t="s">
        <v>34</v>
      </c>
      <c r="AC15" s="47"/>
      <c r="AD15" s="47"/>
      <c r="AE15" s="47"/>
      <c r="AF15" s="47"/>
    </row>
    <row r="16" spans="1:32" x14ac:dyDescent="0.3">
      <c r="A16" s="3" t="s">
        <v>9</v>
      </c>
      <c r="B16" s="3" t="s">
        <v>7</v>
      </c>
      <c r="C16" s="3" t="s">
        <v>8</v>
      </c>
      <c r="D16" s="2">
        <v>24.4</v>
      </c>
      <c r="E16" s="6">
        <f t="shared" si="8"/>
        <v>0.12618626494266894</v>
      </c>
      <c r="F16" s="15">
        <f t="shared" si="9"/>
        <v>4.326896102603171E-4</v>
      </c>
      <c r="G16" s="54">
        <f>AVERAGE(F12:F17)</f>
        <v>2.0229161426574692E-3</v>
      </c>
      <c r="H16" s="54"/>
      <c r="I16" s="47" t="s">
        <v>22</v>
      </c>
      <c r="J16" s="47"/>
      <c r="K16" s="47"/>
      <c r="L16" s="2"/>
      <c r="M16" s="7"/>
      <c r="N16" s="7"/>
      <c r="O16" s="7"/>
      <c r="P16" s="7"/>
      <c r="Q16" s="47" t="s">
        <v>22</v>
      </c>
      <c r="R16" s="47"/>
      <c r="S16" s="47"/>
      <c r="T16" s="7"/>
      <c r="U16" s="7"/>
      <c r="V16" s="7"/>
      <c r="W16" s="7"/>
      <c r="X16" s="7"/>
      <c r="Y16" s="47" t="s">
        <v>22</v>
      </c>
      <c r="Z16" s="47"/>
      <c r="AA16" s="47"/>
      <c r="AB16" s="7"/>
      <c r="AC16" s="7"/>
      <c r="AD16" s="7"/>
      <c r="AE16" s="7"/>
      <c r="AF16" s="7"/>
    </row>
    <row r="17" spans="1:32" x14ac:dyDescent="0.3">
      <c r="A17" s="59" t="s">
        <v>6</v>
      </c>
      <c r="B17" s="59"/>
      <c r="C17" s="59"/>
      <c r="D17" s="2">
        <v>29.3</v>
      </c>
      <c r="E17" s="6">
        <f t="shared" si="8"/>
        <v>0.13796047816540621</v>
      </c>
      <c r="F17" s="15">
        <f t="shared" si="9"/>
        <v>7.5841575061990848E-4</v>
      </c>
      <c r="G17" s="54">
        <f>AVERAGE(F12:F17)</f>
        <v>2.0229161426574692E-3</v>
      </c>
      <c r="H17" s="54"/>
      <c r="I17" s="6" t="s">
        <v>23</v>
      </c>
      <c r="J17" s="6">
        <f>(J4-$J$15)*(J4-$J$15)</f>
        <v>5.1839999999998814E-3</v>
      </c>
      <c r="K17" s="6">
        <f>(K4-$K$15)*(K4-$K$15)</f>
        <v>2.8900000000000581E-2</v>
      </c>
      <c r="L17" s="52" t="s">
        <v>48</v>
      </c>
      <c r="M17" s="52"/>
      <c r="N17" s="52"/>
      <c r="O17" s="52"/>
      <c r="P17" s="52"/>
      <c r="Q17" s="6" t="s">
        <v>23</v>
      </c>
      <c r="R17" s="12">
        <f>(R4-$R$15)*(R4-$R$15)</f>
        <v>2.304000000000004E-3</v>
      </c>
      <c r="S17" s="12">
        <f>(S4-$S$15)*(S4-$S$15)</f>
        <v>1.0000000000000461E-4</v>
      </c>
      <c r="T17" s="45" t="s">
        <v>48</v>
      </c>
      <c r="U17" s="45"/>
      <c r="V17" s="45"/>
      <c r="W17" s="45"/>
      <c r="X17" s="45"/>
      <c r="Y17" s="6" t="s">
        <v>23</v>
      </c>
      <c r="Z17" s="12">
        <f>(Z4-$Z$15)*(Z4-$Z$15)</f>
        <v>1.322499999999964E-2</v>
      </c>
      <c r="AA17" s="12">
        <f>(AA4-$AA$15)*(AA4-$AA$15)</f>
        <v>0.40322499999999745</v>
      </c>
      <c r="AB17" s="41" t="s">
        <v>48</v>
      </c>
      <c r="AC17" s="41"/>
      <c r="AD17" s="41"/>
      <c r="AE17" s="41"/>
      <c r="AF17" s="41"/>
    </row>
    <row r="18" spans="1:32" ht="43.2" x14ac:dyDescent="0.3">
      <c r="A18" s="2">
        <f>AVERAGE(B4,C4,B14,C14)</f>
        <v>16.7</v>
      </c>
      <c r="B18" s="7">
        <f>(B4-A18)*(B4-A18)</f>
        <v>0</v>
      </c>
      <c r="C18" s="5">
        <f>SQRT(SUM(B18:B21)/3)</f>
        <v>1.6217274740226859</v>
      </c>
      <c r="D18" s="47" t="s">
        <v>63</v>
      </c>
      <c r="E18" s="47"/>
      <c r="F18" s="47"/>
      <c r="G18" s="47"/>
      <c r="H18" s="47"/>
      <c r="I18" s="6" t="s">
        <v>23</v>
      </c>
      <c r="J18" s="6">
        <f t="shared" ref="J18:J25" si="16">(J5-$J$15)*(J5-$J$15)</f>
        <v>4.8399999999993246E-4</v>
      </c>
      <c r="K18" s="6">
        <f t="shared" ref="K18:K26" si="17">(K5-$K$15)*(K5-$K$15)</f>
        <v>8.9999999999985502E-4</v>
      </c>
      <c r="L18" s="8" t="s">
        <v>28</v>
      </c>
      <c r="M18" s="9" t="s">
        <v>29</v>
      </c>
      <c r="N18" s="9" t="s">
        <v>30</v>
      </c>
      <c r="O18" s="9" t="s">
        <v>31</v>
      </c>
      <c r="P18" s="9" t="s">
        <v>32</v>
      </c>
      <c r="Q18" s="6" t="s">
        <v>23</v>
      </c>
      <c r="R18" s="12">
        <f t="shared" ref="R18:R26" si="18">(R5-$R$15)*(R5-$R$15)</f>
        <v>1.4400000000000025E-4</v>
      </c>
      <c r="S18" s="12">
        <f t="shared" ref="S18:S26" si="19">(S5-$S$15)*(S5-$S$15)</f>
        <v>9.9999999999995736E-5</v>
      </c>
      <c r="T18" s="8" t="s">
        <v>28</v>
      </c>
      <c r="U18" s="9" t="s">
        <v>29</v>
      </c>
      <c r="V18" s="9" t="s">
        <v>30</v>
      </c>
      <c r="W18" s="9" t="s">
        <v>31</v>
      </c>
      <c r="X18" s="9" t="s">
        <v>32</v>
      </c>
      <c r="Y18" s="6" t="s">
        <v>23</v>
      </c>
      <c r="Z18" s="12">
        <f t="shared" ref="Z18:Z26" si="20">(Z5-$Z$15)*(Z5-$Z$15)</f>
        <v>1.2249999999998857E-3</v>
      </c>
      <c r="AA18" s="12">
        <f t="shared" ref="AA18:AA26" si="21">(AA5-$AA$15)*(AA5-$AA$15)</f>
        <v>5.0625000000000642E-2</v>
      </c>
      <c r="AB18" s="8" t="s">
        <v>28</v>
      </c>
      <c r="AC18" s="9" t="s">
        <v>29</v>
      </c>
      <c r="AD18" s="9" t="s">
        <v>30</v>
      </c>
      <c r="AE18" s="9" t="s">
        <v>31</v>
      </c>
      <c r="AF18" s="9" t="s">
        <v>32</v>
      </c>
    </row>
    <row r="19" spans="1:32" x14ac:dyDescent="0.3">
      <c r="A19" s="2"/>
      <c r="B19" s="7">
        <f>(C5-$A18)*(C5-$A18)</f>
        <v>7.8400000000000043</v>
      </c>
      <c r="C19" s="7"/>
      <c r="D19" s="39" t="s">
        <v>64</v>
      </c>
      <c r="E19" s="39"/>
      <c r="F19" s="39">
        <f>1/0.00232031506399737</f>
        <v>430.97595473833178</v>
      </c>
      <c r="G19" s="39"/>
      <c r="H19" s="39"/>
      <c r="I19" s="6" t="s">
        <v>23</v>
      </c>
      <c r="J19" s="6">
        <f t="shared" si="16"/>
        <v>1.0240000000000019E-3</v>
      </c>
      <c r="K19" s="6">
        <f t="shared" si="17"/>
        <v>2.8900000000000581E-2</v>
      </c>
      <c r="L19" s="56" t="s">
        <v>47</v>
      </c>
      <c r="M19" s="56"/>
      <c r="N19" s="56"/>
      <c r="O19" s="56"/>
      <c r="P19" s="56"/>
      <c r="Q19" s="6" t="s">
        <v>23</v>
      </c>
      <c r="R19" s="12">
        <f t="shared" si="18"/>
        <v>4.0000000000008951E-6</v>
      </c>
      <c r="S19" s="12">
        <f t="shared" si="19"/>
        <v>9.9999999999995736E-5</v>
      </c>
      <c r="T19" s="44" t="s">
        <v>47</v>
      </c>
      <c r="U19" s="44"/>
      <c r="V19" s="44"/>
      <c r="W19" s="44"/>
      <c r="X19" s="44"/>
      <c r="Y19" s="6" t="s">
        <v>23</v>
      </c>
      <c r="Z19" s="12">
        <f t="shared" si="20"/>
        <v>5.6249999999998931E-3</v>
      </c>
      <c r="AA19" s="12">
        <f t="shared" si="21"/>
        <v>9.9225000000000813E-2</v>
      </c>
      <c r="AB19" s="57" t="s">
        <v>47</v>
      </c>
      <c r="AC19" s="57"/>
      <c r="AD19" s="57"/>
      <c r="AE19" s="57"/>
      <c r="AF19" s="57"/>
    </row>
    <row r="20" spans="1:32" x14ac:dyDescent="0.3">
      <c r="A20" s="2"/>
      <c r="B20" s="7">
        <f>(C14-$A18)*(C14-$A18)</f>
        <v>3.9999999999999716E-2</v>
      </c>
      <c r="C20" s="7"/>
      <c r="D20" s="39" t="s">
        <v>65</v>
      </c>
      <c r="E20" s="39"/>
      <c r="F20" s="39">
        <f>0.0690546439120446</f>
        <v>6.9054643912044605E-2</v>
      </c>
      <c r="G20" s="39"/>
      <c r="H20" s="39"/>
      <c r="I20" s="6" t="s">
        <v>23</v>
      </c>
      <c r="J20" s="6">
        <f t="shared" si="16"/>
        <v>4.6240000000001896E-3</v>
      </c>
      <c r="K20" s="6">
        <f t="shared" si="17"/>
        <v>8.9999999999985502E-4</v>
      </c>
      <c r="L20" s="2">
        <v>4.5</v>
      </c>
      <c r="M20" s="12">
        <f t="shared" ref="M20:P23" si="22">(M3-M11)^2</f>
        <v>1.0000000000000018E-4</v>
      </c>
      <c r="N20" s="12">
        <f t="shared" si="22"/>
        <v>2.5000000000000045E-5</v>
      </c>
      <c r="O20" s="12">
        <f t="shared" si="22"/>
        <v>1.0000000000000018E-4</v>
      </c>
      <c r="P20" s="12">
        <f t="shared" si="22"/>
        <v>2.5000000000000045E-5</v>
      </c>
      <c r="Q20" s="6" t="s">
        <v>23</v>
      </c>
      <c r="R20" s="12">
        <f t="shared" si="18"/>
        <v>3.8440000000000345E-3</v>
      </c>
      <c r="S20" s="12">
        <f t="shared" si="19"/>
        <v>4.0000000000000072E-4</v>
      </c>
      <c r="T20" s="2">
        <v>4.5</v>
      </c>
      <c r="U20" s="13">
        <f t="shared" ref="U20:X23" si="23">(U3-U11)^2</f>
        <v>0</v>
      </c>
      <c r="V20" s="13">
        <f t="shared" si="23"/>
        <v>7.2249999999999936E-3</v>
      </c>
      <c r="W20" s="13">
        <f t="shared" si="23"/>
        <v>9.0249999999999948E-3</v>
      </c>
      <c r="X20" s="13">
        <f t="shared" si="23"/>
        <v>4.9000000000000085E-3</v>
      </c>
      <c r="Y20" s="6" t="s">
        <v>23</v>
      </c>
      <c r="Z20" s="12">
        <f t="shared" si="20"/>
        <v>5.6249999999998931E-3</v>
      </c>
      <c r="AA20" s="12">
        <f t="shared" si="21"/>
        <v>4.2025000000000756E-2</v>
      </c>
      <c r="AB20" s="2">
        <v>4.5</v>
      </c>
      <c r="AC20" s="13">
        <f t="shared" ref="AC20:AF23" si="24">(AC3-AC11)^2</f>
        <v>3.0250000000000055E-3</v>
      </c>
      <c r="AD20" s="13">
        <f t="shared" si="24"/>
        <v>2.0249999999999938E-3</v>
      </c>
      <c r="AE20" s="13">
        <f t="shared" si="24"/>
        <v>4.2249999999999927E-3</v>
      </c>
      <c r="AF20" s="13">
        <f t="shared" si="24"/>
        <v>4.9000000000000085E-3</v>
      </c>
    </row>
    <row r="21" spans="1:32" x14ac:dyDescent="0.3">
      <c r="A21" s="2"/>
      <c r="B21" s="7">
        <f>(B14-$A18)*(B14-$A18)</f>
        <v>1.0000000000000285E-2</v>
      </c>
      <c r="C21" s="7"/>
      <c r="D21" s="39" t="s">
        <v>66</v>
      </c>
      <c r="E21" s="39"/>
      <c r="F21" s="39">
        <f>SQRT(SUM(D23:D28)/4 * (1/6+F23^2/SUM(E23:E28)))*0.1</f>
        <v>8.4442473320829343</v>
      </c>
      <c r="G21" s="39"/>
      <c r="H21" s="39"/>
      <c r="I21" s="6" t="s">
        <v>23</v>
      </c>
      <c r="J21" s="6">
        <f t="shared" si="16"/>
        <v>2.304000000000004E-3</v>
      </c>
      <c r="K21" s="6">
        <f t="shared" si="17"/>
        <v>5.2899999999998559E-2</v>
      </c>
      <c r="L21" s="2">
        <v>9.5</v>
      </c>
      <c r="M21" s="12">
        <f t="shared" si="22"/>
        <v>2.2500000000000373E-4</v>
      </c>
      <c r="N21" s="12">
        <f t="shared" si="22"/>
        <v>0</v>
      </c>
      <c r="O21" s="12">
        <f t="shared" si="22"/>
        <v>2.2500000000000373E-4</v>
      </c>
      <c r="P21" s="12">
        <f t="shared" si="22"/>
        <v>6.2499999999999557E-4</v>
      </c>
      <c r="Q21" s="6" t="s">
        <v>23</v>
      </c>
      <c r="R21" s="12">
        <f t="shared" si="18"/>
        <v>8.4639999999999334E-3</v>
      </c>
      <c r="S21" s="12">
        <f t="shared" si="19"/>
        <v>1.6000000000000029E-3</v>
      </c>
      <c r="T21" s="2">
        <v>9.5</v>
      </c>
      <c r="U21" s="13">
        <f t="shared" si="23"/>
        <v>1.0000000000000461E-4</v>
      </c>
      <c r="V21" s="13">
        <f t="shared" si="23"/>
        <v>5.6249999999999599E-3</v>
      </c>
      <c r="W21" s="13">
        <f t="shared" si="23"/>
        <v>5.6250000000000267E-3</v>
      </c>
      <c r="X21" s="13">
        <f t="shared" si="23"/>
        <v>1.0000000000000018E-2</v>
      </c>
      <c r="Y21" s="6" t="s">
        <v>23</v>
      </c>
      <c r="Z21" s="12">
        <f t="shared" si="20"/>
        <v>3.4225000000000838E-2</v>
      </c>
      <c r="AA21" s="12">
        <f t="shared" si="21"/>
        <v>4.2250000000001661E-3</v>
      </c>
      <c r="AB21" s="2">
        <v>9.5</v>
      </c>
      <c r="AC21" s="13">
        <f t="shared" si="24"/>
        <v>1.0000000000000018E-4</v>
      </c>
      <c r="AD21" s="13">
        <f t="shared" si="24"/>
        <v>6.2499999999999557E-4</v>
      </c>
      <c r="AE21" s="13">
        <f t="shared" si="24"/>
        <v>2.0250000000000138E-3</v>
      </c>
      <c r="AF21" s="13">
        <f t="shared" si="24"/>
        <v>1.6000000000000029E-3</v>
      </c>
    </row>
    <row r="22" spans="1:32" x14ac:dyDescent="0.3">
      <c r="A22" s="47" t="s">
        <v>12</v>
      </c>
      <c r="B22" s="47"/>
      <c r="C22" s="47"/>
      <c r="D22" s="47" t="s">
        <v>51</v>
      </c>
      <c r="E22" s="47"/>
      <c r="F22" s="47"/>
      <c r="G22" s="47"/>
      <c r="H22" s="47"/>
      <c r="I22" s="6" t="s">
        <v>23</v>
      </c>
      <c r="J22" s="6">
        <f t="shared" si="16"/>
        <v>1.638400000000003E-2</v>
      </c>
      <c r="K22" s="6">
        <f t="shared" si="17"/>
        <v>0.10889999999999887</v>
      </c>
      <c r="L22" s="2">
        <v>14.1</v>
      </c>
      <c r="M22" s="12">
        <f t="shared" si="22"/>
        <v>2.2499999999999707E-4</v>
      </c>
      <c r="N22" s="12">
        <f t="shared" si="22"/>
        <v>2.2499999999999707E-4</v>
      </c>
      <c r="O22" s="12">
        <f t="shared" si="22"/>
        <v>3.9999999999999183E-4</v>
      </c>
      <c r="P22" s="12">
        <f t="shared" si="22"/>
        <v>8.9999999999998827E-4</v>
      </c>
      <c r="Q22" s="6" t="s">
        <v>23</v>
      </c>
      <c r="R22" s="12">
        <f t="shared" si="18"/>
        <v>7.8400000000000138E-4</v>
      </c>
      <c r="S22" s="12">
        <f t="shared" si="19"/>
        <v>9.9999999999995736E-5</v>
      </c>
      <c r="T22" s="2">
        <v>14.1</v>
      </c>
      <c r="U22" s="13">
        <f t="shared" si="23"/>
        <v>8.9999999999998827E-4</v>
      </c>
      <c r="V22" s="13">
        <f t="shared" si="23"/>
        <v>2.4999999999998934E-5</v>
      </c>
      <c r="W22" s="13">
        <f t="shared" si="23"/>
        <v>4.8999999999999773E-3</v>
      </c>
      <c r="X22" s="13">
        <f t="shared" si="23"/>
        <v>3.6000000000000064E-3</v>
      </c>
      <c r="Y22" s="6" t="s">
        <v>23</v>
      </c>
      <c r="Z22" s="12">
        <f t="shared" si="20"/>
        <v>3.0625000000000249E-2</v>
      </c>
      <c r="AA22" s="12">
        <f t="shared" si="21"/>
        <v>4.2249999999997047E-3</v>
      </c>
      <c r="AB22" s="2">
        <v>14.1</v>
      </c>
      <c r="AC22" s="13">
        <f t="shared" si="24"/>
        <v>9.000000000000016E-4</v>
      </c>
      <c r="AD22" s="13">
        <f t="shared" si="24"/>
        <v>4.0000000000000072E-4</v>
      </c>
      <c r="AE22" s="13">
        <f t="shared" si="24"/>
        <v>4.0000000000000072E-4</v>
      </c>
      <c r="AF22" s="13">
        <f t="shared" si="24"/>
        <v>1.6000000000000029E-3</v>
      </c>
    </row>
    <row r="23" spans="1:32" x14ac:dyDescent="0.3">
      <c r="A23" s="2">
        <f>AVERAGE(B13,C13,C5,B5)</f>
        <v>19.75</v>
      </c>
      <c r="B23" s="7">
        <f>(B5-A23)*(B5-A23)</f>
        <v>6.25E-2</v>
      </c>
      <c r="C23" s="5">
        <f>SQRT(SUM(B23:B26)/3)</f>
        <v>0.30000000000000032</v>
      </c>
      <c r="D23" s="7">
        <f t="shared" ref="D23:D28" si="25">(D12-$F$19*E12-$F$20)^2</f>
        <v>882.59255362075044</v>
      </c>
      <c r="E23" s="7">
        <f t="shared" ref="E23:E28" si="26">($F$23-E12)^2</f>
        <v>8.490349579934911E-4</v>
      </c>
      <c r="F23" s="6">
        <f>AVERAGE(E12:E17)</f>
        <v>0.10858441083191023</v>
      </c>
      <c r="G23" s="7"/>
      <c r="H23" s="7"/>
      <c r="I23" s="6" t="s">
        <v>23</v>
      </c>
      <c r="J23" s="6">
        <f t="shared" si="16"/>
        <v>3.9204000000000155E-2</v>
      </c>
      <c r="K23" s="6">
        <f t="shared" si="17"/>
        <v>1.6899999999998819E-2</v>
      </c>
      <c r="L23" s="2">
        <v>18.7</v>
      </c>
      <c r="M23" s="12">
        <f t="shared" si="22"/>
        <v>0</v>
      </c>
      <c r="N23" s="12">
        <f t="shared" si="22"/>
        <v>0</v>
      </c>
      <c r="O23" s="12">
        <f t="shared" si="22"/>
        <v>0</v>
      </c>
      <c r="P23" s="12">
        <f t="shared" si="22"/>
        <v>0</v>
      </c>
      <c r="Q23" s="6" t="s">
        <v>23</v>
      </c>
      <c r="R23" s="12">
        <f t="shared" si="18"/>
        <v>1.4400000000000025E-4</v>
      </c>
      <c r="S23" s="12">
        <f t="shared" si="19"/>
        <v>1.0000000000000461E-4</v>
      </c>
      <c r="T23" s="2">
        <v>18.7</v>
      </c>
      <c r="U23" s="13">
        <f t="shared" si="23"/>
        <v>0</v>
      </c>
      <c r="V23" s="13">
        <f t="shared" si="23"/>
        <v>0</v>
      </c>
      <c r="W23" s="13">
        <f t="shared" si="23"/>
        <v>0</v>
      </c>
      <c r="X23" s="13">
        <f t="shared" si="23"/>
        <v>0</v>
      </c>
      <c r="Y23" s="6" t="s">
        <v>23</v>
      </c>
      <c r="Z23" s="12">
        <f t="shared" si="20"/>
        <v>9.0250000000004597E-3</v>
      </c>
      <c r="AA23" s="12">
        <f t="shared" si="21"/>
        <v>9.0249999999997832E-3</v>
      </c>
      <c r="AB23" s="2">
        <v>18.7</v>
      </c>
      <c r="AC23" s="13">
        <f t="shared" si="24"/>
        <v>0</v>
      </c>
      <c r="AD23" s="13">
        <f t="shared" si="24"/>
        <v>0</v>
      </c>
      <c r="AE23" s="13">
        <f t="shared" si="24"/>
        <v>0</v>
      </c>
      <c r="AF23" s="13">
        <f t="shared" si="24"/>
        <v>0</v>
      </c>
    </row>
    <row r="24" spans="1:32" x14ac:dyDescent="0.3">
      <c r="A24" s="7"/>
      <c r="B24" s="7">
        <f>(C5-A23)*(C5-A23)</f>
        <v>6.25E-2</v>
      </c>
      <c r="C24" s="7"/>
      <c r="D24" s="7">
        <f t="shared" si="25"/>
        <v>958.63081364587117</v>
      </c>
      <c r="E24" s="7">
        <f t="shared" si="26"/>
        <v>2.1399500007469424E-4</v>
      </c>
      <c r="F24" s="7"/>
      <c r="G24" s="7"/>
      <c r="H24" s="7"/>
      <c r="I24" s="6" t="s">
        <v>23</v>
      </c>
      <c r="J24" s="6">
        <f t="shared" si="16"/>
        <v>5.1839999999998814E-3</v>
      </c>
      <c r="K24" s="6">
        <f t="shared" si="17"/>
        <v>8.9999999999985502E-4</v>
      </c>
      <c r="L24" s="2">
        <v>14.1</v>
      </c>
      <c r="M24" s="12">
        <f>(M7-M13)^2</f>
        <v>2.2499999999999707E-4</v>
      </c>
      <c r="N24" s="12">
        <f>(N7-N13)^2</f>
        <v>2.2500000000000373E-4</v>
      </c>
      <c r="O24" s="12">
        <f>(O7-O13)^2</f>
        <v>4.0000000000000072E-4</v>
      </c>
      <c r="P24" s="12">
        <f>(P7-P13)^2</f>
        <v>9.000000000000016E-4</v>
      </c>
      <c r="Q24" s="6" t="s">
        <v>23</v>
      </c>
      <c r="R24" s="12">
        <f t="shared" si="18"/>
        <v>1.4439999999999857E-3</v>
      </c>
      <c r="S24" s="12">
        <f t="shared" si="19"/>
        <v>4.0000000000000072E-4</v>
      </c>
      <c r="T24" s="2">
        <v>14.1</v>
      </c>
      <c r="U24" s="13">
        <f>(U7-U13)^2</f>
        <v>9.0000000000001494E-4</v>
      </c>
      <c r="V24" s="13">
        <f>(V7-V13)^2</f>
        <v>2.4999999999998934E-5</v>
      </c>
      <c r="W24" s="13">
        <f>(W7-W13)^2</f>
        <v>4.9000000000000397E-3</v>
      </c>
      <c r="X24" s="13">
        <f>(X7-X13)^2</f>
        <v>3.6000000000000064E-3</v>
      </c>
      <c r="Y24" s="6" t="s">
        <v>23</v>
      </c>
      <c r="Z24" s="12">
        <f t="shared" si="20"/>
        <v>2.2499999999996375E-4</v>
      </c>
      <c r="AA24" s="12">
        <f t="shared" si="21"/>
        <v>2.0249999999998338E-3</v>
      </c>
      <c r="AB24" s="2">
        <v>14.1</v>
      </c>
      <c r="AC24" s="13">
        <f>(AC7-AC13)^2</f>
        <v>8.9999999999998827E-4</v>
      </c>
      <c r="AD24" s="13">
        <f>(AD7-AD13)^2</f>
        <v>4.0000000000000072E-4</v>
      </c>
      <c r="AE24" s="13">
        <f>(AE7-AE13)^2</f>
        <v>3.9999999999999183E-4</v>
      </c>
      <c r="AF24" s="13">
        <f>(AF7-AF13)^2</f>
        <v>1.5999999999999851E-3</v>
      </c>
    </row>
    <row r="25" spans="1:32" x14ac:dyDescent="0.3">
      <c r="A25" s="7"/>
      <c r="B25" s="7">
        <f>(B13-A23)*(B13-A23)</f>
        <v>2.2499999999999572E-2</v>
      </c>
      <c r="C25" s="7"/>
      <c r="D25" s="7">
        <f t="shared" si="25"/>
        <v>873.18626537381681</v>
      </c>
      <c r="E25" s="7">
        <f t="shared" si="26"/>
        <v>3.9732431436963268E-5</v>
      </c>
      <c r="F25" s="7"/>
      <c r="G25" s="7"/>
      <c r="H25" s="7"/>
      <c r="I25" s="6" t="s">
        <v>23</v>
      </c>
      <c r="J25" s="6">
        <f t="shared" si="16"/>
        <v>1.2544000000000022E-2</v>
      </c>
      <c r="K25" s="6">
        <f t="shared" si="17"/>
        <v>4.9000000000005367E-3</v>
      </c>
      <c r="L25" s="2">
        <v>9.5</v>
      </c>
      <c r="M25" s="12">
        <f>(M8-M12)^2</f>
        <v>2.2499999999999707E-4</v>
      </c>
      <c r="N25" s="12">
        <f>(N8-N12)^2</f>
        <v>0</v>
      </c>
      <c r="O25" s="12">
        <f>(O8-O12)^2</f>
        <v>2.2499999999999707E-4</v>
      </c>
      <c r="P25" s="12">
        <f>(P8-P12)^2</f>
        <v>6.2500000000000663E-4</v>
      </c>
      <c r="Q25" s="6" t="s">
        <v>23</v>
      </c>
      <c r="R25" s="12">
        <f t="shared" si="18"/>
        <v>7.8400000000000138E-4</v>
      </c>
      <c r="S25" s="12">
        <f t="shared" si="19"/>
        <v>9.0000000000001494E-4</v>
      </c>
      <c r="T25" s="2">
        <v>9.5</v>
      </c>
      <c r="U25" s="13">
        <f>(U8-U12)^2</f>
        <v>9.9999999999995736E-5</v>
      </c>
      <c r="V25" s="13">
        <f>(V8-V12)^2</f>
        <v>5.6250000000000267E-3</v>
      </c>
      <c r="W25" s="13">
        <f>(W8-W12)^2</f>
        <v>5.6250000000000267E-3</v>
      </c>
      <c r="X25" s="13">
        <f>(X8-X12)^2</f>
        <v>1.0000000000000018E-2</v>
      </c>
      <c r="Y25" s="6" t="s">
        <v>23</v>
      </c>
      <c r="Z25" s="12">
        <f t="shared" si="20"/>
        <v>3.0249999999997735E-3</v>
      </c>
      <c r="AA25" s="12">
        <f t="shared" si="21"/>
        <v>2.2500000000012365E-4</v>
      </c>
      <c r="AB25" s="2">
        <v>9.5</v>
      </c>
      <c r="AC25" s="13">
        <f>(AC8-AC12)^2</f>
        <v>9.9999999999995736E-5</v>
      </c>
      <c r="AD25" s="13">
        <f>(AD8-AD12)^2</f>
        <v>6.2500000000000663E-4</v>
      </c>
      <c r="AE25" s="13">
        <f>(AE8-AE12)^2</f>
        <v>2.0249999999999938E-3</v>
      </c>
      <c r="AF25" s="13">
        <f>(AF8-AF12)^2</f>
        <v>1.6000000000000029E-3</v>
      </c>
    </row>
    <row r="26" spans="1:32" x14ac:dyDescent="0.3">
      <c r="A26" s="7"/>
      <c r="B26" s="7">
        <f>(C13-A23)*(C13-A23)</f>
        <v>0.122500000000001</v>
      </c>
      <c r="C26" s="7"/>
      <c r="D26" s="7">
        <f t="shared" si="25"/>
        <v>823.63238348275377</v>
      </c>
      <c r="E26" s="7">
        <f t="shared" si="26"/>
        <v>9.5618097726547183E-6</v>
      </c>
      <c r="F26" s="7"/>
      <c r="G26" s="7"/>
      <c r="H26" s="7"/>
      <c r="I26" s="6" t="s">
        <v>23</v>
      </c>
      <c r="J26" s="6">
        <f>(J13-$J$15)*(J13-$J$15)</f>
        <v>1.7423999999999915E-2</v>
      </c>
      <c r="K26" s="6">
        <f t="shared" si="17"/>
        <v>0.13690000000000335</v>
      </c>
      <c r="L26" s="2">
        <v>4.5</v>
      </c>
      <c r="M26" s="12">
        <f>(M9-M11)^2</f>
        <v>1.0000000000000018E-4</v>
      </c>
      <c r="N26" s="12">
        <f>(N9-N11)^2</f>
        <v>2.5000000000000045E-5</v>
      </c>
      <c r="O26" s="12">
        <f>(O9-O11)^2</f>
        <v>1.0000000000000018E-4</v>
      </c>
      <c r="P26" s="12">
        <f>(P9-P11)^2</f>
        <v>2.5000000000000045E-5</v>
      </c>
      <c r="Q26" s="6" t="s">
        <v>23</v>
      </c>
      <c r="R26" s="12">
        <f t="shared" si="18"/>
        <v>1.4439999999999857E-3</v>
      </c>
      <c r="S26" s="12">
        <f t="shared" si="19"/>
        <v>4.0000000000000072E-4</v>
      </c>
      <c r="T26" s="2">
        <v>4.5</v>
      </c>
      <c r="U26" s="13">
        <f>(U9-U11)^2</f>
        <v>0</v>
      </c>
      <c r="V26" s="13">
        <f>(V9-V11)^2</f>
        <v>7.2249999999999936E-3</v>
      </c>
      <c r="W26" s="13">
        <f>(W9-W11)^2</f>
        <v>9.0249999999999948E-3</v>
      </c>
      <c r="X26" s="13">
        <f>(X9-X11)^2</f>
        <v>4.9000000000000085E-3</v>
      </c>
      <c r="Y26" s="6" t="s">
        <v>23</v>
      </c>
      <c r="Z26" s="12">
        <f t="shared" si="20"/>
        <v>7.2249999999998427E-3</v>
      </c>
      <c r="AA26" s="12">
        <f t="shared" si="21"/>
        <v>2.2500000000012365E-4</v>
      </c>
      <c r="AB26" s="2">
        <v>4.5</v>
      </c>
      <c r="AC26" s="13">
        <f>(AC9-AC11)^2</f>
        <v>3.024999999999993E-3</v>
      </c>
      <c r="AD26" s="13">
        <f>(AD9-AD11)^2</f>
        <v>2.0250000000000038E-3</v>
      </c>
      <c r="AE26" s="13">
        <f>(AE9-AE11)^2</f>
        <v>4.2250000000000074E-3</v>
      </c>
      <c r="AF26" s="13">
        <f>(AF9-AF11)^2</f>
        <v>4.8999999999999929E-3</v>
      </c>
    </row>
    <row r="27" spans="1:32" x14ac:dyDescent="0.3">
      <c r="A27" s="47" t="s">
        <v>11</v>
      </c>
      <c r="B27" s="47"/>
      <c r="C27" s="47"/>
      <c r="D27" s="7">
        <f t="shared" si="25"/>
        <v>903.14077450481864</v>
      </c>
      <c r="E27" s="7">
        <f t="shared" si="26"/>
        <v>3.0982526813643321E-4</v>
      </c>
      <c r="F27" s="7"/>
      <c r="G27" s="7"/>
      <c r="H27" s="7"/>
      <c r="I27" s="61" t="s">
        <v>24</v>
      </c>
      <c r="J27" s="61"/>
      <c r="K27" s="61"/>
      <c r="L27" s="52" t="s">
        <v>49</v>
      </c>
      <c r="M27" s="52"/>
      <c r="N27" s="52"/>
      <c r="O27" s="52"/>
      <c r="P27" s="52"/>
      <c r="Q27" s="61" t="s">
        <v>24</v>
      </c>
      <c r="R27" s="61"/>
      <c r="S27" s="61"/>
      <c r="T27" s="45" t="s">
        <v>49</v>
      </c>
      <c r="U27" s="45"/>
      <c r="V27" s="45"/>
      <c r="W27" s="45"/>
      <c r="X27" s="45"/>
      <c r="Y27" s="61" t="s">
        <v>24</v>
      </c>
      <c r="Z27" s="61"/>
      <c r="AA27" s="61"/>
      <c r="AB27" s="41" t="s">
        <v>49</v>
      </c>
      <c r="AC27" s="41"/>
      <c r="AD27" s="41"/>
      <c r="AE27" s="41"/>
      <c r="AF27" s="41"/>
    </row>
    <row r="28" spans="1:32" x14ac:dyDescent="0.3">
      <c r="A28" s="2">
        <f>AVERAGE(B6,C6,B12,C12)</f>
        <v>21.5</v>
      </c>
      <c r="B28" s="7">
        <f>(B6-A28)*(B6-A28)</f>
        <v>3.9999999999999716E-2</v>
      </c>
      <c r="C28" s="5">
        <f>SQRT(SUM(B28:B31)/3)</f>
        <v>0.1414213562373095</v>
      </c>
      <c r="D28" s="7">
        <f t="shared" si="25"/>
        <v>913.65360069281667</v>
      </c>
      <c r="E28" s="7">
        <f t="shared" si="26"/>
        <v>8.6295333198209E-4</v>
      </c>
      <c r="F28" s="7"/>
      <c r="G28" s="7"/>
      <c r="H28" s="7"/>
      <c r="I28" s="6" t="s">
        <v>23</v>
      </c>
      <c r="J28" s="6">
        <f>SQRT(SUM(J17:J26)/9)</f>
        <v>0.10768266135063509</v>
      </c>
      <c r="K28" s="6">
        <f>SQRT(SUM(K17:K26)/9)</f>
        <v>0.20575065816014643</v>
      </c>
      <c r="L28" s="2">
        <v>4.5</v>
      </c>
      <c r="M28" s="7">
        <f>SQRT(SUM(M20,M26)/2)</f>
        <v>1.0000000000000009E-2</v>
      </c>
      <c r="N28" s="7">
        <f>SQRT(SUM(N20,N26)/2)</f>
        <v>5.0000000000000044E-3</v>
      </c>
      <c r="O28" s="7">
        <f>SQRT(SUM(O20,O26)/2)</f>
        <v>1.0000000000000009E-2</v>
      </c>
      <c r="P28" s="7">
        <f>SQRT(SUM(P20,P26)/2)</f>
        <v>5.0000000000000044E-3</v>
      </c>
      <c r="Q28" s="6" t="s">
        <v>23</v>
      </c>
      <c r="R28" s="6">
        <f>SQRT(SUM(R17:R26)/9)</f>
        <v>4.6380072349136166E-2</v>
      </c>
      <c r="S28" s="6">
        <f>SQRT(SUM(S17:S26)/9)</f>
        <v>2.1602468994692911E-2</v>
      </c>
      <c r="T28" s="2">
        <v>4.5</v>
      </c>
      <c r="U28" s="7">
        <f>SQRT(SUM(U20,U26)/2)</f>
        <v>0</v>
      </c>
      <c r="V28" s="7">
        <f>SQRT(SUM(V20,V26)/2)</f>
        <v>8.4999999999999964E-2</v>
      </c>
      <c r="W28" s="7">
        <f>SQRT(SUM(W20,W26)/2)</f>
        <v>9.4999999999999973E-2</v>
      </c>
      <c r="X28" s="7">
        <f>SQRT(SUM(X20,X26)/2)</f>
        <v>7.0000000000000062E-2</v>
      </c>
      <c r="Y28" s="6" t="s">
        <v>23</v>
      </c>
      <c r="Z28" s="6">
        <f>SQRT(SUM(Z17:Z26)/9)</f>
        <v>0.1105792827693227</v>
      </c>
      <c r="AA28" s="6">
        <f>SQRT(SUM(AA17:AA26)/9)</f>
        <v>0.26141707841854711</v>
      </c>
      <c r="AB28" s="2">
        <v>4.5</v>
      </c>
      <c r="AC28" s="7">
        <f>SQRT(SUM(AC20,AC26)/2)</f>
        <v>5.4999999999999993E-2</v>
      </c>
      <c r="AD28" s="7">
        <f>SQRT(SUM(AD20,AD26)/2)</f>
        <v>4.4999999999999991E-2</v>
      </c>
      <c r="AE28" s="7">
        <f>SQRT(SUM(AE20,AE26)/2)</f>
        <v>6.5000000000000002E-2</v>
      </c>
      <c r="AF28" s="7">
        <f>SQRT(SUM(AF20,AF26)/2)</f>
        <v>7.0000000000000007E-2</v>
      </c>
    </row>
    <row r="29" spans="1:32" x14ac:dyDescent="0.3">
      <c r="A29" s="7"/>
      <c r="B29" s="7">
        <f>(C6-A28)*(C6-A28)</f>
        <v>1.0000000000000285E-2</v>
      </c>
      <c r="C29" s="7"/>
      <c r="D29" s="55" t="s">
        <v>67</v>
      </c>
      <c r="E29" s="55"/>
      <c r="F29" s="55"/>
      <c r="G29" s="55"/>
      <c r="H29" s="55"/>
      <c r="I29" s="47" t="s">
        <v>25</v>
      </c>
      <c r="J29" s="47"/>
      <c r="K29" s="47"/>
      <c r="L29" s="2">
        <v>9.5</v>
      </c>
      <c r="M29" s="7">
        <f>SQRT(SUM(M21,M25)/2)</f>
        <v>1.5000000000000013E-2</v>
      </c>
      <c r="N29" s="7">
        <f>SQRT(SUM(N21,N25)/2)</f>
        <v>0</v>
      </c>
      <c r="O29" s="7">
        <f>SQRT(SUM(O21,O25)/2)</f>
        <v>1.5000000000000013E-2</v>
      </c>
      <c r="P29" s="7">
        <f>SQRT(SUM(P21,P25)/2)</f>
        <v>2.5000000000000022E-2</v>
      </c>
      <c r="Q29" s="47" t="s">
        <v>25</v>
      </c>
      <c r="R29" s="47"/>
      <c r="S29" s="47"/>
      <c r="T29" s="2">
        <v>9.5</v>
      </c>
      <c r="U29" s="7">
        <f>SQRT(SUM(U21,U25)/2)</f>
        <v>1.0000000000000009E-2</v>
      </c>
      <c r="V29" s="7">
        <f>SQRT(SUM(V21,V25)/2)</f>
        <v>7.4999999999999956E-2</v>
      </c>
      <c r="W29" s="7">
        <f>SQRT(SUM(W21,W25)/2)</f>
        <v>7.5000000000000178E-2</v>
      </c>
      <c r="X29" s="7">
        <f>SQRT(SUM(X21,X25)/2)</f>
        <v>0.10000000000000009</v>
      </c>
      <c r="Y29" s="47" t="s">
        <v>25</v>
      </c>
      <c r="Z29" s="47"/>
      <c r="AA29" s="47"/>
      <c r="AB29" s="2">
        <v>9.5</v>
      </c>
      <c r="AC29" s="7">
        <f>SQRT(SUM(AC21,AC25)/2)</f>
        <v>9.9999999999998979E-3</v>
      </c>
      <c r="AD29" s="7">
        <f>SQRT(SUM(AD21,AD25)/2)</f>
        <v>2.5000000000000022E-2</v>
      </c>
      <c r="AE29" s="7">
        <f>SQRT(SUM(AE21,AE25)/2)</f>
        <v>4.500000000000004E-2</v>
      </c>
      <c r="AF29" s="7">
        <f>SQRT(SUM(AF21,AF25)/2)</f>
        <v>4.0000000000000036E-2</v>
      </c>
    </row>
    <row r="30" spans="1:32" x14ac:dyDescent="0.3">
      <c r="A30" s="7"/>
      <c r="B30" s="7">
        <v>0</v>
      </c>
      <c r="C30" s="7"/>
      <c r="D30" s="39" t="s">
        <v>68</v>
      </c>
      <c r="E30" s="39"/>
      <c r="F30" s="7">
        <f>4*F19*10^3*B48*10^(-4)/(PI()*0.73^2*10^(-6))</f>
        <v>140693522288.31076</v>
      </c>
      <c r="G30" s="7"/>
      <c r="H30" s="7"/>
      <c r="I30" s="7">
        <v>0.05</v>
      </c>
      <c r="J30" s="7">
        <v>5.0000000000000001E-3</v>
      </c>
      <c r="K30" s="7">
        <v>5.0000000000000001E-3</v>
      </c>
      <c r="L30" s="2">
        <v>14.1</v>
      </c>
      <c r="M30" s="7">
        <f>SQRT(SUM(M22,M24)/2)</f>
        <v>1.4999999999999902E-2</v>
      </c>
      <c r="N30" s="7">
        <f>SQRT(SUM(N22,N24)/2)</f>
        <v>1.5000000000000013E-2</v>
      </c>
      <c r="O30" s="7">
        <f>SQRT(SUM(O22,O24)/2)</f>
        <v>1.9999999999999907E-2</v>
      </c>
      <c r="P30" s="7">
        <f>SQRT(SUM(P22,P24)/2)</f>
        <v>2.9999999999999916E-2</v>
      </c>
      <c r="Q30" s="7">
        <v>0.05</v>
      </c>
      <c r="R30" s="7">
        <v>5.0000000000000001E-3</v>
      </c>
      <c r="S30" s="7">
        <v>5.0000000000000001E-3</v>
      </c>
      <c r="T30" s="2">
        <v>14.1</v>
      </c>
      <c r="U30" s="7">
        <f>SQRT(SUM(U22,U24)/2)</f>
        <v>3.0000000000000027E-2</v>
      </c>
      <c r="V30" s="7">
        <f>SQRT(SUM(V22,V24)/2)</f>
        <v>4.9999999999998934E-3</v>
      </c>
      <c r="W30" s="7">
        <f>SQRT(SUM(W22,W24)/2)</f>
        <v>7.0000000000000062E-2</v>
      </c>
      <c r="X30" s="7">
        <f>SQRT(SUM(X22,X24)/2)</f>
        <v>6.0000000000000053E-2</v>
      </c>
      <c r="Y30" s="7">
        <v>0.05</v>
      </c>
      <c r="Z30" s="7">
        <v>5.0000000000000001E-3</v>
      </c>
      <c r="AA30" s="7">
        <v>5.0000000000000001E-3</v>
      </c>
      <c r="AB30" s="2">
        <v>14.1</v>
      </c>
      <c r="AC30" s="7">
        <f>SQRT(SUM(AC22,AC24)/2)</f>
        <v>2.9999999999999916E-2</v>
      </c>
      <c r="AD30" s="7">
        <f>SQRT(SUM(AD22,AD24)/2)</f>
        <v>2.0000000000000018E-2</v>
      </c>
      <c r="AE30" s="7">
        <f>SQRT(SUM(AE22,AE24)/2)</f>
        <v>1.9999999999999907E-2</v>
      </c>
      <c r="AF30" s="7">
        <f>SQRT(SUM(AF22,AF24)/2)</f>
        <v>3.9999999999999925E-2</v>
      </c>
    </row>
    <row r="31" spans="1:32" x14ac:dyDescent="0.3">
      <c r="A31" s="7"/>
      <c r="B31" s="7">
        <v>0.01</v>
      </c>
      <c r="C31" s="7"/>
      <c r="D31" s="39" t="s">
        <v>69</v>
      </c>
      <c r="E31" s="39"/>
      <c r="F31" s="7">
        <f>F30*SQRT( (F21/F19)^2+(B54/B48)^2)</f>
        <v>2769071757.1674919</v>
      </c>
      <c r="G31" s="7"/>
      <c r="H31" s="7"/>
      <c r="I31" s="47" t="s">
        <v>26</v>
      </c>
      <c r="J31" s="47"/>
      <c r="K31" s="47"/>
      <c r="L31" s="2">
        <v>18.7</v>
      </c>
      <c r="M31" s="7">
        <f>SQRT(SUM(M23,M27)/2)</f>
        <v>0</v>
      </c>
      <c r="N31" s="7">
        <f>SQRT(SUM(N23,N27)/2)</f>
        <v>0</v>
      </c>
      <c r="O31" s="7">
        <f>SQRT(SUM(O23,O27)/2)</f>
        <v>0</v>
      </c>
      <c r="P31" s="7">
        <f>SQRT(SUM(P23,P27)/2)</f>
        <v>0</v>
      </c>
      <c r="Q31" s="47" t="s">
        <v>26</v>
      </c>
      <c r="R31" s="47"/>
      <c r="S31" s="47"/>
      <c r="T31" s="2">
        <v>18.7</v>
      </c>
      <c r="U31" s="7">
        <f>SQRT(SUM(U23,U27)/2)</f>
        <v>0</v>
      </c>
      <c r="V31" s="7">
        <f>SQRT(SUM(V23,V27)/2)</f>
        <v>0</v>
      </c>
      <c r="W31" s="7">
        <f>SQRT(SUM(W23,W27)/2)</f>
        <v>0</v>
      </c>
      <c r="X31" s="7">
        <f>SQRT(SUM(X23,X27)/2)</f>
        <v>0</v>
      </c>
      <c r="Y31" s="47" t="s">
        <v>26</v>
      </c>
      <c r="Z31" s="47"/>
      <c r="AA31" s="47"/>
      <c r="AB31" s="2">
        <v>18.7</v>
      </c>
      <c r="AC31" s="7">
        <f>SQRT(SUM(AC23,AC27)/2)</f>
        <v>0</v>
      </c>
      <c r="AD31" s="7">
        <f>SQRT(SUM(AD23,AD27)/2)</f>
        <v>0</v>
      </c>
      <c r="AE31" s="7">
        <f>SQRT(SUM(AE23,AE27)/2)</f>
        <v>0</v>
      </c>
      <c r="AF31" s="7">
        <f>SQRT(SUM(AF23,AF27)/2)</f>
        <v>0</v>
      </c>
    </row>
    <row r="32" spans="1:32" x14ac:dyDescent="0.3">
      <c r="A32" s="47" t="s">
        <v>10</v>
      </c>
      <c r="B32" s="47"/>
      <c r="C32" s="47"/>
      <c r="D32" s="58" t="s">
        <v>70</v>
      </c>
      <c r="E32" s="58"/>
      <c r="F32" s="58"/>
      <c r="G32" s="58"/>
      <c r="H32" s="58"/>
      <c r="I32" s="6">
        <v>5.0000000000000001E-3</v>
      </c>
      <c r="J32" s="6">
        <f>SQRT(J30*J30+J28*J28)</f>
        <v>0.10779868067632165</v>
      </c>
      <c r="K32" s="6">
        <f>SQRT(K30*K30+K28*K28)</f>
        <v>0.20581140234042775</v>
      </c>
      <c r="L32" s="52" t="s">
        <v>50</v>
      </c>
      <c r="M32" s="52"/>
      <c r="N32" s="52"/>
      <c r="O32" s="52"/>
      <c r="P32" s="52"/>
      <c r="Q32" s="6">
        <v>5.0000000000000001E-3</v>
      </c>
      <c r="R32" s="6">
        <f>SQRT(R30*R30+R28*R28)</f>
        <v>4.6648806105956286E-2</v>
      </c>
      <c r="S32" s="6">
        <f>SQRT(S30*S30+S28*S28)</f>
        <v>2.2173557826083493E-2</v>
      </c>
      <c r="T32" s="45" t="s">
        <v>50</v>
      </c>
      <c r="U32" s="45"/>
      <c r="V32" s="45"/>
      <c r="W32" s="45"/>
      <c r="X32" s="45"/>
      <c r="Y32" s="6">
        <v>5.0000000000000001E-3</v>
      </c>
      <c r="Z32" s="6">
        <f>SQRT(Z30*Z30+Z28*Z28)</f>
        <v>0.1106922661154691</v>
      </c>
      <c r="AA32" s="6">
        <f>SQRT(AA30*AA30+AA28*AA28)</f>
        <v>0.26146489035602621</v>
      </c>
      <c r="AB32" s="41" t="s">
        <v>50</v>
      </c>
      <c r="AC32" s="41"/>
      <c r="AD32" s="41"/>
      <c r="AE32" s="41"/>
      <c r="AF32" s="41"/>
    </row>
    <row r="33" spans="1:32" x14ac:dyDescent="0.3">
      <c r="A33" s="2">
        <f>AVERAGE(B7,C7,B11,C11)</f>
        <v>23.475000000000001</v>
      </c>
      <c r="B33" s="7">
        <f>(B7-A33)*(B7-A33)</f>
        <v>7.5625000000001177E-2</v>
      </c>
      <c r="C33" s="5">
        <f>SQRT(SUM(B33:B36)/3)</f>
        <v>0.20615528128088315</v>
      </c>
      <c r="D33" s="7"/>
      <c r="E33" s="7"/>
      <c r="F33" s="7"/>
      <c r="G33" s="7"/>
      <c r="H33" s="7"/>
      <c r="I33" s="47" t="s">
        <v>27</v>
      </c>
      <c r="J33" s="47"/>
      <c r="K33" s="47"/>
      <c r="L33" s="2">
        <v>4.5</v>
      </c>
      <c r="M33" s="6">
        <f t="shared" ref="M33:P36" si="27">SQRT(M28^2+0.02^2)</f>
        <v>2.2360679774997901E-2</v>
      </c>
      <c r="N33" s="6">
        <f t="shared" si="27"/>
        <v>2.0615528128088305E-2</v>
      </c>
      <c r="O33" s="6">
        <f t="shared" si="27"/>
        <v>2.2360679774997901E-2</v>
      </c>
      <c r="P33" s="6">
        <f t="shared" si="27"/>
        <v>2.0615528128088305E-2</v>
      </c>
      <c r="Q33" s="47" t="s">
        <v>27</v>
      </c>
      <c r="R33" s="47"/>
      <c r="S33" s="47"/>
      <c r="T33" s="2">
        <v>4.5</v>
      </c>
      <c r="U33" s="6">
        <f t="shared" ref="U33:X36" si="28">SQRT(U28^2+0.02^2)</f>
        <v>0.02</v>
      </c>
      <c r="V33" s="6">
        <f t="shared" si="28"/>
        <v>8.7321245982864865E-2</v>
      </c>
      <c r="W33" s="6">
        <f t="shared" si="28"/>
        <v>9.7082439194737968E-2</v>
      </c>
      <c r="X33" s="6">
        <f t="shared" si="28"/>
        <v>7.2801098892805241E-2</v>
      </c>
      <c r="Y33" s="47" t="s">
        <v>27</v>
      </c>
      <c r="Z33" s="47"/>
      <c r="AA33" s="47"/>
      <c r="AB33" s="2">
        <v>4.5</v>
      </c>
      <c r="AC33" s="6">
        <f t="shared" ref="AC33:AF36" si="29">SQRT(AC28^2+0.02^2)</f>
        <v>5.8523499553598125E-2</v>
      </c>
      <c r="AD33" s="6">
        <f t="shared" si="29"/>
        <v>4.9244289008980514E-2</v>
      </c>
      <c r="AE33" s="6">
        <f t="shared" si="29"/>
        <v>6.8007352543677221E-2</v>
      </c>
      <c r="AF33" s="6">
        <f t="shared" si="29"/>
        <v>7.2801098892805186E-2</v>
      </c>
    </row>
    <row r="34" spans="1:32" x14ac:dyDescent="0.3">
      <c r="A34" s="7"/>
      <c r="B34" s="7">
        <v>6.2500000000000001E-4</v>
      </c>
      <c r="C34" s="7"/>
      <c r="D34" s="7"/>
      <c r="E34" s="7"/>
      <c r="F34" s="7"/>
      <c r="G34" s="7"/>
      <c r="H34" s="7"/>
      <c r="I34" s="8" t="s">
        <v>18</v>
      </c>
      <c r="J34" s="8" t="s">
        <v>20</v>
      </c>
      <c r="K34" s="8" t="s">
        <v>19</v>
      </c>
      <c r="L34" s="2">
        <v>9.5</v>
      </c>
      <c r="M34" s="6">
        <f t="shared" si="27"/>
        <v>2.5000000000000008E-2</v>
      </c>
      <c r="N34" s="6">
        <f t="shared" si="27"/>
        <v>0.02</v>
      </c>
      <c r="O34" s="6">
        <f t="shared" si="27"/>
        <v>2.5000000000000008E-2</v>
      </c>
      <c r="P34" s="6">
        <f t="shared" si="27"/>
        <v>3.2015621187164264E-2</v>
      </c>
      <c r="Q34" s="8" t="s">
        <v>18</v>
      </c>
      <c r="R34" s="8" t="s">
        <v>20</v>
      </c>
      <c r="S34" s="8" t="s">
        <v>37</v>
      </c>
      <c r="T34" s="2">
        <v>9.5</v>
      </c>
      <c r="U34" s="6">
        <f t="shared" si="28"/>
        <v>2.2360679774997901E-2</v>
      </c>
      <c r="V34" s="6">
        <f t="shared" si="28"/>
        <v>7.7620873481300076E-2</v>
      </c>
      <c r="W34" s="6">
        <f t="shared" si="28"/>
        <v>7.7620873481300298E-2</v>
      </c>
      <c r="X34" s="6">
        <f t="shared" si="28"/>
        <v>0.10198039027185578</v>
      </c>
      <c r="Y34" s="8" t="s">
        <v>18</v>
      </c>
      <c r="Z34" s="8" t="s">
        <v>20</v>
      </c>
      <c r="AA34" s="8" t="s">
        <v>19</v>
      </c>
      <c r="AB34" s="2">
        <v>9.5</v>
      </c>
      <c r="AC34" s="6">
        <f t="shared" si="29"/>
        <v>2.2360679774997852E-2</v>
      </c>
      <c r="AD34" s="6">
        <f t="shared" si="29"/>
        <v>3.2015621187164264E-2</v>
      </c>
      <c r="AE34" s="6">
        <f t="shared" si="29"/>
        <v>4.9244289008980563E-2</v>
      </c>
      <c r="AF34" s="6">
        <f t="shared" si="29"/>
        <v>4.4721359549995829E-2</v>
      </c>
    </row>
    <row r="35" spans="1:32" x14ac:dyDescent="0.3">
      <c r="A35" s="7"/>
      <c r="B35" s="7">
        <f>(B11-A33)*(B11-A33)</f>
        <v>6.24999999999929E-4</v>
      </c>
      <c r="C35" s="7"/>
      <c r="D35" s="7"/>
      <c r="E35" s="7"/>
      <c r="F35" s="7"/>
      <c r="G35" s="7"/>
      <c r="H35" s="7"/>
      <c r="I35" s="7" t="s">
        <v>38</v>
      </c>
      <c r="J35" s="7" t="s">
        <v>39</v>
      </c>
      <c r="K35" s="7" t="s">
        <v>40</v>
      </c>
      <c r="L35" s="2">
        <v>14.1</v>
      </c>
      <c r="M35" s="6">
        <f t="shared" si="27"/>
        <v>2.4999999999999942E-2</v>
      </c>
      <c r="N35" s="6">
        <f t="shared" si="27"/>
        <v>2.5000000000000008E-2</v>
      </c>
      <c r="O35" s="6">
        <f t="shared" si="27"/>
        <v>2.8284271247461835E-2</v>
      </c>
      <c r="P35" s="6">
        <f t="shared" si="27"/>
        <v>3.6055512754639821E-2</v>
      </c>
      <c r="Q35" s="7" t="s">
        <v>38</v>
      </c>
      <c r="R35" s="7" t="s">
        <v>41</v>
      </c>
      <c r="S35" s="7" t="s">
        <v>42</v>
      </c>
      <c r="T35" s="2">
        <v>14.1</v>
      </c>
      <c r="U35" s="6">
        <f t="shared" si="28"/>
        <v>3.6055512754639918E-2</v>
      </c>
      <c r="V35" s="6">
        <f t="shared" si="28"/>
        <v>2.0615528128088277E-2</v>
      </c>
      <c r="W35" s="6">
        <f t="shared" si="28"/>
        <v>7.2801098892805241E-2</v>
      </c>
      <c r="X35" s="6">
        <f t="shared" si="28"/>
        <v>6.3245553203367638E-2</v>
      </c>
      <c r="Y35" s="7" t="s">
        <v>38</v>
      </c>
      <c r="Z35" s="7" t="s">
        <v>44</v>
      </c>
      <c r="AA35" s="7" t="s">
        <v>45</v>
      </c>
      <c r="AB35" s="2">
        <v>14.1</v>
      </c>
      <c r="AC35" s="6">
        <f t="shared" si="29"/>
        <v>3.6055512754639821E-2</v>
      </c>
      <c r="AD35" s="6">
        <f t="shared" si="29"/>
        <v>2.8284271247461915E-2</v>
      </c>
      <c r="AE35" s="6">
        <f t="shared" si="29"/>
        <v>2.8284271247461835E-2</v>
      </c>
      <c r="AF35" s="6">
        <f t="shared" si="29"/>
        <v>4.4721359549995725E-2</v>
      </c>
    </row>
    <row r="36" spans="1:32" x14ac:dyDescent="0.3">
      <c r="A36" s="7"/>
      <c r="B36" s="7">
        <f>(C11-A33)*(C11-A33)</f>
        <v>5.0624999999999039E-2</v>
      </c>
      <c r="C36" s="7"/>
      <c r="D36" s="7"/>
      <c r="E36" s="7"/>
      <c r="F36" s="7"/>
      <c r="G36" s="7"/>
      <c r="H36" s="7"/>
      <c r="L36" s="2">
        <v>18.7</v>
      </c>
      <c r="M36" s="6">
        <f t="shared" si="27"/>
        <v>0.02</v>
      </c>
      <c r="N36" s="6">
        <f t="shared" si="27"/>
        <v>0.02</v>
      </c>
      <c r="O36" s="6">
        <f t="shared" si="27"/>
        <v>0.02</v>
      </c>
      <c r="P36" s="6">
        <f t="shared" si="27"/>
        <v>0.02</v>
      </c>
      <c r="Q36" s="7"/>
      <c r="R36" s="7"/>
      <c r="S36" s="7"/>
      <c r="T36" s="2">
        <v>18.7</v>
      </c>
      <c r="U36" s="6">
        <f t="shared" si="28"/>
        <v>0.02</v>
      </c>
      <c r="V36" s="6">
        <f t="shared" si="28"/>
        <v>0.02</v>
      </c>
      <c r="W36" s="6">
        <f t="shared" si="28"/>
        <v>0.02</v>
      </c>
      <c r="X36" s="6">
        <f t="shared" si="28"/>
        <v>0.02</v>
      </c>
      <c r="Y36" s="7"/>
      <c r="Z36" s="7"/>
      <c r="AA36" s="7"/>
      <c r="AB36" s="2">
        <v>18.7</v>
      </c>
      <c r="AC36" s="6">
        <f t="shared" si="29"/>
        <v>0.02</v>
      </c>
      <c r="AD36" s="6">
        <f t="shared" si="29"/>
        <v>0.02</v>
      </c>
      <c r="AE36" s="6">
        <f t="shared" si="29"/>
        <v>0.02</v>
      </c>
      <c r="AF36" s="6">
        <f t="shared" si="29"/>
        <v>0.02</v>
      </c>
    </row>
    <row r="37" spans="1:32" x14ac:dyDescent="0.3">
      <c r="A37" s="47" t="s">
        <v>13</v>
      </c>
      <c r="B37" s="47"/>
      <c r="C37" s="47"/>
      <c r="D37" s="7"/>
      <c r="E37" s="7"/>
      <c r="F37" s="7"/>
      <c r="G37" s="7"/>
      <c r="H37" s="7"/>
      <c r="I37" s="47" t="s">
        <v>87</v>
      </c>
      <c r="J37" s="47"/>
      <c r="K37" s="47"/>
      <c r="L37" s="52" t="s">
        <v>72</v>
      </c>
      <c r="M37" s="52"/>
      <c r="N37" s="52"/>
      <c r="O37" s="52"/>
      <c r="P37" s="52"/>
      <c r="Q37" s="47" t="s">
        <v>87</v>
      </c>
      <c r="R37" s="47"/>
      <c r="S37" s="47"/>
      <c r="T37" s="45" t="s">
        <v>72</v>
      </c>
      <c r="U37" s="45"/>
      <c r="V37" s="45"/>
      <c r="W37" s="45"/>
      <c r="X37" s="45"/>
      <c r="Y37" s="47" t="s">
        <v>87</v>
      </c>
      <c r="Z37" s="47"/>
      <c r="AA37" s="47"/>
      <c r="AB37" s="41" t="s">
        <v>72</v>
      </c>
      <c r="AC37" s="41"/>
      <c r="AD37" s="41"/>
      <c r="AE37" s="41"/>
      <c r="AF37" s="41"/>
    </row>
    <row r="38" spans="1:32" x14ac:dyDescent="0.3">
      <c r="A38" s="2">
        <f>AVERAGE(B8,C8,B10,C10)</f>
        <v>26.524999999999999</v>
      </c>
      <c r="B38" s="7">
        <v>0</v>
      </c>
      <c r="C38" s="5">
        <f>SQRT(SUM(B38:B41)/3)</f>
        <v>5.7735026918962581E-2</v>
      </c>
      <c r="D38" s="7"/>
      <c r="E38" s="7"/>
      <c r="F38" s="7"/>
      <c r="G38" s="7"/>
      <c r="H38" s="7"/>
      <c r="I38" s="48" t="s">
        <v>88</v>
      </c>
      <c r="J38" s="48"/>
      <c r="K38" s="1">
        <f>I15*10^-2</f>
        <v>0.505</v>
      </c>
      <c r="L38" s="39" t="s">
        <v>73</v>
      </c>
      <c r="M38" s="39"/>
      <c r="N38" s="39"/>
      <c r="O38" s="43">
        <v>0.134117013639626</v>
      </c>
      <c r="P38" s="43"/>
      <c r="Q38" s="48" t="s">
        <v>88</v>
      </c>
      <c r="R38" s="48"/>
      <c r="S38" s="1">
        <f>Q15*10^-2</f>
        <v>0.505</v>
      </c>
      <c r="T38" s="39" t="s">
        <v>73</v>
      </c>
      <c r="U38" s="39"/>
      <c r="V38" s="39"/>
      <c r="W38" s="43">
        <v>0.22989949748743699</v>
      </c>
      <c r="X38" s="43"/>
      <c r="Y38" s="48" t="s">
        <v>88</v>
      </c>
      <c r="Z38" s="48"/>
      <c r="AA38" s="1">
        <f>Y15*10^-2</f>
        <v>0.505</v>
      </c>
      <c r="AB38" s="39" t="s">
        <v>73</v>
      </c>
      <c r="AC38" s="39"/>
      <c r="AD38" s="39"/>
      <c r="AE38" s="43">
        <v>0.13944723618090399</v>
      </c>
      <c r="AF38" s="43"/>
    </row>
    <row r="39" spans="1:32" x14ac:dyDescent="0.3">
      <c r="A39" s="7"/>
      <c r="B39" s="7">
        <v>0</v>
      </c>
      <c r="C39" s="7"/>
      <c r="D39" s="7"/>
      <c r="E39" s="7"/>
      <c r="F39" s="7"/>
      <c r="G39" s="7"/>
      <c r="H39" s="7"/>
      <c r="I39" s="49" t="s">
        <v>89</v>
      </c>
      <c r="J39" s="49"/>
      <c r="K39" s="32">
        <f>J15*10^-3</f>
        <v>9.0980000000000002E-3</v>
      </c>
      <c r="L39" s="39" t="s">
        <v>74</v>
      </c>
      <c r="M39" s="39"/>
      <c r="N39" s="39"/>
      <c r="O39" s="43">
        <v>0.132035175879397</v>
      </c>
      <c r="P39" s="43"/>
      <c r="Q39" s="49" t="s">
        <v>89</v>
      </c>
      <c r="R39" s="49"/>
      <c r="S39" s="32">
        <f>R15*10^-3</f>
        <v>3.9680000000000002E-3</v>
      </c>
      <c r="T39" s="39" t="s">
        <v>74</v>
      </c>
      <c r="U39" s="39"/>
      <c r="V39" s="39"/>
      <c r="W39" s="43">
        <v>0.22812275664034401</v>
      </c>
      <c r="X39" s="43"/>
      <c r="Y39" s="49" t="s">
        <v>89</v>
      </c>
      <c r="Z39" s="49"/>
      <c r="AA39" s="32">
        <f>Z15*10^-3</f>
        <v>1.0135000000000002E-2</v>
      </c>
      <c r="AB39" s="39" t="s">
        <v>74</v>
      </c>
      <c r="AC39" s="39"/>
      <c r="AD39" s="39"/>
      <c r="AE39" s="43">
        <v>0.13497846374730799</v>
      </c>
      <c r="AF39" s="43"/>
    </row>
    <row r="40" spans="1:32" x14ac:dyDescent="0.3">
      <c r="A40" s="7"/>
      <c r="B40" s="7">
        <v>0</v>
      </c>
      <c r="C40" s="7"/>
      <c r="D40" s="7"/>
      <c r="E40" s="7"/>
      <c r="F40" s="7"/>
      <c r="G40" s="7"/>
      <c r="H40" s="7"/>
      <c r="I40" s="50" t="s">
        <v>90</v>
      </c>
      <c r="J40" s="50"/>
      <c r="K40" s="32">
        <f>K15*10^-3</f>
        <v>1.9270000000000002E-2</v>
      </c>
      <c r="L40" s="39" t="s">
        <v>75</v>
      </c>
      <c r="M40" s="39"/>
      <c r="N40" s="39"/>
      <c r="O40" s="43">
        <v>0.13180186647523301</v>
      </c>
      <c r="P40" s="43"/>
      <c r="Q40" s="50" t="s">
        <v>90</v>
      </c>
      <c r="R40" s="50"/>
      <c r="S40" s="32">
        <f>S15*10^-2</f>
        <v>2.1800000000000003E-2</v>
      </c>
      <c r="T40" s="39" t="s">
        <v>75</v>
      </c>
      <c r="U40" s="39"/>
      <c r="V40" s="39"/>
      <c r="W40" s="43">
        <v>0.23883704235462999</v>
      </c>
      <c r="X40" s="43"/>
      <c r="Y40" s="50" t="s">
        <v>90</v>
      </c>
      <c r="Z40" s="50"/>
      <c r="AA40" s="32">
        <f>AA15*10^-3</f>
        <v>2.0494999999999999E-2</v>
      </c>
      <c r="AB40" s="39" t="s">
        <v>75</v>
      </c>
      <c r="AC40" s="39"/>
      <c r="AD40" s="39"/>
      <c r="AE40" s="43">
        <v>0.133488872936109</v>
      </c>
      <c r="AF40" s="43"/>
    </row>
    <row r="41" spans="1:32" x14ac:dyDescent="0.3">
      <c r="A41" s="7"/>
      <c r="B41" s="7">
        <v>0.01</v>
      </c>
      <c r="C41" s="7"/>
      <c r="D41" s="7"/>
      <c r="E41" s="7"/>
      <c r="F41" s="7"/>
      <c r="G41" s="7"/>
      <c r="H41" s="7"/>
      <c r="I41" s="48" t="s">
        <v>91</v>
      </c>
      <c r="J41" s="48"/>
      <c r="K41" s="1">
        <f>O62*10^-3</f>
        <v>1.3269921033740102E-4</v>
      </c>
      <c r="L41" s="39" t="s">
        <v>76</v>
      </c>
      <c r="M41" s="39"/>
      <c r="N41" s="39"/>
      <c r="O41" s="43">
        <v>0.13284278535534799</v>
      </c>
      <c r="P41" s="43"/>
      <c r="Q41" s="48" t="s">
        <v>91</v>
      </c>
      <c r="R41" s="48"/>
      <c r="S41" s="1">
        <f>W62*10^-3</f>
        <v>2.3155509691313676E-4</v>
      </c>
      <c r="T41" s="39" t="s">
        <v>76</v>
      </c>
      <c r="U41" s="39"/>
      <c r="V41" s="39"/>
      <c r="W41" s="43">
        <v>0.22936109117013601</v>
      </c>
      <c r="X41" s="43"/>
      <c r="Y41" s="48" t="s">
        <v>91</v>
      </c>
      <c r="Z41" s="48"/>
      <c r="AA41" s="1">
        <f>AE62*10^-3</f>
        <v>1.3513549892318698E-4</v>
      </c>
      <c r="AB41" s="39" t="s">
        <v>76</v>
      </c>
      <c r="AC41" s="39"/>
      <c r="AD41" s="39"/>
      <c r="AE41" s="43">
        <v>0.13262742282842699</v>
      </c>
      <c r="AF41" s="43"/>
    </row>
    <row r="42" spans="1:32" x14ac:dyDescent="0.3">
      <c r="A42" s="47" t="s">
        <v>14</v>
      </c>
      <c r="B42" s="47"/>
      <c r="C42" s="47"/>
      <c r="D42" s="7"/>
      <c r="E42" s="7"/>
      <c r="F42" s="7"/>
      <c r="G42" s="7"/>
      <c r="H42" s="7"/>
      <c r="I42" s="19"/>
      <c r="J42" s="19"/>
      <c r="K42" s="19"/>
      <c r="L42" s="39" t="s">
        <v>77</v>
      </c>
      <c r="M42" s="39"/>
      <c r="N42" s="39"/>
      <c r="O42" s="42">
        <v>-1.1669059583631999E-2</v>
      </c>
      <c r="P42" s="42"/>
      <c r="Q42" s="7"/>
      <c r="R42" s="7"/>
      <c r="S42" s="7"/>
      <c r="T42" s="39" t="s">
        <v>77</v>
      </c>
      <c r="U42" s="39"/>
      <c r="V42" s="39"/>
      <c r="W42" s="42">
        <v>-1.7324120603016E-2</v>
      </c>
      <c r="X42" s="42"/>
      <c r="Y42" s="7"/>
      <c r="Z42" s="7"/>
      <c r="AA42" s="7"/>
      <c r="AB42" s="39" t="s">
        <v>77</v>
      </c>
      <c r="AC42" s="39"/>
      <c r="AD42" s="39"/>
      <c r="AE42" s="42">
        <v>2.3467336683416901E-2</v>
      </c>
      <c r="AF42" s="42"/>
    </row>
    <row r="43" spans="1:32" x14ac:dyDescent="0.3">
      <c r="A43" s="2">
        <f>AVERAGE(B9,C9)</f>
        <v>29</v>
      </c>
      <c r="B43" s="7">
        <v>0.01</v>
      </c>
      <c r="C43" s="5">
        <f>SQRT(SUM(B43,B44)/1)</f>
        <v>0.1414213562373095</v>
      </c>
      <c r="D43" s="7"/>
      <c r="E43" s="7"/>
      <c r="F43" s="7"/>
      <c r="G43" s="7"/>
      <c r="H43" s="7"/>
      <c r="I43" s="33"/>
      <c r="J43" s="33"/>
      <c r="K43" s="33"/>
      <c r="L43" s="39" t="s">
        <v>78</v>
      </c>
      <c r="M43" s="39"/>
      <c r="N43" s="39"/>
      <c r="O43" s="42">
        <v>-2.2311557788944399E-2</v>
      </c>
      <c r="P43" s="42"/>
      <c r="Q43" s="7"/>
      <c r="R43" s="7"/>
      <c r="S43" s="7"/>
      <c r="T43" s="39" t="s">
        <v>78</v>
      </c>
      <c r="U43" s="39"/>
      <c r="V43" s="39"/>
      <c r="W43" s="42">
        <v>3.8463747307967797E-2</v>
      </c>
      <c r="X43" s="42"/>
      <c r="Y43" s="7"/>
      <c r="Z43" s="7"/>
      <c r="AA43" s="7"/>
      <c r="AB43" s="39" t="s">
        <v>78</v>
      </c>
      <c r="AC43" s="39"/>
      <c r="AD43" s="39"/>
      <c r="AE43" s="42">
        <v>8.2519741564965696E-3</v>
      </c>
      <c r="AF43" s="42"/>
    </row>
    <row r="44" spans="1:32" x14ac:dyDescent="0.3">
      <c r="A44" s="7"/>
      <c r="B44" s="7">
        <v>0.01</v>
      </c>
      <c r="C44" s="7"/>
      <c r="D44" s="7"/>
      <c r="E44" s="7"/>
      <c r="F44" s="7"/>
      <c r="G44" s="7"/>
      <c r="H44" s="7"/>
      <c r="I44" s="19"/>
      <c r="J44" s="19"/>
      <c r="K44" s="19"/>
      <c r="L44" s="39" t="s">
        <v>79</v>
      </c>
      <c r="M44" s="39"/>
      <c r="N44" s="39"/>
      <c r="O44" s="43">
        <v>1.29181622397698E-2</v>
      </c>
      <c r="P44" s="43"/>
      <c r="Q44" s="7"/>
      <c r="R44" s="7"/>
      <c r="S44" s="7"/>
      <c r="T44" s="39" t="s">
        <v>79</v>
      </c>
      <c r="U44" s="39"/>
      <c r="V44" s="39"/>
      <c r="W44" s="43">
        <v>7.3106604450825702E-2</v>
      </c>
      <c r="X44" s="43"/>
      <c r="Y44" s="7"/>
      <c r="Z44" s="7"/>
      <c r="AA44" s="7"/>
      <c r="AB44" s="39" t="s">
        <v>79</v>
      </c>
      <c r="AC44" s="39"/>
      <c r="AD44" s="39"/>
      <c r="AE44" s="43">
        <v>-6.81981335247662E-3</v>
      </c>
      <c r="AF44" s="43"/>
    </row>
    <row r="45" spans="1:32" x14ac:dyDescent="0.3">
      <c r="A45" s="55" t="s">
        <v>57</v>
      </c>
      <c r="B45" s="55"/>
      <c r="C45" s="55"/>
      <c r="D45" s="16"/>
      <c r="E45" s="16"/>
      <c r="F45" s="16"/>
      <c r="G45" s="16"/>
      <c r="H45" s="16"/>
      <c r="I45" s="33"/>
      <c r="J45" s="33"/>
      <c r="K45" s="33"/>
      <c r="L45" s="39" t="s">
        <v>80</v>
      </c>
      <c r="M45" s="39"/>
      <c r="N45" s="39"/>
      <c r="O45" s="42">
        <v>-6.76058865757353E-3</v>
      </c>
      <c r="P45" s="42"/>
      <c r="Q45" s="7"/>
      <c r="R45" s="7"/>
      <c r="S45" s="7"/>
      <c r="T45" s="39" t="s">
        <v>80</v>
      </c>
      <c r="U45" s="39"/>
      <c r="V45" s="39"/>
      <c r="W45" s="42">
        <v>3.1475233309404202E-2</v>
      </c>
      <c r="X45" s="42"/>
      <c r="Y45" s="7"/>
      <c r="Z45" s="7"/>
      <c r="AA45" s="7"/>
      <c r="AB45" s="39" t="s">
        <v>80</v>
      </c>
      <c r="AC45" s="39"/>
      <c r="AD45" s="39"/>
      <c r="AE45" s="42">
        <v>1.32591529073937E-2</v>
      </c>
      <c r="AF45" s="42"/>
    </row>
    <row r="46" spans="1:32" ht="14.4" customHeight="1" x14ac:dyDescent="0.3">
      <c r="A46" s="5">
        <v>1367</v>
      </c>
      <c r="B46" s="5">
        <v>1363</v>
      </c>
      <c r="C46" s="5">
        <v>1369</v>
      </c>
      <c r="D46" s="8"/>
      <c r="E46" s="9"/>
      <c r="F46" s="9"/>
      <c r="G46" s="9"/>
      <c r="H46" s="9"/>
      <c r="I46" s="19"/>
      <c r="J46" s="19"/>
      <c r="K46" s="19"/>
      <c r="L46" s="52" t="s">
        <v>51</v>
      </c>
      <c r="M46" s="52"/>
      <c r="N46" s="52"/>
      <c r="O46" s="52"/>
      <c r="P46" s="52"/>
      <c r="Q46" s="7"/>
      <c r="R46" s="7"/>
      <c r="S46" s="7"/>
      <c r="T46" s="45" t="s">
        <v>51</v>
      </c>
      <c r="U46" s="45"/>
      <c r="V46" s="45"/>
      <c r="W46" s="45"/>
      <c r="X46" s="45"/>
      <c r="Y46" s="7"/>
      <c r="Z46" s="7"/>
      <c r="AA46" s="7"/>
      <c r="AB46" s="41" t="s">
        <v>51</v>
      </c>
      <c r="AC46" s="41"/>
      <c r="AD46" s="41"/>
      <c r="AE46" s="41"/>
      <c r="AF46" s="41"/>
    </row>
    <row r="47" spans="1:32" x14ac:dyDescent="0.3">
      <c r="A47" s="53" t="s">
        <v>58</v>
      </c>
      <c r="B47" s="53"/>
      <c r="C47" s="53"/>
      <c r="D47" s="2"/>
      <c r="E47" s="5"/>
      <c r="F47" s="5"/>
      <c r="G47" s="5"/>
      <c r="H47" s="5"/>
      <c r="I47" s="33"/>
      <c r="J47" s="33"/>
      <c r="K47" s="33"/>
      <c r="L47" s="7">
        <f>(M11-$O$38*L11-$O$42)^2</f>
        <v>3.4503129172579291E-6</v>
      </c>
      <c r="M47" s="7">
        <f>(N11-$O$39*L11-$O$43)^2</f>
        <v>2.8381243529204941E-4</v>
      </c>
      <c r="N47" s="7">
        <f>(O11-$O$40*L11-$O$44)^2</f>
        <v>3.6319442046638208E-5</v>
      </c>
      <c r="O47" s="7">
        <f>(P11-$O$41*L11-$O$45)^2</f>
        <v>3.6384365809141783E-5</v>
      </c>
      <c r="P47" s="7">
        <f>($O$62-O38)^2</f>
        <v>2.0101662038000871E-6</v>
      </c>
      <c r="Q47" s="7"/>
      <c r="R47" s="7"/>
      <c r="S47" s="7"/>
      <c r="T47" s="7">
        <f>(U11-$W$38*T11-$W$42)^2</f>
        <v>5.2180658316683615E-5</v>
      </c>
      <c r="U47" s="7">
        <f>(V11-$W$39*T11-$W$43)^2</f>
        <v>9.9677217102909829E-5</v>
      </c>
      <c r="V47" s="7">
        <f>(W11-$W$40*T11-$W$44)^2</f>
        <v>5.2318762629159632E-4</v>
      </c>
      <c r="W47" s="7">
        <f>(X11-$W$41*T11-$W$45)^2</f>
        <v>1.1289696482617033E-3</v>
      </c>
      <c r="X47" s="7">
        <f>($W$62-W38)^2</f>
        <v>2.7410094583773776E-6</v>
      </c>
      <c r="Y47" s="7"/>
      <c r="Z47" s="7"/>
      <c r="AA47" s="7"/>
      <c r="AB47" s="7">
        <f>(AC11-$AE$38*AB11-$AE$42)^2</f>
        <v>2.5535718794971715E-4</v>
      </c>
      <c r="AC47" s="7">
        <f>(AD11-$AE$39*AB11-$AE$43)^2</f>
        <v>1.1353032532676439E-4</v>
      </c>
      <c r="AD47" s="7">
        <f>(AE11-$AE$40*AB11-$AE$44)^2</f>
        <v>7.8856439927040304E-5</v>
      </c>
      <c r="AE47" s="7">
        <f>(AF11-$AE$41*AB11-$AE$45)^2</f>
        <v>6.8154329222715882E-9</v>
      </c>
      <c r="AF47" s="7">
        <f>($AE$62-AE38)^2</f>
        <v>1.8591078179584885E-5</v>
      </c>
    </row>
    <row r="48" spans="1:32" x14ac:dyDescent="0.3">
      <c r="A48" s="5" t="s">
        <v>23</v>
      </c>
      <c r="B48" s="5">
        <f>AVERAGE(A46:C46)</f>
        <v>1366.3333333333333</v>
      </c>
      <c r="C48" s="5" t="s">
        <v>23</v>
      </c>
      <c r="D48" s="2"/>
      <c r="E48" s="5"/>
      <c r="F48" s="5"/>
      <c r="G48" s="5"/>
      <c r="H48" s="5"/>
      <c r="I48" s="19"/>
      <c r="J48" s="19"/>
      <c r="K48" s="19"/>
      <c r="L48" s="7">
        <f>(M12-$O$38*L12-$O$42)^2</f>
        <v>6.5404482416510601E-6</v>
      </c>
      <c r="M48" s="7">
        <f>(N12-$O$39*L12-$O$43)^2</f>
        <v>6.3638702305490405E-5</v>
      </c>
      <c r="N48" s="7">
        <f>(O12-$O$40*L12-$O$44)^2</f>
        <v>1.2883616109068588E-9</v>
      </c>
      <c r="O48" s="7">
        <f>(P12-$O$41*L12-$O$45)^2</f>
        <v>6.0453147698570554E-8</v>
      </c>
      <c r="P48" s="7">
        <f t="shared" ref="P48:P50" si="30">($O$62-O39)^2</f>
        <v>4.4094176141667087E-7</v>
      </c>
      <c r="Q48" s="7"/>
      <c r="R48" s="7"/>
      <c r="S48" s="7"/>
      <c r="T48" s="7">
        <f t="shared" ref="T48:T50" si="31">(U12-$W$38*T12-$W$42)^2</f>
        <v>1.7632903840818947E-4</v>
      </c>
      <c r="U48" s="7">
        <f t="shared" ref="U48:U50" si="32">(V12-$W$39*T12-$W$43)^2</f>
        <v>9.3819294207128992E-4</v>
      </c>
      <c r="V48" s="7">
        <f t="shared" ref="V48:V50" si="33">(W12-$W$40*T12-$W$44)^2</f>
        <v>1.0851419729404708E-3</v>
      </c>
      <c r="W48" s="7">
        <f t="shared" ref="W48:W50" si="34">(X12-$W$41*T12-$W$45)^2</f>
        <v>1.5677165568384127E-3</v>
      </c>
      <c r="X48" s="7">
        <f t="shared" ref="X48:X50" si="35">($W$62-W39)^2</f>
        <v>1.1780959748234932E-5</v>
      </c>
      <c r="Y48" s="7"/>
      <c r="Z48" s="7"/>
      <c r="AA48" s="7"/>
      <c r="AB48" s="7">
        <f t="shared" ref="AB48:AB50" si="36">(AC12-$AE$38*AB12-$AE$42)^2</f>
        <v>4.7453915305192558E-4</v>
      </c>
      <c r="AC48" s="7">
        <f t="shared" ref="AC48:AC50" si="37">(AD12-$AE$39*AB12-$AE$43)^2</f>
        <v>1.9825827037969427E-5</v>
      </c>
      <c r="AD48" s="7">
        <f t="shared" ref="AD48:AD50" si="38">(AE12-$AE$40*AB12-$AE$44)^2</f>
        <v>1.3509450647770877E-5</v>
      </c>
      <c r="AE48" s="7">
        <f t="shared" ref="AE48:AE50" si="39">(AF12-$AE$41*AB12-$AE$45)^2</f>
        <v>4.5972877926822562E-5</v>
      </c>
      <c r="AF48" s="7">
        <f t="shared" ref="AF48:AF50" si="40">($AE$62-AE39)^2</f>
        <v>2.4660046463350228E-8</v>
      </c>
    </row>
    <row r="49" spans="1:32" x14ac:dyDescent="0.3">
      <c r="A49" s="53" t="s">
        <v>59</v>
      </c>
      <c r="B49" s="53"/>
      <c r="C49" s="53"/>
      <c r="D49" s="2"/>
      <c r="E49" s="5"/>
      <c r="F49" s="5"/>
      <c r="G49" s="5"/>
      <c r="H49" s="5"/>
      <c r="I49" s="19"/>
      <c r="J49" s="19"/>
      <c r="K49" s="19"/>
      <c r="L49" s="7">
        <f>(M13-$O$38*L13-$O$42)^2</f>
        <v>2.0680835015476424E-4</v>
      </c>
      <c r="M49" s="7">
        <f>(N13-$O$39*L13-$O$43)^2</f>
        <v>2.438462728213778E-4</v>
      </c>
      <c r="N49" s="7">
        <f>(O13-$O$40*L13-$O$44)^2</f>
        <v>7.5264655242243008E-5</v>
      </c>
      <c r="O49" s="7">
        <f>(P13-$O$41*L13-$O$45)^2</f>
        <v>3.9976343748246296E-5</v>
      </c>
      <c r="P49" s="7">
        <f t="shared" si="30"/>
        <v>8.0522600697057994E-7</v>
      </c>
      <c r="Q49" s="7"/>
      <c r="R49" s="7"/>
      <c r="S49" s="7"/>
      <c r="T49" s="7">
        <f t="shared" si="31"/>
        <v>1.8137326077595609E-5</v>
      </c>
      <c r="U49" s="7">
        <f t="shared" si="32"/>
        <v>2.8988136345659321E-11</v>
      </c>
      <c r="V49" s="7">
        <f t="shared" si="33"/>
        <v>4.2885860759528789E-4</v>
      </c>
      <c r="W49" s="7">
        <f t="shared" si="34"/>
        <v>6.0188679269618456E-4</v>
      </c>
      <c r="X49" s="7">
        <f t="shared" si="35"/>
        <v>5.3026729412884216E-5</v>
      </c>
      <c r="Y49" s="7"/>
      <c r="Z49" s="7"/>
      <c r="AA49" s="7"/>
      <c r="AB49" s="7">
        <f t="shared" si="36"/>
        <v>9.3574025908287826E-5</v>
      </c>
      <c r="AC49" s="7">
        <f t="shared" si="37"/>
        <v>2.0976105272544307E-6</v>
      </c>
      <c r="AD49" s="7">
        <f t="shared" si="38"/>
        <v>2.8872299658463883E-5</v>
      </c>
      <c r="AE49" s="7">
        <f t="shared" si="39"/>
        <v>1.7704470717825609E-4</v>
      </c>
      <c r="AF49" s="7">
        <f t="shared" si="40"/>
        <v>2.7113771413205571E-6</v>
      </c>
    </row>
    <row r="50" spans="1:32" x14ac:dyDescent="0.3">
      <c r="A50" s="5">
        <f>(B48-A46)^2</f>
        <v>0.44444444444454551</v>
      </c>
      <c r="B50" s="5">
        <f>(B46-B48)^2</f>
        <v>11.111111111110606</v>
      </c>
      <c r="C50" s="5">
        <f>(B48-C46)^2</f>
        <v>7.1111111111115157</v>
      </c>
      <c r="D50" s="2"/>
      <c r="E50" s="5"/>
      <c r="F50" s="5"/>
      <c r="G50" s="5"/>
      <c r="H50" s="5"/>
      <c r="I50" s="7"/>
      <c r="J50" s="7"/>
      <c r="K50" s="7"/>
      <c r="L50" s="7">
        <f>(M14-$O$38*L14-$O$42)^2</f>
        <v>1.3549058104689131E-5</v>
      </c>
      <c r="M50" s="7">
        <f>(N14-$O$39*L14-$O$43)^2</f>
        <v>2.8043625792279983E-4</v>
      </c>
      <c r="N50" s="7">
        <f>(O14-$O$40*L14-$O$44)^2</f>
        <v>5.7958763667484463E-5</v>
      </c>
      <c r="O50" s="7">
        <f>(P14-$O$41*L14-$O$45)^2</f>
        <v>6.7626133178633207E-6</v>
      </c>
      <c r="P50" s="7">
        <f t="shared" si="30"/>
        <v>2.0613785778476816E-8</v>
      </c>
      <c r="Q50" s="7"/>
      <c r="R50" s="7"/>
      <c r="S50" s="7"/>
      <c r="T50" s="7">
        <f t="shared" si="31"/>
        <v>3.2273490568253934E-6</v>
      </c>
      <c r="U50" s="7">
        <f t="shared" si="32"/>
        <v>3.1817536173456264E-5</v>
      </c>
      <c r="V50" s="7">
        <f t="shared" si="33"/>
        <v>4.1050099745727401E-7</v>
      </c>
      <c r="W50" s="7">
        <f t="shared" si="34"/>
        <v>9.3193669351739235E-4</v>
      </c>
      <c r="X50" s="7">
        <f t="shared" si="35"/>
        <v>4.8136612003202429E-6</v>
      </c>
      <c r="Y50" s="7"/>
      <c r="Z50" s="7"/>
      <c r="AA50" s="7"/>
      <c r="AB50" s="7">
        <f t="shared" si="36"/>
        <v>1.2783768086432693E-6</v>
      </c>
      <c r="AC50" s="7">
        <f t="shared" si="37"/>
        <v>5.5189578545998465E-6</v>
      </c>
      <c r="AD50" s="7">
        <f t="shared" si="38"/>
        <v>3.3395621322946216E-7</v>
      </c>
      <c r="AE50" s="7">
        <f t="shared" si="39"/>
        <v>4.3666195298321018E-5</v>
      </c>
      <c r="AF50" s="7">
        <f t="shared" si="40"/>
        <v>6.2904456971065898E-6</v>
      </c>
    </row>
    <row r="51" spans="1:32" x14ac:dyDescent="0.3">
      <c r="A51" s="53" t="s">
        <v>61</v>
      </c>
      <c r="B51" s="53"/>
      <c r="C51" s="53"/>
      <c r="D51" s="2"/>
      <c r="E51" s="5"/>
      <c r="F51" s="5"/>
      <c r="G51" s="5"/>
      <c r="H51" s="5"/>
      <c r="I51" s="7"/>
      <c r="J51" s="7"/>
      <c r="K51" s="7"/>
      <c r="L51" s="27">
        <f>AVERAGE(M11:M14)</f>
        <v>1.5549999999999999</v>
      </c>
      <c r="M51" s="27">
        <f>AVERAGE(N11:N14)</f>
        <v>1.52</v>
      </c>
      <c r="N51" s="27">
        <f>AVERAGE(O11:O14)</f>
        <v>1.55375</v>
      </c>
      <c r="O51" s="27">
        <f>AVERAGE(P11:P14)</f>
        <v>1.5449999999999999</v>
      </c>
      <c r="P51" s="19">
        <f>SQRT(SUM(P47:P50)/4)</f>
        <v>9.0511708606757265E-4</v>
      </c>
      <c r="Q51" s="7"/>
      <c r="R51" s="7"/>
      <c r="S51" s="7"/>
      <c r="T51" s="27">
        <f>AVERAGE(U11:U14)</f>
        <v>2.6724999999999999</v>
      </c>
      <c r="U51" s="27">
        <f>AVERAGE(V11:V14)</f>
        <v>2.7037499999999999</v>
      </c>
      <c r="V51" s="27">
        <f>AVERAGE(W11:W14)</f>
        <v>2.8650000000000002</v>
      </c>
      <c r="W51" s="27">
        <f>AVERAGE(X11:X14)</f>
        <v>2.7149999999999999</v>
      </c>
      <c r="X51" s="19">
        <f>SQRT(SUM(X47:X50)/4)</f>
        <v>4.2533034167519948E-3</v>
      </c>
      <c r="Y51" s="7"/>
      <c r="Z51" s="7"/>
      <c r="AA51" s="7"/>
      <c r="AB51" s="27">
        <f>AVERAGE(AC11:AC14)</f>
        <v>1.6537500000000001</v>
      </c>
      <c r="AC51" s="27">
        <f>AVERAGE(AD11:AD14)</f>
        <v>1.585</v>
      </c>
      <c r="AD51" s="27">
        <f>AVERAGE(AE11:AE14)</f>
        <v>1.5525000000000002</v>
      </c>
      <c r="AE51" s="27">
        <f>AVERAGE(AF11:AF14)</f>
        <v>1.5649999999999999</v>
      </c>
      <c r="AF51" s="19">
        <f>SQRT(SUM(AF47:AF50)/4)</f>
        <v>2.6276206473002995E-3</v>
      </c>
    </row>
    <row r="52" spans="1:32" x14ac:dyDescent="0.3">
      <c r="A52" s="5" t="s">
        <v>23</v>
      </c>
      <c r="B52" s="5">
        <f>SQRT(SUM(A50:C50)/3)</f>
        <v>2.4944382578492941</v>
      </c>
      <c r="C52" s="5" t="s">
        <v>23</v>
      </c>
      <c r="D52" s="2"/>
      <c r="E52" s="5"/>
      <c r="F52" s="5"/>
      <c r="G52" s="5"/>
      <c r="H52" s="5"/>
      <c r="I52" s="7"/>
      <c r="J52" s="7"/>
      <c r="K52" s="7"/>
      <c r="L52" s="27">
        <f>(M11-$L$51)^2</f>
        <v>0.93122499999999997</v>
      </c>
      <c r="M52" s="27">
        <f>(N11-$M$51)^2</f>
        <v>0.93122499999999997</v>
      </c>
      <c r="N52" s="27">
        <f>(O11-$N$51)^2</f>
        <v>0.90963906249999993</v>
      </c>
      <c r="O52" s="27">
        <f>(P11-$O$51)^2</f>
        <v>0.92159999999999997</v>
      </c>
      <c r="P52" s="19"/>
      <c r="Q52" s="7"/>
      <c r="R52" s="7"/>
      <c r="S52" s="7"/>
      <c r="T52" s="27">
        <f>(U11-$T$51)^2</f>
        <v>2.7639062499999993</v>
      </c>
      <c r="U52" s="27">
        <f>(V11-$U$51)^2</f>
        <v>2.6528265624999996</v>
      </c>
      <c r="V52" s="27">
        <f>(W11-$V$51)^2</f>
        <v>3.027600000000001</v>
      </c>
      <c r="W52" s="27">
        <f>(X11-$W$51)^2</f>
        <v>2.8392249999999994</v>
      </c>
      <c r="X52" s="19"/>
      <c r="Y52" s="7"/>
      <c r="Z52" s="7"/>
      <c r="AA52" s="7"/>
      <c r="AB52" s="27">
        <f>(AC11-$AB$51)^2</f>
        <v>1.0378515625</v>
      </c>
      <c r="AC52" s="27">
        <f>(AD11-$AC$51)^2</f>
        <v>0.96039999999999992</v>
      </c>
      <c r="AD52" s="27">
        <f>(AE11-$AD$51)^2</f>
        <v>0.93605625000000048</v>
      </c>
      <c r="AE52" s="27">
        <f>(AF11-$AE$51)^2</f>
        <v>0.91202499999999975</v>
      </c>
      <c r="AF52" s="19"/>
    </row>
    <row r="53" spans="1:32" x14ac:dyDescent="0.3">
      <c r="A53" s="53" t="s">
        <v>60</v>
      </c>
      <c r="B53" s="53"/>
      <c r="C53" s="53"/>
      <c r="D53" s="2"/>
      <c r="E53" s="5"/>
      <c r="F53" s="5"/>
      <c r="G53" s="5"/>
      <c r="H53" s="5"/>
      <c r="I53" s="7"/>
      <c r="J53" s="7"/>
      <c r="K53" s="7"/>
      <c r="L53" s="27">
        <f>(M12-$L$51)^2</f>
        <v>8.4099999999999897E-2</v>
      </c>
      <c r="M53" s="27">
        <f>(N12-$M$51)^2</f>
        <v>7.8400000000000011E-2</v>
      </c>
      <c r="N53" s="27">
        <f>(O12-$N$51)^2</f>
        <v>8.3376562499999904E-2</v>
      </c>
      <c r="O53" s="27">
        <f>(P12-$O$51)^2</f>
        <v>8.4100000000000022E-2</v>
      </c>
      <c r="P53" s="19"/>
      <c r="Q53" s="7"/>
      <c r="R53" s="7"/>
      <c r="S53" s="7"/>
      <c r="T53" s="27">
        <f t="shared" ref="T53:T55" si="41">(U12-$T$51)^2</f>
        <v>0.24255625000000017</v>
      </c>
      <c r="U53" s="27">
        <f t="shared" ref="U53:U55" si="42">(V12-$U$51)^2</f>
        <v>0.27957656250000007</v>
      </c>
      <c r="V53" s="27">
        <f t="shared" ref="V53:V55" si="43">(W12-$V$51)^2</f>
        <v>0.2401000000000002</v>
      </c>
      <c r="W53" s="27">
        <f>(X12-$W$51)^2</f>
        <v>0.21622499999999986</v>
      </c>
      <c r="X53" s="19"/>
      <c r="Y53" s="7"/>
      <c r="Z53" s="7"/>
      <c r="AA53" s="7"/>
      <c r="AB53" s="27">
        <f t="shared" ref="AB53:AB55" si="44">(AC12-$AB$51)^2</f>
        <v>8.0514062499999969E-2</v>
      </c>
      <c r="AC53" s="27">
        <f t="shared" ref="AC53:AC55" si="45">(AD12-$AC$51)^2</f>
        <v>8.4100000000000022E-2</v>
      </c>
      <c r="AD53" s="27">
        <f t="shared" ref="AD53:AD55" si="46">(AE12-$AD$51)^2</f>
        <v>8.2656250000000056E-2</v>
      </c>
      <c r="AE53" s="27">
        <f t="shared" ref="AE53:AE55" si="47">(AF12-$AE$51)^2</f>
        <v>8.122499999999995E-2</v>
      </c>
      <c r="AF53" s="19"/>
    </row>
    <row r="54" spans="1:32" x14ac:dyDescent="0.3">
      <c r="A54" s="5" t="s">
        <v>23</v>
      </c>
      <c r="B54" s="5">
        <f>SQRT(B52^2+(0.5)^2)</f>
        <v>2.5440562537456244</v>
      </c>
      <c r="C54" s="5" t="s">
        <v>23</v>
      </c>
      <c r="D54" s="4"/>
      <c r="E54" s="4"/>
      <c r="F54" s="4"/>
      <c r="G54" s="4"/>
      <c r="H54" s="4"/>
      <c r="I54" s="7"/>
      <c r="J54" s="7"/>
      <c r="K54" s="7"/>
      <c r="L54" s="27">
        <f>(M13-$L$51)^2</f>
        <v>9.6100000000000033E-2</v>
      </c>
      <c r="M54" s="27">
        <f>(N13-$M$51)^2</f>
        <v>0.11222499999999998</v>
      </c>
      <c r="N54" s="27">
        <f>(O13-$N$51)^2</f>
        <v>0.10643906249999996</v>
      </c>
      <c r="O54" s="27">
        <f>(P13-$O$51)^2</f>
        <v>9.9224999999999966E-2</v>
      </c>
      <c r="P54" s="16"/>
      <c r="Q54" s="7"/>
      <c r="R54" s="7"/>
      <c r="S54" s="7"/>
      <c r="T54" s="27">
        <f t="shared" si="41"/>
        <v>0.29975624999999989</v>
      </c>
      <c r="U54" s="27">
        <f t="shared" si="42"/>
        <v>0.3038765625</v>
      </c>
      <c r="V54" s="27">
        <f t="shared" si="43"/>
        <v>0.30802499999999966</v>
      </c>
      <c r="W54" s="27">
        <f>(X13-$W$51)^2</f>
        <v>0.33062500000000022</v>
      </c>
      <c r="X54" s="16"/>
      <c r="Y54" s="7"/>
      <c r="Z54" s="7"/>
      <c r="AA54" s="7"/>
      <c r="AB54" s="27">
        <f t="shared" si="44"/>
        <v>0.10643906249999996</v>
      </c>
      <c r="AC54" s="27">
        <f t="shared" si="45"/>
        <v>0.10562499999999997</v>
      </c>
      <c r="AD54" s="27">
        <f t="shared" si="46"/>
        <v>0.10080624999999993</v>
      </c>
      <c r="AE54" s="27">
        <f t="shared" si="47"/>
        <v>9.3025000000000094E-2</v>
      </c>
      <c r="AF54" s="16"/>
    </row>
    <row r="55" spans="1:32" x14ac:dyDescent="0.3">
      <c r="A55" s="53" t="s">
        <v>27</v>
      </c>
      <c r="B55" s="53"/>
      <c r="C55" s="53"/>
      <c r="D55" s="2"/>
      <c r="E55" s="5"/>
      <c r="F55" s="5"/>
      <c r="G55" s="5"/>
      <c r="H55" s="5"/>
      <c r="I55" s="7"/>
      <c r="J55" s="7"/>
      <c r="K55" s="7"/>
      <c r="L55" s="27">
        <f>(M14-$L$51)^2</f>
        <v>0.89302500000000007</v>
      </c>
      <c r="M55" s="27">
        <f>(N14-$M$51)^2</f>
        <v>0.82810000000000028</v>
      </c>
      <c r="N55" s="27">
        <f>(O14-$N$51)^2</f>
        <v>0.83951406250000038</v>
      </c>
      <c r="O55" s="27">
        <f>(P14-$O$51)^2</f>
        <v>0.87422500000000014</v>
      </c>
      <c r="P55" s="17"/>
      <c r="Q55" s="7"/>
      <c r="R55" s="7"/>
      <c r="S55" s="7"/>
      <c r="T55" s="27">
        <f t="shared" si="41"/>
        <v>2.5840562500000011</v>
      </c>
      <c r="U55" s="27">
        <f t="shared" si="42"/>
        <v>2.5800390624999991</v>
      </c>
      <c r="V55" s="27">
        <f t="shared" si="43"/>
        <v>2.8056249999999996</v>
      </c>
      <c r="W55" s="27">
        <f>(X14-$W$51)^2</f>
        <v>2.4806250000000007</v>
      </c>
      <c r="X55" s="17"/>
      <c r="Y55" s="7"/>
      <c r="Z55" s="7"/>
      <c r="AA55" s="7"/>
      <c r="AB55" s="27">
        <f t="shared" si="44"/>
        <v>0.95306406249999964</v>
      </c>
      <c r="AC55" s="27">
        <f t="shared" si="45"/>
        <v>0.89302499999999974</v>
      </c>
      <c r="AD55" s="27">
        <f t="shared" si="46"/>
        <v>0.87890625</v>
      </c>
      <c r="AE55" s="27">
        <f t="shared" si="47"/>
        <v>0.87422500000000014</v>
      </c>
      <c r="AF55" s="17"/>
    </row>
    <row r="56" spans="1:32" x14ac:dyDescent="0.3">
      <c r="A56" s="5" t="s">
        <v>23</v>
      </c>
      <c r="B56" s="5" t="s">
        <v>62</v>
      </c>
      <c r="C56" s="5" t="s">
        <v>23</v>
      </c>
      <c r="D56" s="2"/>
      <c r="E56" s="5"/>
      <c r="F56" s="5"/>
      <c r="G56" s="5"/>
      <c r="H56" s="5"/>
      <c r="I56" s="7"/>
      <c r="J56" s="7"/>
      <c r="K56" s="7"/>
      <c r="L56" s="52" t="s">
        <v>81</v>
      </c>
      <c r="M56" s="52"/>
      <c r="N56" s="52"/>
      <c r="O56" s="52"/>
      <c r="P56" s="52"/>
      <c r="Q56" s="7"/>
      <c r="R56" s="7"/>
      <c r="S56" s="7"/>
      <c r="T56" s="45" t="s">
        <v>81</v>
      </c>
      <c r="U56" s="45"/>
      <c r="V56" s="45"/>
      <c r="W56" s="45"/>
      <c r="X56" s="45"/>
      <c r="Y56" s="7"/>
      <c r="Z56" s="7"/>
      <c r="AA56" s="7"/>
      <c r="AB56" s="41" t="s">
        <v>81</v>
      </c>
      <c r="AC56" s="41"/>
      <c r="AD56" s="41"/>
      <c r="AE56" s="41"/>
      <c r="AF56" s="41"/>
    </row>
    <row r="57" spans="1:32" x14ac:dyDescent="0.3">
      <c r="A57" s="39" t="s">
        <v>55</v>
      </c>
      <c r="B57" s="39"/>
      <c r="C57" s="7">
        <v>13</v>
      </c>
      <c r="D57" s="2"/>
      <c r="E57" s="5"/>
      <c r="F57" s="5"/>
      <c r="G57" s="5"/>
      <c r="H57" s="5"/>
      <c r="I57" s="7"/>
      <c r="J57" s="7"/>
      <c r="K57" s="7"/>
      <c r="L57" s="39" t="s">
        <v>73</v>
      </c>
      <c r="M57" s="39"/>
      <c r="N57" s="39"/>
      <c r="O57" s="27">
        <f>SQRT(SUM(L47:L50)/4*(1/6+L51^2/SUM(L52:L55)))</f>
        <v>8.8919472651559466E-3</v>
      </c>
      <c r="P57" s="28">
        <f>O57/O38</f>
        <v>6.6299919927002807E-2</v>
      </c>
      <c r="Q57" s="7"/>
      <c r="R57" s="7"/>
      <c r="S57" s="7"/>
      <c r="T57" s="39" t="s">
        <v>73</v>
      </c>
      <c r="U57" s="39"/>
      <c r="V57" s="39"/>
      <c r="W57" s="27">
        <f>SQRT(SUM(T47:T50)/4*(1/6+T51^2/SUM(T52:T55)))</f>
        <v>9.2821204228770576E-3</v>
      </c>
      <c r="X57" s="28">
        <f>W57/W38</f>
        <v>4.0374687741039042E-2</v>
      </c>
      <c r="Y57" s="7"/>
      <c r="Z57" s="7"/>
      <c r="AA57" s="7"/>
      <c r="AB57" s="39" t="s">
        <v>73</v>
      </c>
      <c r="AC57" s="39"/>
      <c r="AD57" s="39"/>
      <c r="AE57" s="27">
        <f>SQRT(SUM(AB47:AB50)/4*(1/6+AB51^2/SUM(AB52:AB55)))</f>
        <v>1.7125623080079012E-2</v>
      </c>
      <c r="AF57" s="28">
        <f>AE57/AE38</f>
        <v>0.12281077452020672</v>
      </c>
    </row>
    <row r="58" spans="1:32" x14ac:dyDescent="0.3">
      <c r="A58" s="10"/>
      <c r="B58" s="10"/>
      <c r="C58" s="10"/>
      <c r="D58" s="2"/>
      <c r="E58" s="5"/>
      <c r="F58" s="5"/>
      <c r="G58" s="5"/>
      <c r="H58" s="5"/>
      <c r="L58" s="39" t="s">
        <v>74</v>
      </c>
      <c r="M58" s="39"/>
      <c r="N58" s="39"/>
      <c r="O58" s="27">
        <f>SQRT(SUM(M47:M50)/4*(1/6+M51^2/SUM(M52:M55)))</f>
        <v>1.716219217240722E-2</v>
      </c>
      <c r="P58" s="28">
        <f>O58/O39</f>
        <v>0.12998196926009653</v>
      </c>
      <c r="T58" s="39" t="s">
        <v>74</v>
      </c>
      <c r="U58" s="39"/>
      <c r="V58" s="39"/>
      <c r="W58" s="27">
        <f>SQRT(SUM(U47:U50)/4*(1/6+U51^2/SUM(U52:U55)))</f>
        <v>1.9511039749700154E-2</v>
      </c>
      <c r="X58" s="28">
        <f>W58/W39</f>
        <v>8.5528686559145251E-2</v>
      </c>
      <c r="AB58" s="39" t="s">
        <v>74</v>
      </c>
      <c r="AC58" s="39"/>
      <c r="AD58" s="39"/>
      <c r="AE58" s="27">
        <f>SQRT(SUM(AC47:AC50)/4*(1/6+AC51^2/SUM(AC52:AC55)))</f>
        <v>7.0148643322735932E-3</v>
      </c>
      <c r="AF58" s="28">
        <f>AE58/AE39</f>
        <v>5.1970248716166012E-2</v>
      </c>
    </row>
    <row r="59" spans="1:32" x14ac:dyDescent="0.3">
      <c r="A59" s="7"/>
      <c r="B59" s="5"/>
      <c r="C59" s="7"/>
      <c r="D59" s="10"/>
      <c r="E59" s="10"/>
      <c r="F59" s="10"/>
      <c r="G59" s="10"/>
      <c r="H59" s="10"/>
      <c r="L59" s="39" t="s">
        <v>75</v>
      </c>
      <c r="M59" s="39"/>
      <c r="N59" s="39"/>
      <c r="O59" s="27">
        <f>SQRT(SUM(N47:N50)/4*(1/6+N51^2/SUM(N52:N55)))</f>
        <v>7.7354795674512171E-3</v>
      </c>
      <c r="P59" s="28">
        <f>O59/O40</f>
        <v>5.8690212622328812E-2</v>
      </c>
      <c r="T59" s="39" t="s">
        <v>75</v>
      </c>
      <c r="U59" s="39"/>
      <c r="V59" s="39"/>
      <c r="W59" s="27">
        <f>SQRT(SUM(V47:V50)/4*(1/6+V51^2/SUM(V52:V55)))</f>
        <v>2.7205373155911827E-2</v>
      </c>
      <c r="X59" s="28">
        <f>W59/W40</f>
        <v>0.11390767900867214</v>
      </c>
      <c r="AB59" s="39" t="s">
        <v>75</v>
      </c>
      <c r="AC59" s="39"/>
      <c r="AD59" s="39"/>
      <c r="AE59" s="27">
        <f>SQRT(SUM(AD47:AD50)/4*(1/6+AD51^2/SUM(AD52:AD55)))</f>
        <v>6.4592473414655377E-3</v>
      </c>
      <c r="AF59" s="28">
        <f>AE59/AE40</f>
        <v>4.8387908290731391E-2</v>
      </c>
    </row>
    <row r="60" spans="1:32" x14ac:dyDescent="0.3">
      <c r="A60" s="10"/>
      <c r="B60" s="10"/>
      <c r="C60" s="10"/>
      <c r="D60" s="7"/>
      <c r="E60" s="7"/>
      <c r="F60" s="7"/>
      <c r="G60" s="7"/>
      <c r="H60" s="7"/>
      <c r="L60" s="39" t="s">
        <v>76</v>
      </c>
      <c r="M60" s="39"/>
      <c r="N60" s="39"/>
      <c r="O60" s="27">
        <f>SQRT(SUM(O47:O50)/4*(1/6+O51^2/SUM(O52:O55)))</f>
        <v>5.343003506125904E-3</v>
      </c>
      <c r="P60" s="28">
        <f>O60/O41</f>
        <v>4.0220501940196669E-2</v>
      </c>
      <c r="T60" s="39" t="s">
        <v>76</v>
      </c>
      <c r="U60" s="39"/>
      <c r="V60" s="39"/>
      <c r="W60" s="27">
        <f>SQRT(SUM(W47:W50)/4*(1/6+W51^2/SUM(W52:W55)))</f>
        <v>3.8795991758881418E-2</v>
      </c>
      <c r="X60" s="28">
        <f>W60/W41</f>
        <v>0.16914809552463822</v>
      </c>
      <c r="AB60" s="39" t="s">
        <v>76</v>
      </c>
      <c r="AC60" s="39"/>
      <c r="AD60" s="39"/>
      <c r="AE60" s="27">
        <f>SQRT(SUM(AE47:AE50)/4*(1/6+AE51^2/SUM(AE52:AE55)))</f>
        <v>9.7162394054346041E-3</v>
      </c>
      <c r="AF60" s="28">
        <f>AE60/AE41</f>
        <v>7.3259656247742846E-2</v>
      </c>
    </row>
    <row r="61" spans="1:32" x14ac:dyDescent="0.3">
      <c r="A61" s="6"/>
      <c r="B61" s="6"/>
      <c r="C61" s="6"/>
      <c r="D61" s="7"/>
      <c r="E61" s="7"/>
      <c r="F61" s="7"/>
      <c r="G61" s="7"/>
      <c r="H61" s="7"/>
      <c r="L61" s="51" t="s">
        <v>83</v>
      </c>
      <c r="M61" s="51"/>
      <c r="N61" s="51"/>
      <c r="O61" s="51"/>
      <c r="P61" s="51"/>
      <c r="T61" s="46" t="s">
        <v>83</v>
      </c>
      <c r="U61" s="46"/>
      <c r="V61" s="46"/>
      <c r="W61" s="46"/>
      <c r="X61" s="46"/>
      <c r="AB61" s="36" t="s">
        <v>83</v>
      </c>
      <c r="AC61" s="36"/>
      <c r="AD61" s="36"/>
      <c r="AE61" s="36"/>
      <c r="AF61" s="36"/>
    </row>
    <row r="62" spans="1:32" x14ac:dyDescent="0.3">
      <c r="A62" s="6"/>
      <c r="B62" s="6"/>
      <c r="C62" s="6"/>
      <c r="D62" s="7"/>
      <c r="E62" s="7"/>
      <c r="F62" s="7"/>
      <c r="G62" s="7"/>
      <c r="H62" s="7"/>
      <c r="L62" s="40" t="s">
        <v>82</v>
      </c>
      <c r="M62" s="40"/>
      <c r="N62" s="40"/>
      <c r="O62" s="30">
        <f>AVERAGE(O38:P41)</f>
        <v>0.13269921033740101</v>
      </c>
      <c r="P62" s="29" t="s">
        <v>23</v>
      </c>
      <c r="T62" s="40" t="s">
        <v>82</v>
      </c>
      <c r="U62" s="40"/>
      <c r="V62" s="40"/>
      <c r="W62" s="30">
        <f>AVERAGE(W38:X41)</f>
        <v>0.23155509691313675</v>
      </c>
      <c r="X62" s="29" t="s">
        <v>23</v>
      </c>
      <c r="AB62" s="40" t="s">
        <v>82</v>
      </c>
      <c r="AC62" s="40"/>
      <c r="AD62" s="40"/>
      <c r="AE62" s="30">
        <f>AVERAGE(AE38:AF41)</f>
        <v>0.13513549892318699</v>
      </c>
      <c r="AF62" s="29" t="s">
        <v>23</v>
      </c>
    </row>
    <row r="63" spans="1:32" x14ac:dyDescent="0.3">
      <c r="A63" s="6"/>
      <c r="B63" s="6"/>
      <c r="C63" s="6"/>
      <c r="D63" s="7"/>
      <c r="E63" s="7"/>
      <c r="F63" s="7"/>
      <c r="G63" s="7"/>
      <c r="H63" s="7"/>
      <c r="L63" s="37" t="s">
        <v>84</v>
      </c>
      <c r="M63" s="37"/>
      <c r="N63" s="37"/>
      <c r="O63" s="30">
        <f>P51</f>
        <v>9.0511708606757265E-4</v>
      </c>
      <c r="P63" s="14" t="s">
        <v>23</v>
      </c>
      <c r="T63" s="37" t="s">
        <v>84</v>
      </c>
      <c r="U63" s="37"/>
      <c r="V63" s="37"/>
      <c r="W63" s="30">
        <f>X51</f>
        <v>4.2533034167519948E-3</v>
      </c>
      <c r="X63" s="14" t="s">
        <v>23</v>
      </c>
      <c r="AB63" s="37" t="s">
        <v>84</v>
      </c>
      <c r="AC63" s="37"/>
      <c r="AD63" s="37"/>
      <c r="AE63" s="30">
        <f>AF51</f>
        <v>2.6276206473002995E-3</v>
      </c>
      <c r="AF63" s="14" t="s">
        <v>23</v>
      </c>
    </row>
    <row r="64" spans="1:32" x14ac:dyDescent="0.3">
      <c r="A64" s="6"/>
      <c r="B64" s="6"/>
      <c r="C64" s="6"/>
      <c r="D64" s="7"/>
      <c r="E64" s="7"/>
      <c r="F64" s="7"/>
      <c r="G64" s="7"/>
      <c r="H64" s="7"/>
      <c r="L64" s="40" t="s">
        <v>85</v>
      </c>
      <c r="M64" s="40"/>
      <c r="N64" s="40"/>
      <c r="O64" s="32">
        <f>AVERAGE(O57:O60)</f>
        <v>9.7831556277850722E-3</v>
      </c>
      <c r="P64" s="14" t="s">
        <v>23</v>
      </c>
      <c r="T64" s="40" t="s">
        <v>85</v>
      </c>
      <c r="U64" s="40"/>
      <c r="V64" s="40"/>
      <c r="W64" s="32">
        <f>AVERAGE(W57:W60)</f>
        <v>2.3698631271842616E-2</v>
      </c>
      <c r="X64" s="14" t="s">
        <v>23</v>
      </c>
      <c r="AB64" s="40" t="s">
        <v>85</v>
      </c>
      <c r="AC64" s="40"/>
      <c r="AD64" s="40"/>
      <c r="AE64" s="32">
        <f>AVERAGE(AE57:AE60)</f>
        <v>1.0078993539813187E-2</v>
      </c>
      <c r="AF64" s="14" t="s">
        <v>23</v>
      </c>
    </row>
    <row r="65" spans="1:32" x14ac:dyDescent="0.3">
      <c r="A65" s="6"/>
      <c r="B65" s="6"/>
      <c r="C65" s="6"/>
      <c r="D65" s="7"/>
      <c r="E65" s="7"/>
      <c r="F65" s="7"/>
      <c r="G65" s="7"/>
      <c r="H65" s="7"/>
      <c r="L65" s="37" t="s">
        <v>86</v>
      </c>
      <c r="M65" s="37"/>
      <c r="N65" s="37"/>
      <c r="O65" s="30">
        <f>SQRT(O63*O63+O64*O64)</f>
        <v>9.8249361818260276E-3</v>
      </c>
      <c r="P65" s="31">
        <f>O65/O62</f>
        <v>7.4039145800831402E-2</v>
      </c>
      <c r="T65" s="37" t="s">
        <v>86</v>
      </c>
      <c r="U65" s="37"/>
      <c r="V65" s="37"/>
      <c r="W65" s="30">
        <f>SQRT(W63*W63+W64*W64)</f>
        <v>2.4077286269713016E-2</v>
      </c>
      <c r="X65" s="31">
        <f>W65/W62</f>
        <v>0.10398080884717095</v>
      </c>
      <c r="AB65" s="37" t="s">
        <v>86</v>
      </c>
      <c r="AC65" s="37"/>
      <c r="AD65" s="37"/>
      <c r="AE65" s="30">
        <f>SQRT(AE63*AE63+AE64*AE64)</f>
        <v>1.0415877353430905E-2</v>
      </c>
      <c r="AF65" s="31">
        <f>AE65/AE62</f>
        <v>7.7077284920903294E-2</v>
      </c>
    </row>
    <row r="66" spans="1:32" x14ac:dyDescent="0.3">
      <c r="A66" s="6"/>
      <c r="B66" s="6"/>
      <c r="C66" s="6"/>
      <c r="D66" s="7"/>
      <c r="E66" s="7"/>
      <c r="F66" s="7"/>
      <c r="G66" s="7"/>
      <c r="H66" s="7"/>
      <c r="L66" s="51" t="s">
        <v>71</v>
      </c>
      <c r="M66" s="51"/>
      <c r="N66" s="51"/>
      <c r="O66" s="51"/>
      <c r="P66" s="51"/>
      <c r="T66" s="46" t="s">
        <v>71</v>
      </c>
      <c r="U66" s="46"/>
      <c r="V66" s="46"/>
      <c r="W66" s="46"/>
      <c r="X66" s="46"/>
      <c r="AB66" s="36" t="s">
        <v>71</v>
      </c>
      <c r="AC66" s="36"/>
      <c r="AD66" s="36"/>
      <c r="AE66" s="36"/>
      <c r="AF66" s="36"/>
    </row>
    <row r="67" spans="1:32" x14ac:dyDescent="0.3">
      <c r="A67" s="6"/>
      <c r="B67" s="6"/>
      <c r="C67" s="6"/>
      <c r="D67" s="7"/>
      <c r="E67" s="7"/>
      <c r="F67" s="7"/>
      <c r="G67" s="7"/>
      <c r="H67" s="7"/>
      <c r="L67" s="20"/>
      <c r="M67" s="35" t="s">
        <v>92</v>
      </c>
      <c r="N67" s="35"/>
      <c r="O67" s="20">
        <f xml:space="preserve"> 1/K41 * K38^3 / (K39^3 * K40)</f>
        <v>66878463021.291336</v>
      </c>
      <c r="P67" s="20"/>
      <c r="T67" s="20"/>
      <c r="U67" s="35" t="s">
        <v>92</v>
      </c>
      <c r="V67" s="35"/>
      <c r="W67" s="20">
        <f xml:space="preserve"> 1/S41 * S38^3 / (S40^3 * S39)</f>
        <v>13529403367.241961</v>
      </c>
      <c r="X67" s="20"/>
      <c r="AB67" s="20"/>
      <c r="AC67" s="35" t="s">
        <v>92</v>
      </c>
      <c r="AD67" s="35"/>
      <c r="AE67" s="20">
        <f xml:space="preserve"> 1/AA41 * AA38^3 / (AA39^3 * AA40)</f>
        <v>44666868206.476395</v>
      </c>
      <c r="AF67" s="20"/>
    </row>
    <row r="68" spans="1:32" x14ac:dyDescent="0.3">
      <c r="A68" s="6"/>
      <c r="B68" s="6"/>
      <c r="C68" s="6"/>
      <c r="D68" s="7"/>
      <c r="E68" s="7"/>
      <c r="F68" s="7"/>
      <c r="G68" s="7"/>
      <c r="H68" s="7"/>
      <c r="L68" s="20"/>
      <c r="M68" s="38" t="s">
        <v>93</v>
      </c>
      <c r="N68" s="38"/>
      <c r="O68" s="20">
        <f>O67*SQRT( (O65/O62)^2+(K32/K15)^2+9*(J32/J15)^2+9*(I32/I15)^2)</f>
        <v>5538998924.7707529</v>
      </c>
      <c r="P68" s="20"/>
      <c r="T68" s="20"/>
      <c r="U68" s="38" t="s">
        <v>93</v>
      </c>
      <c r="V68" s="38"/>
      <c r="W68" s="20">
        <f>W67*SQRT( (W65/W62)^2+(S32/S15)^2+9*(R32/R15)^2+9*(Q32/Q15)^2)</f>
        <v>1491885192.0158546</v>
      </c>
      <c r="X68" s="20"/>
      <c r="AB68" s="20"/>
      <c r="AC68" s="38" t="s">
        <v>93</v>
      </c>
      <c r="AD68" s="38"/>
      <c r="AE68" s="20">
        <f>AE67*SQRT( (AE65/AE62)^2+(AA32/AA15)^2+9*(Z32/Z15)^2+9*(Y32/Y15)^2)</f>
        <v>3784134737.6814518</v>
      </c>
      <c r="AF68" s="20"/>
    </row>
    <row r="69" spans="1:32" x14ac:dyDescent="0.3">
      <c r="A69" s="6"/>
      <c r="B69" s="6"/>
      <c r="C69" s="6"/>
      <c r="D69" s="7"/>
      <c r="E69" s="7"/>
      <c r="F69" s="7"/>
      <c r="G69" s="7"/>
      <c r="H69" s="7"/>
      <c r="L69" s="20"/>
      <c r="M69" s="35" t="s">
        <v>94</v>
      </c>
      <c r="N69" s="35"/>
      <c r="O69" s="21">
        <f>O67/10^9</f>
        <v>66.878463021291338</v>
      </c>
      <c r="P69" s="20"/>
      <c r="T69" s="20"/>
      <c r="U69" s="35" t="s">
        <v>94</v>
      </c>
      <c r="V69" s="35"/>
      <c r="W69" s="21">
        <f>W67/10^9</f>
        <v>13.52940336724196</v>
      </c>
      <c r="X69" s="20"/>
      <c r="AB69" s="20"/>
      <c r="AC69" s="35" t="s">
        <v>94</v>
      </c>
      <c r="AD69" s="35"/>
      <c r="AE69" s="21">
        <f>AE67/10^9</f>
        <v>44.666868206476394</v>
      </c>
      <c r="AF69" s="20"/>
    </row>
    <row r="70" spans="1:32" x14ac:dyDescent="0.3">
      <c r="A70" s="6"/>
      <c r="B70" s="6"/>
      <c r="C70" s="6"/>
      <c r="D70" s="7"/>
      <c r="E70" s="7"/>
      <c r="F70" s="7"/>
      <c r="G70" s="7"/>
      <c r="H70" s="7"/>
      <c r="L70" s="21"/>
      <c r="M70" s="35" t="s">
        <v>95</v>
      </c>
      <c r="N70" s="35"/>
      <c r="O70" s="21">
        <f>O68/10^9</f>
        <v>5.5389989247707527</v>
      </c>
      <c r="P70" s="34">
        <f>O70/O69</f>
        <v>8.2821863340480251E-2</v>
      </c>
      <c r="T70" s="21"/>
      <c r="U70" s="35" t="s">
        <v>95</v>
      </c>
      <c r="V70" s="35"/>
      <c r="W70" s="21">
        <f>W68/10^9</f>
        <v>1.4918851920158547</v>
      </c>
      <c r="X70" s="34">
        <f>W70/W69</f>
        <v>0.11026984350456123</v>
      </c>
      <c r="AB70" s="21"/>
      <c r="AC70" s="35" t="s">
        <v>95</v>
      </c>
      <c r="AD70" s="35"/>
      <c r="AE70" s="21">
        <f>AE68/10^9</f>
        <v>3.7841347376814518</v>
      </c>
      <c r="AF70" s="34">
        <f>AE70/AE69</f>
        <v>8.4719052166114875E-2</v>
      </c>
    </row>
    <row r="71" spans="1:32" x14ac:dyDescent="0.3">
      <c r="A71" s="11"/>
      <c r="B71" s="11"/>
      <c r="C71" s="11"/>
      <c r="D71" s="7"/>
      <c r="E71" s="7"/>
      <c r="F71" s="7"/>
      <c r="G71" s="7"/>
      <c r="H71" s="7"/>
      <c r="L71" s="51" t="s">
        <v>97</v>
      </c>
      <c r="M71" s="51"/>
      <c r="N71" s="51"/>
      <c r="O71" s="51"/>
      <c r="P71" s="51"/>
      <c r="T71" s="46" t="s">
        <v>98</v>
      </c>
      <c r="U71" s="46"/>
      <c r="V71" s="46"/>
      <c r="W71" s="46"/>
      <c r="X71" s="46"/>
      <c r="AB71" s="36" t="s">
        <v>96</v>
      </c>
      <c r="AC71" s="36"/>
      <c r="AD71" s="36"/>
      <c r="AE71" s="36"/>
      <c r="AF71" s="36"/>
    </row>
    <row r="72" spans="1:32" x14ac:dyDescent="0.3">
      <c r="A72" s="6"/>
      <c r="B72" s="6"/>
      <c r="C72" s="6"/>
      <c r="D72" s="7"/>
      <c r="E72" s="7"/>
      <c r="F72" s="7"/>
      <c r="G72" s="7"/>
      <c r="H72" s="7"/>
      <c r="L72" s="20"/>
      <c r="M72" s="20"/>
      <c r="N72" s="20"/>
      <c r="O72" s="20"/>
      <c r="P72" s="20"/>
    </row>
    <row r="73" spans="1:32" x14ac:dyDescent="0.3">
      <c r="A73" s="10"/>
      <c r="B73" s="10"/>
      <c r="C73" s="10"/>
      <c r="D73" s="7"/>
      <c r="E73" s="7"/>
      <c r="F73" s="7"/>
      <c r="G73" s="7"/>
      <c r="H73" s="7"/>
      <c r="L73" s="20"/>
      <c r="M73" s="20"/>
      <c r="N73" s="20"/>
      <c r="O73" s="20"/>
      <c r="P73" s="20"/>
    </row>
    <row r="74" spans="1:32" x14ac:dyDescent="0.3">
      <c r="A74" s="7"/>
      <c r="B74" s="7"/>
      <c r="C74" s="7"/>
      <c r="D74" s="7"/>
      <c r="E74" s="7"/>
      <c r="F74" s="7"/>
      <c r="G74" s="7"/>
      <c r="H74" s="7"/>
      <c r="L74" s="22"/>
      <c r="M74" s="22"/>
      <c r="N74" s="22"/>
      <c r="O74" s="22"/>
      <c r="P74" s="22"/>
    </row>
    <row r="75" spans="1:32" x14ac:dyDescent="0.3">
      <c r="A75" s="10"/>
      <c r="B75" s="10"/>
      <c r="C75" s="10"/>
      <c r="D75" s="7"/>
      <c r="E75" s="7"/>
      <c r="F75" s="7"/>
      <c r="G75" s="7"/>
      <c r="H75" s="7"/>
      <c r="L75" s="22"/>
      <c r="M75" s="22"/>
      <c r="N75" s="22"/>
      <c r="O75" s="22"/>
      <c r="P75" s="22"/>
    </row>
    <row r="76" spans="1:32" x14ac:dyDescent="0.3">
      <c r="A76" s="6"/>
      <c r="B76" s="6"/>
      <c r="C76" s="6"/>
      <c r="D76" s="7"/>
      <c r="E76" s="7"/>
      <c r="F76" s="7"/>
      <c r="G76" s="7"/>
      <c r="H76" s="7"/>
      <c r="L76" s="20"/>
      <c r="M76" s="23"/>
      <c r="N76" s="23"/>
      <c r="O76" s="24"/>
      <c r="P76" s="20"/>
    </row>
    <row r="77" spans="1:32" x14ac:dyDescent="0.3">
      <c r="A77" s="10"/>
      <c r="B77" s="10"/>
      <c r="C77" s="10"/>
      <c r="D77" s="7"/>
      <c r="E77" s="7"/>
      <c r="F77" s="7"/>
      <c r="G77" s="7"/>
      <c r="H77" s="7"/>
      <c r="L77" s="20"/>
      <c r="M77" s="23"/>
      <c r="N77" s="23"/>
      <c r="O77" s="24"/>
      <c r="P77" s="20"/>
    </row>
    <row r="78" spans="1:32" x14ac:dyDescent="0.3">
      <c r="A78" s="8"/>
      <c r="B78" s="8"/>
      <c r="C78" s="8"/>
      <c r="D78" s="7"/>
      <c r="E78" s="7"/>
      <c r="F78" s="7"/>
      <c r="G78" s="7"/>
      <c r="H78" s="7"/>
      <c r="L78" s="20"/>
      <c r="M78" s="23"/>
      <c r="N78" s="23"/>
      <c r="O78" s="20"/>
      <c r="P78" s="20"/>
    </row>
    <row r="79" spans="1:32" x14ac:dyDescent="0.3">
      <c r="A79" s="7"/>
      <c r="B79" s="7"/>
      <c r="C79" s="7"/>
      <c r="D79" s="7"/>
      <c r="E79" s="7"/>
      <c r="F79" s="7"/>
      <c r="G79" s="7"/>
      <c r="H79" s="7"/>
      <c r="L79" s="20"/>
      <c r="M79" s="20"/>
      <c r="N79" s="20"/>
      <c r="O79" s="20"/>
      <c r="P79" s="20"/>
    </row>
    <row r="80" spans="1:32" x14ac:dyDescent="0.3">
      <c r="L80" s="20"/>
      <c r="M80" s="20"/>
      <c r="N80" s="20"/>
      <c r="O80" s="20"/>
      <c r="P80" s="20"/>
    </row>
    <row r="81" spans="12:32" x14ac:dyDescent="0.3">
      <c r="L81" s="20"/>
      <c r="M81" s="20"/>
      <c r="N81" s="20"/>
      <c r="O81" s="20"/>
      <c r="P81" s="20"/>
    </row>
    <row r="82" spans="12:32" x14ac:dyDescent="0.3">
      <c r="L82" s="20"/>
      <c r="M82" s="20"/>
      <c r="N82" s="20"/>
      <c r="O82" s="20"/>
      <c r="P82" s="20"/>
    </row>
    <row r="83" spans="12:32" x14ac:dyDescent="0.3">
      <c r="L83" s="20"/>
      <c r="M83" s="20"/>
      <c r="N83" s="20"/>
      <c r="O83" s="20"/>
      <c r="P83" s="20"/>
    </row>
    <row r="84" spans="12:32" x14ac:dyDescent="0.3">
      <c r="L84" s="20"/>
      <c r="M84" s="20"/>
      <c r="N84" s="20"/>
      <c r="O84" s="20"/>
      <c r="P84" s="20"/>
    </row>
    <row r="85" spans="12:32" x14ac:dyDescent="0.3">
      <c r="L85" s="20"/>
      <c r="M85" s="20"/>
      <c r="N85" s="20"/>
      <c r="O85" s="20"/>
      <c r="P85" s="20"/>
    </row>
    <row r="86" spans="12:32" x14ac:dyDescent="0.3">
      <c r="L86" s="20"/>
      <c r="M86" s="20"/>
      <c r="N86" s="20"/>
      <c r="O86" s="20"/>
      <c r="P86" s="20"/>
    </row>
    <row r="87" spans="12:32" x14ac:dyDescent="0.3">
      <c r="L87" s="20"/>
      <c r="M87" s="20"/>
      <c r="N87" s="20"/>
      <c r="O87" s="20"/>
      <c r="P87" s="20"/>
    </row>
    <row r="88" spans="12:32" x14ac:dyDescent="0.3">
      <c r="L88" s="20"/>
      <c r="M88" s="20"/>
      <c r="N88" s="20"/>
      <c r="O88" s="20"/>
      <c r="P88" s="20"/>
      <c r="AE88" s="25"/>
      <c r="AF88" s="25"/>
    </row>
    <row r="89" spans="12:32" x14ac:dyDescent="0.3">
      <c r="L89" s="20"/>
      <c r="M89" s="20"/>
      <c r="N89" s="20"/>
      <c r="O89" s="20"/>
      <c r="P89" s="20"/>
      <c r="AE89" s="25"/>
      <c r="AF89" s="25"/>
    </row>
    <row r="90" spans="12:32" x14ac:dyDescent="0.3">
      <c r="L90" s="20"/>
      <c r="M90" s="20"/>
      <c r="N90" s="20"/>
      <c r="O90" s="20"/>
      <c r="P90" s="20"/>
      <c r="AE90" s="25"/>
      <c r="AF90" s="25"/>
    </row>
    <row r="91" spans="12:32" x14ac:dyDescent="0.3">
      <c r="L91" s="20"/>
      <c r="M91" s="20"/>
      <c r="N91" s="20"/>
      <c r="O91" s="20"/>
      <c r="P91" s="20"/>
      <c r="AE91" s="25"/>
      <c r="AF91" s="25"/>
    </row>
    <row r="92" spans="12:32" x14ac:dyDescent="0.3">
      <c r="L92" s="20"/>
      <c r="M92" s="20"/>
      <c r="N92" s="20"/>
      <c r="O92" s="20"/>
      <c r="P92" s="20"/>
      <c r="AE92" s="26"/>
      <c r="AF92" s="26"/>
    </row>
    <row r="93" spans="12:32" x14ac:dyDescent="0.3">
      <c r="AE93" s="26"/>
      <c r="AF93" s="26"/>
    </row>
    <row r="94" spans="12:32" x14ac:dyDescent="0.3">
      <c r="AE94" s="25"/>
      <c r="AF94" s="25"/>
    </row>
    <row r="95" spans="12:32" x14ac:dyDescent="0.3">
      <c r="AE95" s="26"/>
      <c r="AF95" s="26"/>
    </row>
    <row r="1048576" spans="13:13" x14ac:dyDescent="0.3">
      <c r="M1048576" s="18"/>
    </row>
  </sheetData>
  <mergeCells count="197">
    <mergeCell ref="Y1:AF1"/>
    <mergeCell ref="Y2:AA2"/>
    <mergeCell ref="AB10:AF10"/>
    <mergeCell ref="Y14:AA14"/>
    <mergeCell ref="AB15:AF15"/>
    <mergeCell ref="Y16:AA16"/>
    <mergeCell ref="Y27:AA27"/>
    <mergeCell ref="Y29:AA29"/>
    <mergeCell ref="Y31:AA31"/>
    <mergeCell ref="Q1:X1"/>
    <mergeCell ref="Q2:S2"/>
    <mergeCell ref="T10:X10"/>
    <mergeCell ref="Q14:S14"/>
    <mergeCell ref="T15:X15"/>
    <mergeCell ref="Q16:S16"/>
    <mergeCell ref="Q27:S27"/>
    <mergeCell ref="Q29:S29"/>
    <mergeCell ref="Q31:S31"/>
    <mergeCell ref="A1:H1"/>
    <mergeCell ref="A2:C2"/>
    <mergeCell ref="D2:E2"/>
    <mergeCell ref="A15:C15"/>
    <mergeCell ref="A17:C17"/>
    <mergeCell ref="I1:P1"/>
    <mergeCell ref="I2:K2"/>
    <mergeCell ref="L10:P10"/>
    <mergeCell ref="I14:K14"/>
    <mergeCell ref="L15:P15"/>
    <mergeCell ref="I16:K16"/>
    <mergeCell ref="F2:H2"/>
    <mergeCell ref="A22:C22"/>
    <mergeCell ref="D10:H10"/>
    <mergeCell ref="D21:E21"/>
    <mergeCell ref="F21:H21"/>
    <mergeCell ref="D22:H22"/>
    <mergeCell ref="D29:H29"/>
    <mergeCell ref="D30:E30"/>
    <mergeCell ref="D31:E31"/>
    <mergeCell ref="T17:X17"/>
    <mergeCell ref="AB17:AF17"/>
    <mergeCell ref="L19:P19"/>
    <mergeCell ref="AB19:AF19"/>
    <mergeCell ref="AB27:AF27"/>
    <mergeCell ref="A27:C27"/>
    <mergeCell ref="A32:C32"/>
    <mergeCell ref="A37:C37"/>
    <mergeCell ref="A42:C42"/>
    <mergeCell ref="D32:H32"/>
    <mergeCell ref="I27:K27"/>
    <mergeCell ref="I29:K29"/>
    <mergeCell ref="I31:K31"/>
    <mergeCell ref="I33:K33"/>
    <mergeCell ref="Q33:S33"/>
    <mergeCell ref="Y33:AA33"/>
    <mergeCell ref="L27:P27"/>
    <mergeCell ref="L32:P32"/>
    <mergeCell ref="L45:N45"/>
    <mergeCell ref="L46:P46"/>
    <mergeCell ref="O38:P38"/>
    <mergeCell ref="O39:P39"/>
    <mergeCell ref="O40:P40"/>
    <mergeCell ref="O41:P41"/>
    <mergeCell ref="L17:P17"/>
    <mergeCell ref="M67:N67"/>
    <mergeCell ref="M68:N68"/>
    <mergeCell ref="M69:N69"/>
    <mergeCell ref="M70:N70"/>
    <mergeCell ref="L71:P71"/>
    <mergeCell ref="L38:N38"/>
    <mergeCell ref="L39:N39"/>
    <mergeCell ref="L40:N40"/>
    <mergeCell ref="L41:N41"/>
    <mergeCell ref="L42:N42"/>
    <mergeCell ref="L43:N43"/>
    <mergeCell ref="L44:N44"/>
    <mergeCell ref="A55:C55"/>
    <mergeCell ref="A57:B57"/>
    <mergeCell ref="G11:H11"/>
    <mergeCell ref="G12:H12"/>
    <mergeCell ref="G13:H13"/>
    <mergeCell ref="G14:H14"/>
    <mergeCell ref="G15:H15"/>
    <mergeCell ref="G16:H16"/>
    <mergeCell ref="G17:H17"/>
    <mergeCell ref="D18:H18"/>
    <mergeCell ref="D19:E19"/>
    <mergeCell ref="D20:E20"/>
    <mergeCell ref="F19:H19"/>
    <mergeCell ref="F20:H20"/>
    <mergeCell ref="A45:C45"/>
    <mergeCell ref="A47:C47"/>
    <mergeCell ref="A49:C49"/>
    <mergeCell ref="A51:C51"/>
    <mergeCell ref="A53:C53"/>
    <mergeCell ref="L66:P66"/>
    <mergeCell ref="L57:N57"/>
    <mergeCell ref="L58:N58"/>
    <mergeCell ref="L59:N59"/>
    <mergeCell ref="O42:P42"/>
    <mergeCell ref="O43:P43"/>
    <mergeCell ref="O44:P44"/>
    <mergeCell ref="O45:P45"/>
    <mergeCell ref="L56:P56"/>
    <mergeCell ref="L64:N64"/>
    <mergeCell ref="L65:N65"/>
    <mergeCell ref="I39:J39"/>
    <mergeCell ref="I37:K37"/>
    <mergeCell ref="I40:J40"/>
    <mergeCell ref="I38:J38"/>
    <mergeCell ref="I41:J41"/>
    <mergeCell ref="L62:N62"/>
    <mergeCell ref="L60:N60"/>
    <mergeCell ref="L61:P61"/>
    <mergeCell ref="L63:N63"/>
    <mergeCell ref="L37:P37"/>
    <mergeCell ref="T40:V40"/>
    <mergeCell ref="W40:X40"/>
    <mergeCell ref="Y37:AA37"/>
    <mergeCell ref="Y38:Z38"/>
    <mergeCell ref="Y39:Z39"/>
    <mergeCell ref="Y40:Z40"/>
    <mergeCell ref="Y41:Z41"/>
    <mergeCell ref="Q37:S37"/>
    <mergeCell ref="Q38:R38"/>
    <mergeCell ref="Q39:R39"/>
    <mergeCell ref="Q40:R40"/>
    <mergeCell ref="Q41:R41"/>
    <mergeCell ref="T37:X37"/>
    <mergeCell ref="T62:V62"/>
    <mergeCell ref="T66:X66"/>
    <mergeCell ref="U67:V67"/>
    <mergeCell ref="T71:X71"/>
    <mergeCell ref="U68:V68"/>
    <mergeCell ref="U69:V69"/>
    <mergeCell ref="U70:V70"/>
    <mergeCell ref="T63:V63"/>
    <mergeCell ref="T64:V64"/>
    <mergeCell ref="T65:V65"/>
    <mergeCell ref="T19:X19"/>
    <mergeCell ref="T27:X27"/>
    <mergeCell ref="T32:X32"/>
    <mergeCell ref="T38:V38"/>
    <mergeCell ref="W38:X38"/>
    <mergeCell ref="T46:X46"/>
    <mergeCell ref="T56:X56"/>
    <mergeCell ref="T57:V57"/>
    <mergeCell ref="T61:X61"/>
    <mergeCell ref="T58:V58"/>
    <mergeCell ref="T59:V59"/>
    <mergeCell ref="T60:V60"/>
    <mergeCell ref="T44:V44"/>
    <mergeCell ref="W44:X44"/>
    <mergeCell ref="T45:V45"/>
    <mergeCell ref="W45:X45"/>
    <mergeCell ref="T41:V41"/>
    <mergeCell ref="W41:X41"/>
    <mergeCell ref="T42:V42"/>
    <mergeCell ref="W42:X42"/>
    <mergeCell ref="T43:V43"/>
    <mergeCell ref="W43:X43"/>
    <mergeCell ref="T39:V39"/>
    <mergeCell ref="W39:X39"/>
    <mergeCell ref="AB40:AD40"/>
    <mergeCell ref="AE40:AF40"/>
    <mergeCell ref="AB41:AD41"/>
    <mergeCell ref="AE41:AF41"/>
    <mergeCell ref="AB42:AD42"/>
    <mergeCell ref="AE42:AF42"/>
    <mergeCell ref="AB32:AF32"/>
    <mergeCell ref="AB37:AF37"/>
    <mergeCell ref="AB38:AD38"/>
    <mergeCell ref="AE38:AF38"/>
    <mergeCell ref="AB39:AD39"/>
    <mergeCell ref="AE39:AF39"/>
    <mergeCell ref="AB46:AF46"/>
    <mergeCell ref="AB56:AF56"/>
    <mergeCell ref="AB57:AD57"/>
    <mergeCell ref="AB58:AD58"/>
    <mergeCell ref="AB59:AD59"/>
    <mergeCell ref="AB43:AD43"/>
    <mergeCell ref="AE43:AF43"/>
    <mergeCell ref="AB44:AD44"/>
    <mergeCell ref="AE44:AF44"/>
    <mergeCell ref="AB45:AD45"/>
    <mergeCell ref="AE45:AF45"/>
    <mergeCell ref="AC70:AD70"/>
    <mergeCell ref="AB71:AF71"/>
    <mergeCell ref="AB65:AD65"/>
    <mergeCell ref="AB66:AF66"/>
    <mergeCell ref="AC67:AD67"/>
    <mergeCell ref="AC68:AD68"/>
    <mergeCell ref="AC69:AD69"/>
    <mergeCell ref="AB60:AD60"/>
    <mergeCell ref="AB61:AF61"/>
    <mergeCell ref="AB62:AD62"/>
    <mergeCell ref="AB63:AD63"/>
    <mergeCell ref="AB64:AD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2020-10-12T15:35:05Z</dcterms:created>
  <dcterms:modified xsi:type="dcterms:W3CDTF">2020-10-21T17:13:16Z</dcterms:modified>
</cp:coreProperties>
</file>