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nd\Documents\Preetam - Simulation and Optimization\"/>
    </mc:Choice>
  </mc:AlternateContent>
  <xr:revisionPtr revIDLastSave="0" documentId="13_ncr:1_{E28BE2CD-178A-4919-94E0-E79301F9B094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Production#" sheetId="1" r:id="rId1"/>
    <sheet name="Final facility - Cost" sheetId="2" r:id="rId2"/>
    <sheet name="Base facility - Cost" sheetId="4" r:id="rId3"/>
    <sheet name="Experiment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3" i="4" l="1"/>
  <c r="F32" i="4"/>
  <c r="F31" i="4"/>
  <c r="F30" i="4"/>
  <c r="I29" i="4"/>
  <c r="F29" i="4"/>
  <c r="F28" i="4"/>
  <c r="F27" i="4"/>
  <c r="F25" i="4"/>
  <c r="D25" i="4"/>
  <c r="F23" i="4"/>
  <c r="D23" i="4"/>
  <c r="F22" i="4"/>
  <c r="D22" i="4"/>
  <c r="F21" i="4"/>
  <c r="D21" i="4"/>
  <c r="F20" i="4"/>
  <c r="D20" i="4"/>
  <c r="H19" i="4"/>
  <c r="I19" i="4" s="1"/>
  <c r="F19" i="4"/>
  <c r="D19" i="4"/>
  <c r="F18" i="4"/>
  <c r="D18" i="4"/>
  <c r="F17" i="4"/>
  <c r="D17" i="4"/>
  <c r="F16" i="4"/>
  <c r="D16" i="4"/>
  <c r="F15" i="4"/>
  <c r="D15" i="4"/>
  <c r="F14" i="4"/>
  <c r="D14" i="4"/>
  <c r="F13" i="4"/>
  <c r="D13" i="4"/>
  <c r="H12" i="4"/>
  <c r="I12" i="4" s="1"/>
  <c r="F12" i="4"/>
  <c r="D12" i="4"/>
  <c r="F11" i="4"/>
  <c r="D11" i="4"/>
  <c r="F10" i="4"/>
  <c r="D10" i="4"/>
  <c r="H9" i="4"/>
  <c r="I9" i="4" s="1"/>
  <c r="F9" i="4"/>
  <c r="D9" i="4"/>
  <c r="F8" i="4"/>
  <c r="D8" i="4"/>
  <c r="F7" i="4"/>
  <c r="D7" i="4"/>
  <c r="F6" i="4"/>
  <c r="D6" i="4"/>
  <c r="F5" i="4"/>
  <c r="D5" i="4"/>
  <c r="F4" i="4"/>
  <c r="D4" i="4"/>
  <c r="G15" i="1"/>
  <c r="D15" i="1"/>
  <c r="E15" i="1" s="1"/>
  <c r="F15" i="1" s="1"/>
  <c r="D14" i="1"/>
  <c r="E14" i="1"/>
  <c r="F14" i="1" s="1"/>
  <c r="G14" i="1"/>
  <c r="G13" i="1"/>
  <c r="D13" i="1"/>
  <c r="E13" i="1" s="1"/>
  <c r="F13" i="1" s="1"/>
  <c r="G12" i="1"/>
  <c r="D12" i="1"/>
  <c r="E12" i="1" s="1"/>
  <c r="F12" i="1" s="1"/>
  <c r="G11" i="1"/>
  <c r="D11" i="1"/>
  <c r="E11" i="1" s="1"/>
  <c r="F11" i="1" s="1"/>
  <c r="G10" i="1"/>
  <c r="D10" i="1"/>
  <c r="E10" i="1" s="1"/>
  <c r="F10" i="1" s="1"/>
  <c r="G9" i="1"/>
  <c r="D9" i="1"/>
  <c r="E9" i="1" s="1"/>
  <c r="F9" i="1" s="1"/>
  <c r="G6" i="1"/>
  <c r="F10" i="2"/>
  <c r="D10" i="2"/>
  <c r="G8" i="1"/>
  <c r="D8" i="1"/>
  <c r="E8" i="1" s="1"/>
  <c r="F8" i="1" s="1"/>
  <c r="D7" i="1"/>
  <c r="E7" i="1" s="1"/>
  <c r="F7" i="1" s="1"/>
  <c r="G7" i="1"/>
  <c r="D6" i="1"/>
  <c r="E6" i="1"/>
  <c r="F6" i="1" s="1"/>
  <c r="G5" i="1"/>
  <c r="D5" i="1"/>
  <c r="E5" i="1"/>
  <c r="F5" i="1" s="1"/>
  <c r="G4" i="1"/>
  <c r="H4" i="1" s="1"/>
  <c r="D4" i="1"/>
  <c r="E4" i="1" s="1"/>
  <c r="F4" i="1" s="1"/>
  <c r="F28" i="2"/>
  <c r="F27" i="2"/>
  <c r="F23" i="2"/>
  <c r="D23" i="2"/>
  <c r="F22" i="2"/>
  <c r="D22" i="2"/>
  <c r="F21" i="2"/>
  <c r="D21" i="2"/>
  <c r="F15" i="2"/>
  <c r="D15" i="2"/>
  <c r="F20" i="2"/>
  <c r="D20" i="2"/>
  <c r="F17" i="2"/>
  <c r="D17" i="2"/>
  <c r="F14" i="2"/>
  <c r="D14" i="2"/>
  <c r="F16" i="2"/>
  <c r="D16" i="2"/>
  <c r="F13" i="2"/>
  <c r="D13" i="2"/>
  <c r="D3" i="1"/>
  <c r="E3" i="1" s="1"/>
  <c r="F3" i="1" s="1"/>
  <c r="I34" i="4" l="1"/>
  <c r="D34" i="4"/>
  <c r="D40" i="4" s="1"/>
  <c r="C45" i="4" s="1"/>
  <c r="F34" i="4"/>
  <c r="I43" i="4" s="1"/>
  <c r="C42" i="4"/>
  <c r="B44" i="4"/>
  <c r="H5" i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F7" i="2"/>
  <c r="D7" i="2"/>
  <c r="F8" i="2"/>
  <c r="D8" i="2"/>
  <c r="F25" i="2"/>
  <c r="D25" i="2"/>
  <c r="I42" i="4" l="1"/>
  <c r="I46" i="4"/>
  <c r="I41" i="4"/>
  <c r="I45" i="4"/>
  <c r="I44" i="4"/>
  <c r="C44" i="4"/>
  <c r="C47" i="4" s="1"/>
  <c r="C43" i="4"/>
  <c r="C46" i="4"/>
  <c r="F41" i="4"/>
  <c r="G41" i="4"/>
  <c r="B46" i="4"/>
  <c r="B45" i="4"/>
  <c r="C41" i="4"/>
  <c r="D41" i="4"/>
  <c r="D42" i="4" s="1"/>
  <c r="B43" i="4"/>
  <c r="B42" i="4"/>
  <c r="B41" i="4"/>
  <c r="B47" i="4" s="1"/>
  <c r="H12" i="2"/>
  <c r="I12" i="2" s="1"/>
  <c r="G42" i="4" l="1"/>
  <c r="F42" i="4"/>
  <c r="H42" i="4" s="1"/>
  <c r="H41" i="4"/>
  <c r="J41" i="4" s="1"/>
  <c r="L41" i="4" s="1"/>
  <c r="G43" i="4"/>
  <c r="F43" i="4"/>
  <c r="D43" i="4"/>
  <c r="H19" i="2"/>
  <c r="H9" i="2"/>
  <c r="I29" i="2"/>
  <c r="F5" i="2"/>
  <c r="F6" i="2"/>
  <c r="F9" i="2"/>
  <c r="F11" i="2"/>
  <c r="F12" i="2"/>
  <c r="F18" i="2"/>
  <c r="F19" i="2"/>
  <c r="F29" i="2"/>
  <c r="F30" i="2"/>
  <c r="F31" i="2"/>
  <c r="F32" i="2"/>
  <c r="F33" i="2"/>
  <c r="F4" i="2"/>
  <c r="J42" i="4" l="1"/>
  <c r="L42" i="4" s="1"/>
  <c r="H43" i="4"/>
  <c r="J43" i="4"/>
  <c r="L43" i="4" s="1"/>
  <c r="G44" i="4"/>
  <c r="F44" i="4"/>
  <c r="D44" i="4"/>
  <c r="F34" i="2"/>
  <c r="I9" i="2"/>
  <c r="I19" i="2"/>
  <c r="D19" i="2"/>
  <c r="D18" i="2"/>
  <c r="D12" i="2"/>
  <c r="D11" i="2"/>
  <c r="D9" i="2"/>
  <c r="D6" i="2"/>
  <c r="D5" i="2"/>
  <c r="D4" i="2"/>
  <c r="H44" i="4" l="1"/>
  <c r="J44" i="4" s="1"/>
  <c r="L44" i="4" s="1"/>
  <c r="D45" i="4"/>
  <c r="G45" i="4"/>
  <c r="F45" i="4"/>
  <c r="I34" i="2"/>
  <c r="I44" i="2" s="1"/>
  <c r="D34" i="2"/>
  <c r="D40" i="2" s="1"/>
  <c r="G46" i="4" l="1"/>
  <c r="F46" i="4"/>
  <c r="D46" i="4"/>
  <c r="H45" i="4"/>
  <c r="J45" i="4"/>
  <c r="L45" i="4" s="1"/>
  <c r="I45" i="2"/>
  <c r="I46" i="2"/>
  <c r="I41" i="2"/>
  <c r="I43" i="2"/>
  <c r="I42" i="2"/>
  <c r="G41" i="2"/>
  <c r="C43" i="2"/>
  <c r="B43" i="2"/>
  <c r="B41" i="2"/>
  <c r="C46" i="2"/>
  <c r="C42" i="2"/>
  <c r="B44" i="2"/>
  <c r="F41" i="2"/>
  <c r="D41" i="2"/>
  <c r="C45" i="2"/>
  <c r="C41" i="2"/>
  <c r="B45" i="2"/>
  <c r="C44" i="2"/>
  <c r="B42" i="2"/>
  <c r="B46" i="2"/>
  <c r="H46" i="4" l="1"/>
  <c r="J46" i="4"/>
  <c r="L46" i="4" s="1"/>
  <c r="L47" i="4" s="1"/>
  <c r="L48" i="4" s="1"/>
  <c r="L49" i="4" s="1"/>
  <c r="F42" i="2"/>
  <c r="H42" i="2" s="1"/>
  <c r="G42" i="2"/>
  <c r="D42" i="2"/>
  <c r="H41" i="2"/>
  <c r="J41" i="2" s="1"/>
  <c r="L41" i="2" s="1"/>
  <c r="B47" i="2"/>
  <c r="C47" i="2"/>
  <c r="J42" i="2" l="1"/>
  <c r="L42" i="2" s="1"/>
  <c r="G43" i="2"/>
  <c r="D43" i="2"/>
  <c r="F43" i="2"/>
  <c r="H43" i="2" l="1"/>
  <c r="J43" i="2" s="1"/>
  <c r="L43" i="2" s="1"/>
  <c r="G44" i="2"/>
  <c r="D44" i="2"/>
  <c r="F44" i="2"/>
  <c r="H44" i="2" l="1"/>
  <c r="J44" i="2" s="1"/>
  <c r="L44" i="2" s="1"/>
  <c r="D45" i="2"/>
  <c r="F45" i="2"/>
  <c r="G45" i="2"/>
  <c r="H45" i="2" l="1"/>
  <c r="J45" i="2" s="1"/>
  <c r="L45" i="2" s="1"/>
  <c r="D46" i="2"/>
  <c r="F46" i="2"/>
  <c r="G46" i="2"/>
  <c r="H46" i="2" l="1"/>
  <c r="J46" i="2" s="1"/>
  <c r="L46" i="2" s="1"/>
  <c r="L47" i="2" s="1"/>
  <c r="L48" i="2" s="1"/>
  <c r="L49" i="2" s="1"/>
</calcChain>
</file>

<file path=xl/sharedStrings.xml><?xml version="1.0" encoding="utf-8"?>
<sst xmlns="http://schemas.openxmlformats.org/spreadsheetml/2006/main" count="198" uniqueCount="98">
  <si>
    <t>Configuration</t>
  </si>
  <si>
    <t>Test</t>
  </si>
  <si>
    <t>Resource</t>
  </si>
  <si>
    <t xml:space="preserve">Quantity </t>
  </si>
  <si>
    <t>M&amp;O</t>
  </si>
  <si>
    <t>Per Unit</t>
  </si>
  <si>
    <t># of Units</t>
  </si>
  <si>
    <t>Capital/Unit</t>
  </si>
  <si>
    <t>Captial $</t>
  </si>
  <si>
    <t>$ X units</t>
  </si>
  <si>
    <t>Minimum Annual Revinue Requirements</t>
  </si>
  <si>
    <t>End of Year</t>
  </si>
  <si>
    <t>Book Depr</t>
  </si>
  <si>
    <t>Tax Depr</t>
  </si>
  <si>
    <t>Book Value</t>
  </si>
  <si>
    <t>Equity Return</t>
  </si>
  <si>
    <t>Debt Interest</t>
  </si>
  <si>
    <t>Tax</t>
  </si>
  <si>
    <t>Annual Cost</t>
  </si>
  <si>
    <t>Min. Ann. Rev. Req.</t>
  </si>
  <si>
    <t>Discounted</t>
  </si>
  <si>
    <t>(P/F 20,n)</t>
  </si>
  <si>
    <t>Present</t>
  </si>
  <si>
    <t>Equal Annual</t>
  </si>
  <si>
    <t>$/unit cost</t>
  </si>
  <si>
    <t>M&amp;O/Unit</t>
  </si>
  <si>
    <t>Base</t>
  </si>
  <si>
    <t>= Number of Waffer Packages shipped from Factory</t>
  </si>
  <si>
    <t>Raw Silicon Cleaning System</t>
  </si>
  <si>
    <t>Raw Silicon Dryer</t>
  </si>
  <si>
    <t xml:space="preserve">Crucible Furnace </t>
  </si>
  <si>
    <t>Crucible Bake Oven</t>
  </si>
  <si>
    <t>Crucible Spray Booth</t>
  </si>
  <si>
    <t>Buffer Space for Ingot or Cart</t>
  </si>
  <si>
    <t>Wafer/month</t>
  </si>
  <si>
    <t>Watts</t>
  </si>
  <si>
    <t>2000 kg Material Bin</t>
  </si>
  <si>
    <t>Crucible Pack Station</t>
  </si>
  <si>
    <t>Ingot Crusher</t>
  </si>
  <si>
    <t>Dicing Saw</t>
  </si>
  <si>
    <t>Silicon Chunk Sorting Station</t>
  </si>
  <si>
    <t>Brick Trim Station</t>
  </si>
  <si>
    <t>Brick Inspection Station</t>
  </si>
  <si>
    <t>Mount Set Production Station</t>
  </si>
  <si>
    <t>Mount Set Glue Cure Buffer</t>
  </si>
  <si>
    <t>Ingot Prep. - Glue Application</t>
  </si>
  <si>
    <t>Wire Saw</t>
  </si>
  <si>
    <t>Soak Tank</t>
  </si>
  <si>
    <t>Waffer Inspection &amp; Packing</t>
  </si>
  <si>
    <t>Ore Cleaning Worker</t>
  </si>
  <si>
    <t>Crucible Prep. Worker</t>
  </si>
  <si>
    <t>Furnace Worker</t>
  </si>
  <si>
    <t>Brick Prod. Worker</t>
  </si>
  <si>
    <t>Brick Inspector</t>
  </si>
  <si>
    <t>Wire Saw Area Worker</t>
  </si>
  <si>
    <t>Waffer Handler</t>
  </si>
  <si>
    <t>Investment</t>
  </si>
  <si>
    <t>Balance</t>
  </si>
  <si>
    <t>1200 Kg Hopper</t>
  </si>
  <si>
    <t>Facility Yearly Fixed Operating Cost</t>
  </si>
  <si>
    <t>2 Wafer handlers Weekday 1st Shift
1 Wire saw operator Weekend 1st Shift
2 wafer inspection &amp; packaging Station
1 Soak tank</t>
  </si>
  <si>
    <t>1 Wafer handlers Weekday 1st Shift</t>
  </si>
  <si>
    <t>1 Wire saw
1 Wafer handlers Weekday 1st Shift
1 Brick area operator Weekday 1st Shift</t>
  </si>
  <si>
    <t>1 Brick trim station
1 wafer inspection &amp; packaging Station
1 Wafer handler Weekday 2nd Shift</t>
  </si>
  <si>
    <t>Cooling stand</t>
  </si>
  <si>
    <t>1 Furnace
1 Cooling stand
1 wafer inspection &amp; packaging Station
1 Wafer handler Weekend 1st Shift</t>
  </si>
  <si>
    <t>1 Assemble block set
1 Wafer handler Weekday 1st Shift</t>
  </si>
  <si>
    <t>1 Furnace
1 Wire saw operator Weekday 2nd Shift
1 Wafer handler Weekday 2nd Shift
2 Wafer handler Weekday 3rd Shift</t>
  </si>
  <si>
    <t>1 Crucible_prep_operator Weekday 2nd Shift
1 Ore_cleaner_operator Weekday 2nd Shift
1 Furnace operator Weekday 2nd Shift
1 Brick area operator Weekday 2nd Shift
1 Furnace operator Weekday 3rd Shift</t>
  </si>
  <si>
    <t>1 Wafer handler Weekend 1st Shift
1 Furnace operator Weekend 1st Shift
1 Crucible_prep_operator Weekend 1st Shift
1 Ore_cleaner_operator Weekend 1st Shift
1 Brick inspector Weekday 2nd Shift</t>
  </si>
  <si>
    <t>1 Brick area operator Weekday 3rd Shift
1 Brick inspector Weekday 3rd Shift
1 Wire saw operator Weekday 3rd Shift</t>
  </si>
  <si>
    <t>1 Wafer handler Weekday 1st Shift
1 Wafer handler Weekday 2nd Shift
1 Wafer handler Weekday 3rd Shift</t>
  </si>
  <si>
    <t>% of Watt (Target)</t>
  </si>
  <si>
    <t>Wafer Stacks</t>
  </si>
  <si>
    <t>Production required to achieve 1.8 MW / month</t>
  </si>
  <si>
    <t>Price per Wafer</t>
  </si>
  <si>
    <r>
      <t xml:space="preserve">1 Furnace
3 Wafer handler Weekend 2nd Shift
1 Wafer handler Weekend 1st Shift
1 Cooling stand - </t>
    </r>
    <r>
      <rPr>
        <b/>
        <sz val="11"/>
        <color rgb="FFFF0000"/>
        <rFont val="Calibri"/>
        <family val="2"/>
        <scheme val="minor"/>
      </rPr>
      <t>sold</t>
    </r>
  </si>
  <si>
    <t>Crucible Furnace</t>
  </si>
  <si>
    <t>Cooling Stand</t>
  </si>
  <si>
    <t>Ingot Crusher &amp; Sorting</t>
  </si>
  <si>
    <t>Ingot Prep - Glue Application</t>
  </si>
  <si>
    <t>Brick Inspection</t>
  </si>
  <si>
    <t>Assemble Block Set</t>
  </si>
  <si>
    <t>Wafer Cleaning, Inspection &amp; Packaging</t>
  </si>
  <si>
    <t>Ingot Dicing Saw</t>
  </si>
  <si>
    <t>Ore Cleaning Operator</t>
  </si>
  <si>
    <t>Crucible Prep. Operator</t>
  </si>
  <si>
    <t>Furnace Operator</t>
  </si>
  <si>
    <t>Brick Production Operator</t>
  </si>
  <si>
    <t>Wire Saw Operator</t>
  </si>
  <si>
    <t>Wafer Handler</t>
  </si>
  <si>
    <t>Machine</t>
  </si>
  <si>
    <t>Month / Experiment Number</t>
  </si>
  <si>
    <t>Weekday 1st Shift</t>
  </si>
  <si>
    <t>Weekday 2nd Shift</t>
  </si>
  <si>
    <t>Weekday 3rd Shift</t>
  </si>
  <si>
    <t>Weekend 1st Shift</t>
  </si>
  <si>
    <t>Weekend 2nd 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</si>
</sst>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2" borderId="1" xfId="0" applyFill="1" applyBorder="1"/>
    <xf numFmtId="164" fontId="0" fillId="0" borderId="0" xfId="0" applyNumberFormat="1"/>
    <xf numFmtId="164" fontId="0" fillId="0" borderId="2" xfId="0" applyNumberFormat="1" applyBorder="1"/>
    <xf numFmtId="0" fontId="0" fillId="0" borderId="3" xfId="0" applyBorder="1"/>
    <xf numFmtId="164" fontId="0" fillId="0" borderId="3" xfId="0" applyNumberFormat="1" applyBorder="1"/>
    <xf numFmtId="164" fontId="0" fillId="0" borderId="4" xfId="0" applyNumberFormat="1" applyBorder="1"/>
    <xf numFmtId="0" fontId="0" fillId="0" borderId="0" xfId="0" quotePrefix="1"/>
    <xf numFmtId="0" fontId="0" fillId="0" borderId="0" xfId="0" applyAlignment="1">
      <alignment wrapText="1"/>
    </xf>
    <xf numFmtId="10" fontId="0" fillId="0" borderId="0" xfId="0" applyNumberFormat="1"/>
    <xf numFmtId="0" fontId="0" fillId="0" borderId="2" xfId="0" applyBorder="1"/>
    <xf numFmtId="164" fontId="0" fillId="0" borderId="0" xfId="0" applyNumberFormat="1" applyAlignment="1">
      <alignment wrapText="1"/>
    </xf>
    <xf numFmtId="2" fontId="0" fillId="0" borderId="0" xfId="0" applyNumberFormat="1"/>
    <xf numFmtId="0" fontId="0" fillId="0" borderId="4" xfId="0" applyBorder="1"/>
    <xf numFmtId="6" fontId="0" fillId="0" borderId="1" xfId="0" applyNumberFormat="1" applyBorder="1"/>
    <xf numFmtId="44" fontId="0" fillId="0" borderId="0" xfId="1" applyFont="1"/>
    <xf numFmtId="44" fontId="0" fillId="0" borderId="0" xfId="1" applyFont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Summary of experimental Results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'Production#'!$C$2</c:f>
              <c:strCache>
                <c:ptCount val="1"/>
                <c:pt idx="0">
                  <c:v>Wafer Stacks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'Production#'!$A$3:$A$15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'Production#'!$C$3:$C$15</c:f>
              <c:numCache>
                <c:formatCode>General</c:formatCode>
                <c:ptCount val="13"/>
                <c:pt idx="0">
                  <c:v>6666</c:v>
                </c:pt>
                <c:pt idx="1">
                  <c:v>20000</c:v>
                </c:pt>
                <c:pt idx="2">
                  <c:v>22173</c:v>
                </c:pt>
                <c:pt idx="3">
                  <c:v>26328</c:v>
                </c:pt>
                <c:pt idx="4">
                  <c:v>36508</c:v>
                </c:pt>
                <c:pt idx="5">
                  <c:v>42137</c:v>
                </c:pt>
                <c:pt idx="6">
                  <c:v>44762</c:v>
                </c:pt>
                <c:pt idx="7">
                  <c:v>63531</c:v>
                </c:pt>
                <c:pt idx="8">
                  <c:v>66316</c:v>
                </c:pt>
                <c:pt idx="9">
                  <c:v>70546</c:v>
                </c:pt>
                <c:pt idx="10">
                  <c:v>74245</c:v>
                </c:pt>
                <c:pt idx="11">
                  <c:v>75893</c:v>
                </c:pt>
                <c:pt idx="12">
                  <c:v>89562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81-4425-BA76-25D328427534}"/>
            </c:ext>
          </c:extLst>
        </c:ser>
        <c:ser>
          <c:idx val="0"/>
          <c:order val="2"/>
          <c:tx>
            <c:strRef>
              <c:f>'Production#'!$J$2</c:f>
              <c:strCache>
                <c:ptCount val="1"/>
                <c:pt idx="0">
                  <c:v>Production required to achieve 1.8 MW / month</c:v>
                </c:pt>
              </c:strCache>
            </c:strRef>
          </c:tx>
          <c:spPr>
            <a:ln w="15875" cap="rnd">
              <a:solidFill>
                <a:schemeClr val="tx2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'Production#'!$J$3:$J$15</c:f>
              <c:numCache>
                <c:formatCode>General</c:formatCode>
                <c:ptCount val="13"/>
                <c:pt idx="0">
                  <c:v>52300</c:v>
                </c:pt>
                <c:pt idx="1">
                  <c:v>52300</c:v>
                </c:pt>
                <c:pt idx="2">
                  <c:v>52300</c:v>
                </c:pt>
                <c:pt idx="3">
                  <c:v>52300</c:v>
                </c:pt>
                <c:pt idx="4">
                  <c:v>52300</c:v>
                </c:pt>
                <c:pt idx="5">
                  <c:v>52300</c:v>
                </c:pt>
                <c:pt idx="6">
                  <c:v>52300</c:v>
                </c:pt>
                <c:pt idx="7">
                  <c:v>52300</c:v>
                </c:pt>
                <c:pt idx="8">
                  <c:v>52300</c:v>
                </c:pt>
                <c:pt idx="9">
                  <c:v>52300</c:v>
                </c:pt>
                <c:pt idx="10">
                  <c:v>52300</c:v>
                </c:pt>
                <c:pt idx="11">
                  <c:v>52300</c:v>
                </c:pt>
                <c:pt idx="12">
                  <c:v>52300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981-4425-BA76-25D3284275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6976927"/>
        <c:axId val="2026964927"/>
      </c:lineChart>
      <c:lineChart>
        <c:grouping val="standard"/>
        <c:varyColors val="0"/>
        <c:ser>
          <c:idx val="2"/>
          <c:order val="1"/>
          <c:tx>
            <c:strRef>
              <c:f>'Production#'!$I$2</c:f>
              <c:strCache>
                <c:ptCount val="1"/>
                <c:pt idx="0">
                  <c:v>Price per Wafer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'Production#'!$I$3:$I$15</c:f>
              <c:numCache>
                <c:formatCode>"$"#,##0.00</c:formatCode>
                <c:ptCount val="13"/>
                <c:pt idx="0">
                  <c:v>4.7300000000000004</c:v>
                </c:pt>
                <c:pt idx="1">
                  <c:v>1.76</c:v>
                </c:pt>
                <c:pt idx="2">
                  <c:v>1.63</c:v>
                </c:pt>
                <c:pt idx="3">
                  <c:v>1.52</c:v>
                </c:pt>
                <c:pt idx="4">
                  <c:v>1.2</c:v>
                </c:pt>
                <c:pt idx="5">
                  <c:v>1.08</c:v>
                </c:pt>
                <c:pt idx="6">
                  <c:v>1.04</c:v>
                </c:pt>
                <c:pt idx="7">
                  <c:v>0.84</c:v>
                </c:pt>
                <c:pt idx="8">
                  <c:v>0.88</c:v>
                </c:pt>
                <c:pt idx="9">
                  <c:v>0.89</c:v>
                </c:pt>
                <c:pt idx="10">
                  <c:v>0.89</c:v>
                </c:pt>
                <c:pt idx="11">
                  <c:v>0.91</c:v>
                </c:pt>
                <c:pt idx="12">
                  <c:v>0.84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981-4425-BA76-25D3284275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6965407"/>
        <c:axId val="2026981247"/>
      </c:lineChart>
      <c:catAx>
        <c:axId val="20269769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Experiment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6964927"/>
        <c:crosses val="autoZero"/>
        <c:auto val="1"/>
        <c:lblAlgn val="ctr"/>
        <c:lblOffset val="100"/>
        <c:noMultiLvlLbl val="0"/>
      </c:catAx>
      <c:valAx>
        <c:axId val="2026964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Production (Units/year)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6976927"/>
        <c:crosses val="autoZero"/>
        <c:crossBetween val="between"/>
      </c:valAx>
      <c:valAx>
        <c:axId val="2026981247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Price ($/unit)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6965407"/>
        <c:crosses val="max"/>
        <c:crossBetween val="between"/>
      </c:valAx>
      <c:catAx>
        <c:axId val="2026965407"/>
        <c:scaling>
          <c:orientation val="minMax"/>
        </c:scaling>
        <c:delete val="1"/>
        <c:axPos val="b"/>
        <c:majorTickMark val="none"/>
        <c:minorTickMark val="none"/>
        <c:tickLblPos val="nextTo"/>
        <c:crossAx val="202698124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246529</xdr:colOff>
      <xdr:row>3</xdr:row>
      <xdr:rowOff>533401</xdr:rowOff>
    </xdr:from>
    <xdr:to>
      <xdr:col>22</xdr:col>
      <xdr:colOff>601942</xdr:colOff>
      <xdr:row>10</xdr:row>
      <xdr:rowOff>829236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0456B0E-BCF9-A160-A4A3-5B5BEB8F4B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zoomScale="85" workbookViewId="0">
      <selection activeCell="F10" sqref="F10"/>
    </sheetView>
  </sheetViews>
  <sheetFormatPr defaultRowHeight="14.5" x14ac:dyDescent="0.35"/>
  <cols>
    <col min="1" max="1" width="17.90625" customWidth="1"/>
    <col min="2" max="2" width="55.453125" customWidth="1"/>
    <col min="3" max="3" width="19.81640625" customWidth="1"/>
    <col min="4" max="4" width="18.54296875" bestFit="1" customWidth="1"/>
    <col min="5" max="5" width="15.36328125" style="14" bestFit="1" customWidth="1"/>
    <col min="6" max="6" width="17" bestFit="1" customWidth="1"/>
    <col min="7" max="7" width="18.36328125" style="4" bestFit="1" customWidth="1"/>
    <col min="8" max="8" width="18.08984375" bestFit="1" customWidth="1"/>
    <col min="9" max="9" width="12.90625" style="4" bestFit="1" customWidth="1"/>
    <col min="10" max="10" width="43.1796875" bestFit="1" customWidth="1"/>
  </cols>
  <sheetData>
    <row r="1" spans="1:10" x14ac:dyDescent="0.35">
      <c r="H1" t="s">
        <v>57</v>
      </c>
    </row>
    <row r="2" spans="1:10" x14ac:dyDescent="0.35">
      <c r="A2" t="s">
        <v>1</v>
      </c>
      <c r="B2" t="s">
        <v>0</v>
      </c>
      <c r="C2" t="s">
        <v>73</v>
      </c>
      <c r="D2" t="s">
        <v>34</v>
      </c>
      <c r="E2" s="14" t="s">
        <v>35</v>
      </c>
      <c r="F2" t="s">
        <v>72</v>
      </c>
      <c r="G2" s="4" t="s">
        <v>56</v>
      </c>
      <c r="H2" s="17">
        <v>500000</v>
      </c>
      <c r="I2" s="4" t="s">
        <v>75</v>
      </c>
      <c r="J2" t="s">
        <v>74</v>
      </c>
    </row>
    <row r="3" spans="1:10" x14ac:dyDescent="0.35">
      <c r="A3" s="19">
        <v>0</v>
      </c>
      <c r="B3" t="s">
        <v>26</v>
      </c>
      <c r="C3">
        <v>6666</v>
      </c>
      <c r="D3">
        <f t="shared" ref="D3:D4" si="0">C3*100/12</f>
        <v>55550</v>
      </c>
      <c r="E3" s="14">
        <f t="shared" ref="E3:E15" si="1">D3*4.13</f>
        <v>229421.5</v>
      </c>
      <c r="F3" s="11">
        <f t="shared" ref="F3:F15" si="2">(E3/1800000)</f>
        <v>0.12745638888888888</v>
      </c>
      <c r="G3" s="17">
        <v>0</v>
      </c>
      <c r="H3" s="17">
        <v>0</v>
      </c>
      <c r="I3" s="4">
        <v>4.7300000000000004</v>
      </c>
      <c r="J3">
        <v>52300</v>
      </c>
    </row>
    <row r="4" spans="1:10" ht="58" x14ac:dyDescent="0.35">
      <c r="A4" s="19">
        <v>1</v>
      </c>
      <c r="B4" s="10" t="s">
        <v>60</v>
      </c>
      <c r="C4">
        <v>20000</v>
      </c>
      <c r="D4">
        <f t="shared" si="0"/>
        <v>166666.66666666666</v>
      </c>
      <c r="E4" s="14">
        <f t="shared" si="1"/>
        <v>688333.33333333326</v>
      </c>
      <c r="F4" s="11">
        <f t="shared" si="2"/>
        <v>0.38240740740740736</v>
      </c>
      <c r="G4" s="4">
        <f>3*100000+3*50000</f>
        <v>450000</v>
      </c>
      <c r="H4" s="17">
        <f t="shared" ref="H4:H15" si="3">$H$2+H3-G4</f>
        <v>50000</v>
      </c>
      <c r="I4" s="4">
        <v>1.76</v>
      </c>
      <c r="J4">
        <v>52300</v>
      </c>
    </row>
    <row r="5" spans="1:10" s="10" customFormat="1" x14ac:dyDescent="0.35">
      <c r="A5" s="19">
        <v>2</v>
      </c>
      <c r="B5" s="10" t="s">
        <v>61</v>
      </c>
      <c r="C5" s="10">
        <v>22173</v>
      </c>
      <c r="D5">
        <f t="shared" ref="D5" si="4">C5*100/12</f>
        <v>184775</v>
      </c>
      <c r="E5" s="14">
        <f t="shared" si="1"/>
        <v>763120.75</v>
      </c>
      <c r="F5" s="11">
        <f t="shared" si="2"/>
        <v>0.4239559722222222</v>
      </c>
      <c r="G5" s="4">
        <f>100000</f>
        <v>100000</v>
      </c>
      <c r="H5" s="17">
        <f t="shared" si="3"/>
        <v>450000</v>
      </c>
      <c r="I5" s="13">
        <v>1.63</v>
      </c>
      <c r="J5">
        <v>52300</v>
      </c>
    </row>
    <row r="6" spans="1:10" ht="58" x14ac:dyDescent="0.35">
      <c r="A6" s="19">
        <v>3</v>
      </c>
      <c r="B6" s="10" t="s">
        <v>65</v>
      </c>
      <c r="C6">
        <v>26328</v>
      </c>
      <c r="D6">
        <f t="shared" ref="D6:D15" si="5">C6*100/12</f>
        <v>219400</v>
      </c>
      <c r="E6" s="14">
        <f t="shared" si="1"/>
        <v>906122</v>
      </c>
      <c r="F6" s="11">
        <f t="shared" si="2"/>
        <v>0.50340111111111108</v>
      </c>
      <c r="G6" s="4">
        <f>600000+50000+50000+100000</f>
        <v>800000</v>
      </c>
      <c r="H6" s="17">
        <f t="shared" si="3"/>
        <v>150000</v>
      </c>
      <c r="I6" s="4">
        <v>1.52</v>
      </c>
      <c r="J6">
        <v>52300</v>
      </c>
    </row>
    <row r="7" spans="1:10" ht="43.5" x14ac:dyDescent="0.35">
      <c r="A7" s="19">
        <v>4</v>
      </c>
      <c r="B7" s="10" t="s">
        <v>62</v>
      </c>
      <c r="C7">
        <v>36508</v>
      </c>
      <c r="D7">
        <f t="shared" si="5"/>
        <v>304233.33333333331</v>
      </c>
      <c r="E7" s="14">
        <f t="shared" si="1"/>
        <v>1256483.6666666665</v>
      </c>
      <c r="F7" s="11">
        <f t="shared" si="2"/>
        <v>0.69804648148148141</v>
      </c>
      <c r="G7" s="4">
        <f>450000+2*100000</f>
        <v>650000</v>
      </c>
      <c r="H7" s="17">
        <f t="shared" si="3"/>
        <v>0</v>
      </c>
      <c r="I7" s="4">
        <v>1.2</v>
      </c>
      <c r="J7">
        <v>52300</v>
      </c>
    </row>
    <row r="8" spans="1:10" ht="43.5" x14ac:dyDescent="0.35">
      <c r="A8" s="19">
        <v>5</v>
      </c>
      <c r="B8" s="10" t="s">
        <v>63</v>
      </c>
      <c r="C8">
        <v>42137</v>
      </c>
      <c r="D8">
        <f t="shared" si="5"/>
        <v>351141.66666666669</v>
      </c>
      <c r="E8" s="14">
        <f t="shared" si="1"/>
        <v>1450215.0833333335</v>
      </c>
      <c r="F8" s="11">
        <f t="shared" si="2"/>
        <v>0.80567504629629638</v>
      </c>
      <c r="G8" s="4">
        <f>100000+50000+100000</f>
        <v>250000</v>
      </c>
      <c r="H8" s="17">
        <f t="shared" si="3"/>
        <v>250000</v>
      </c>
      <c r="I8" s="4">
        <v>1.08</v>
      </c>
      <c r="J8">
        <v>52300</v>
      </c>
    </row>
    <row r="9" spans="1:10" ht="29" x14ac:dyDescent="0.35">
      <c r="A9" s="19">
        <v>6</v>
      </c>
      <c r="B9" s="10" t="s">
        <v>66</v>
      </c>
      <c r="C9">
        <v>44762</v>
      </c>
      <c r="D9">
        <f t="shared" si="5"/>
        <v>373016.66666666669</v>
      </c>
      <c r="E9" s="14">
        <f t="shared" si="1"/>
        <v>1540558.8333333335</v>
      </c>
      <c r="F9" s="11">
        <f t="shared" si="2"/>
        <v>0.85586601851851862</v>
      </c>
      <c r="G9" s="4">
        <f>100000+100000</f>
        <v>200000</v>
      </c>
      <c r="H9" s="17">
        <f t="shared" si="3"/>
        <v>550000</v>
      </c>
      <c r="I9" s="4">
        <v>1.04</v>
      </c>
      <c r="J9">
        <v>52300</v>
      </c>
    </row>
    <row r="10" spans="1:10" ht="58" x14ac:dyDescent="0.35">
      <c r="A10" s="19">
        <v>7</v>
      </c>
      <c r="B10" s="10" t="s">
        <v>67</v>
      </c>
      <c r="C10">
        <v>63531</v>
      </c>
      <c r="D10">
        <f t="shared" si="5"/>
        <v>529425</v>
      </c>
      <c r="E10" s="14">
        <f t="shared" si="1"/>
        <v>2186525.25</v>
      </c>
      <c r="F10" s="11">
        <f t="shared" si="2"/>
        <v>1.2147362500000001</v>
      </c>
      <c r="G10" s="4">
        <f>600000+4*100000</f>
        <v>1000000</v>
      </c>
      <c r="H10" s="17">
        <f t="shared" si="3"/>
        <v>50000</v>
      </c>
      <c r="I10" s="4">
        <v>0.84</v>
      </c>
      <c r="J10">
        <v>52300</v>
      </c>
    </row>
    <row r="11" spans="1:10" ht="72.5" x14ac:dyDescent="0.35">
      <c r="A11" s="19">
        <v>8</v>
      </c>
      <c r="B11" s="10" t="s">
        <v>68</v>
      </c>
      <c r="C11">
        <v>66316</v>
      </c>
      <c r="D11">
        <f t="shared" si="5"/>
        <v>552633.33333333337</v>
      </c>
      <c r="E11" s="14">
        <f t="shared" si="1"/>
        <v>2282375.666666667</v>
      </c>
      <c r="F11" s="11">
        <f t="shared" si="2"/>
        <v>1.2679864814814816</v>
      </c>
      <c r="G11" s="4">
        <f>5*100000</f>
        <v>500000</v>
      </c>
      <c r="H11" s="17">
        <f t="shared" si="3"/>
        <v>50000</v>
      </c>
      <c r="I11" s="4">
        <v>0.88</v>
      </c>
      <c r="J11">
        <v>52300</v>
      </c>
    </row>
    <row r="12" spans="1:10" ht="72.5" x14ac:dyDescent="0.35">
      <c r="A12" s="19">
        <v>9</v>
      </c>
      <c r="B12" s="10" t="s">
        <v>69</v>
      </c>
      <c r="C12">
        <v>70546</v>
      </c>
      <c r="D12">
        <f t="shared" si="5"/>
        <v>587883.33333333337</v>
      </c>
      <c r="E12" s="14">
        <f t="shared" si="1"/>
        <v>2427958.166666667</v>
      </c>
      <c r="F12" s="11">
        <f t="shared" si="2"/>
        <v>1.3488656481481482</v>
      </c>
      <c r="G12" s="4">
        <f>5*100000</f>
        <v>500000</v>
      </c>
      <c r="H12" s="17">
        <f t="shared" si="3"/>
        <v>50000</v>
      </c>
      <c r="I12" s="4">
        <v>0.89</v>
      </c>
      <c r="J12">
        <v>52300</v>
      </c>
    </row>
    <row r="13" spans="1:10" ht="43.5" x14ac:dyDescent="0.35">
      <c r="A13" s="19">
        <v>10</v>
      </c>
      <c r="B13" s="10" t="s">
        <v>70</v>
      </c>
      <c r="C13">
        <v>74245</v>
      </c>
      <c r="D13">
        <f t="shared" si="5"/>
        <v>618708.33333333337</v>
      </c>
      <c r="E13" s="14">
        <f t="shared" si="1"/>
        <v>2555265.416666667</v>
      </c>
      <c r="F13" s="11">
        <f t="shared" si="2"/>
        <v>1.4195918981481483</v>
      </c>
      <c r="G13" s="4">
        <f>3*100000</f>
        <v>300000</v>
      </c>
      <c r="H13" s="17">
        <f t="shared" si="3"/>
        <v>250000</v>
      </c>
      <c r="I13" s="4">
        <v>0.89</v>
      </c>
      <c r="J13">
        <v>52300</v>
      </c>
    </row>
    <row r="14" spans="1:10" ht="43.5" x14ac:dyDescent="0.35">
      <c r="A14" s="19">
        <v>11</v>
      </c>
      <c r="B14" s="10" t="s">
        <v>71</v>
      </c>
      <c r="C14">
        <v>75893</v>
      </c>
      <c r="D14">
        <f t="shared" si="5"/>
        <v>632441.66666666663</v>
      </c>
      <c r="E14" s="14">
        <f t="shared" si="1"/>
        <v>2611984.083333333</v>
      </c>
      <c r="F14" s="11">
        <f t="shared" si="2"/>
        <v>1.4511022685185184</v>
      </c>
      <c r="G14" s="4">
        <f>3*100000</f>
        <v>300000</v>
      </c>
      <c r="H14" s="17">
        <f t="shared" si="3"/>
        <v>450000</v>
      </c>
      <c r="I14" s="4">
        <v>0.91</v>
      </c>
      <c r="J14">
        <v>52300</v>
      </c>
    </row>
    <row r="15" spans="1:10" ht="58" x14ac:dyDescent="0.35">
      <c r="A15" s="19">
        <v>12</v>
      </c>
      <c r="B15" s="10" t="s">
        <v>76</v>
      </c>
      <c r="C15">
        <v>89562</v>
      </c>
      <c r="D15">
        <f t="shared" si="5"/>
        <v>746350</v>
      </c>
      <c r="E15" s="14">
        <f t="shared" si="1"/>
        <v>3082425.5</v>
      </c>
      <c r="F15" s="11">
        <f t="shared" si="2"/>
        <v>1.7124586111111111</v>
      </c>
      <c r="G15" s="4">
        <f>600000+4*100000-50000</f>
        <v>950000</v>
      </c>
      <c r="H15" s="17">
        <f t="shared" si="3"/>
        <v>0</v>
      </c>
      <c r="I15" s="4">
        <v>0.84</v>
      </c>
      <c r="J15">
        <v>52300</v>
      </c>
    </row>
    <row r="16" spans="1:10" x14ac:dyDescent="0.35">
      <c r="A16" s="10"/>
      <c r="B16" s="10"/>
      <c r="F16" s="11"/>
      <c r="H16" s="17"/>
    </row>
    <row r="17" spans="6:8" x14ac:dyDescent="0.35">
      <c r="F17" s="11"/>
      <c r="H17" s="18"/>
    </row>
    <row r="18" spans="6:8" x14ac:dyDescent="0.35">
      <c r="F18" s="11"/>
      <c r="H18" s="18"/>
    </row>
    <row r="19" spans="6:8" x14ac:dyDescent="0.35">
      <c r="F19" s="11"/>
      <c r="H19" s="18"/>
    </row>
    <row r="20" spans="6:8" x14ac:dyDescent="0.35">
      <c r="F20" s="11"/>
      <c r="H20" s="18"/>
    </row>
    <row r="21" spans="6:8" x14ac:dyDescent="0.35">
      <c r="F21" s="11"/>
      <c r="H21" s="18"/>
    </row>
    <row r="22" spans="6:8" x14ac:dyDescent="0.35">
      <c r="F22" s="11"/>
      <c r="H22" s="18"/>
    </row>
    <row r="23" spans="6:8" x14ac:dyDescent="0.35">
      <c r="F23" s="11"/>
      <c r="H23" s="18"/>
    </row>
    <row r="24" spans="6:8" x14ac:dyDescent="0.35">
      <c r="F24" s="11"/>
      <c r="H24" s="18"/>
    </row>
    <row r="25" spans="6:8" x14ac:dyDescent="0.35">
      <c r="F25" s="11"/>
      <c r="H25" s="18"/>
    </row>
    <row r="26" spans="6:8" x14ac:dyDescent="0.35">
      <c r="F26" s="11"/>
      <c r="H26" s="13"/>
    </row>
    <row r="27" spans="6:8" x14ac:dyDescent="0.35">
      <c r="F27" s="11"/>
      <c r="H27" s="13"/>
    </row>
    <row r="28" spans="6:8" x14ac:dyDescent="0.35">
      <c r="F28" s="11"/>
      <c r="H28" s="13"/>
    </row>
    <row r="29" spans="6:8" x14ac:dyDescent="0.35">
      <c r="F29" s="11"/>
      <c r="H29" s="13"/>
    </row>
    <row r="30" spans="6:8" x14ac:dyDescent="0.35">
      <c r="F30" s="11"/>
      <c r="H30" s="13"/>
    </row>
    <row r="31" spans="6:8" x14ac:dyDescent="0.35">
      <c r="F31" s="11"/>
      <c r="H31" s="1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9"/>
  <sheetViews>
    <sheetView workbookViewId="0">
      <selection activeCell="E36" sqref="E36"/>
    </sheetView>
  </sheetViews>
  <sheetFormatPr defaultRowHeight="14.5" x14ac:dyDescent="0.35"/>
  <cols>
    <col min="1" max="1" width="35.54296875" bestFit="1" customWidth="1"/>
    <col min="2" max="4" width="18.36328125" bestFit="1" customWidth="1"/>
    <col min="5" max="5" width="16.08984375" bestFit="1" customWidth="1"/>
    <col min="6" max="6" width="18.36328125" bestFit="1" customWidth="1"/>
    <col min="7" max="7" width="17.54296875" bestFit="1" customWidth="1"/>
    <col min="8" max="8" width="17.1796875" bestFit="1" customWidth="1"/>
    <col min="9" max="9" width="13.26953125" customWidth="1"/>
    <col min="10" max="10" width="17.26953125" customWidth="1"/>
    <col min="11" max="11" width="11.453125" bestFit="1" customWidth="1"/>
    <col min="12" max="12" width="14.1796875" customWidth="1"/>
  </cols>
  <sheetData>
    <row r="1" spans="1:9" x14ac:dyDescent="0.35">
      <c r="H1" s="1">
        <v>89562</v>
      </c>
      <c r="I1" s="9" t="s">
        <v>27</v>
      </c>
    </row>
    <row r="2" spans="1:9" x14ac:dyDescent="0.35">
      <c r="A2" s="3" t="s">
        <v>2</v>
      </c>
      <c r="B2" s="3" t="s">
        <v>3</v>
      </c>
      <c r="C2" s="3" t="s">
        <v>7</v>
      </c>
      <c r="D2" s="3" t="s">
        <v>8</v>
      </c>
      <c r="E2" s="3" t="s">
        <v>25</v>
      </c>
      <c r="F2" s="3" t="s">
        <v>4</v>
      </c>
      <c r="G2" s="3" t="s">
        <v>5</v>
      </c>
      <c r="H2" s="3" t="s">
        <v>6</v>
      </c>
      <c r="I2" s="3" t="s">
        <v>9</v>
      </c>
    </row>
    <row r="3" spans="1:9" x14ac:dyDescent="0.35">
      <c r="A3" s="1" t="s">
        <v>59</v>
      </c>
      <c r="B3" s="1"/>
      <c r="C3" s="1"/>
      <c r="D3" s="1"/>
      <c r="E3" s="1"/>
      <c r="F3" s="16">
        <v>400000</v>
      </c>
      <c r="G3" s="15"/>
      <c r="H3" s="1"/>
      <c r="I3" s="1"/>
    </row>
    <row r="4" spans="1:9" x14ac:dyDescent="0.35">
      <c r="A4" s="1" t="s">
        <v>28</v>
      </c>
      <c r="B4" s="1">
        <v>1</v>
      </c>
      <c r="C4" s="2">
        <v>600000</v>
      </c>
      <c r="D4" s="2">
        <f>B4*C4</f>
        <v>600000</v>
      </c>
      <c r="E4" s="2">
        <v>5000</v>
      </c>
      <c r="F4" s="2">
        <f>E4*B4</f>
        <v>5000</v>
      </c>
      <c r="G4" s="8"/>
      <c r="H4" s="1"/>
      <c r="I4" s="1"/>
    </row>
    <row r="5" spans="1:9" x14ac:dyDescent="0.35">
      <c r="A5" s="1" t="s">
        <v>29</v>
      </c>
      <c r="B5" s="1">
        <v>1</v>
      </c>
      <c r="C5" s="2">
        <v>300000</v>
      </c>
      <c r="D5" s="2">
        <f t="shared" ref="D5:D25" si="0">B5*C5</f>
        <v>300000</v>
      </c>
      <c r="E5" s="2">
        <v>10000</v>
      </c>
      <c r="F5" s="2">
        <f t="shared" ref="F5:F33" si="1">E5*B5</f>
        <v>10000</v>
      </c>
      <c r="G5" s="8"/>
      <c r="H5" s="1"/>
      <c r="I5" s="2"/>
    </row>
    <row r="6" spans="1:9" x14ac:dyDescent="0.35">
      <c r="A6" s="1" t="s">
        <v>58</v>
      </c>
      <c r="B6" s="1">
        <v>2</v>
      </c>
      <c r="C6" s="2">
        <v>100000</v>
      </c>
      <c r="D6" s="2">
        <f t="shared" si="0"/>
        <v>200000</v>
      </c>
      <c r="E6" s="2">
        <v>5000</v>
      </c>
      <c r="F6" s="2">
        <f t="shared" si="1"/>
        <v>10000</v>
      </c>
      <c r="G6" s="8"/>
      <c r="H6" s="1"/>
      <c r="I6" s="2"/>
    </row>
    <row r="7" spans="1:9" x14ac:dyDescent="0.35">
      <c r="A7" s="1" t="s">
        <v>32</v>
      </c>
      <c r="B7" s="1">
        <v>1</v>
      </c>
      <c r="C7" s="2">
        <v>200000</v>
      </c>
      <c r="D7" s="2">
        <f t="shared" ref="D7" si="2">B7*C7</f>
        <v>200000</v>
      </c>
      <c r="E7" s="2">
        <v>5000</v>
      </c>
      <c r="F7" s="2">
        <f t="shared" ref="F7" si="3">E7*B7</f>
        <v>5000</v>
      </c>
      <c r="G7" s="8"/>
      <c r="H7" s="1"/>
      <c r="I7" s="2"/>
    </row>
    <row r="8" spans="1:9" x14ac:dyDescent="0.35">
      <c r="A8" s="1" t="s">
        <v>31</v>
      </c>
      <c r="B8" s="1">
        <v>1</v>
      </c>
      <c r="C8" s="2">
        <v>400000</v>
      </c>
      <c r="D8" s="2">
        <f t="shared" ref="D8" si="4">B8*C8</f>
        <v>400000</v>
      </c>
      <c r="E8" s="2">
        <v>10000</v>
      </c>
      <c r="F8" s="2">
        <f t="shared" ref="F8" si="5">E8*B8</f>
        <v>10000</v>
      </c>
      <c r="G8" s="8"/>
      <c r="H8" s="1"/>
      <c r="I8" s="2"/>
    </row>
    <row r="9" spans="1:9" x14ac:dyDescent="0.35">
      <c r="A9" s="1" t="s">
        <v>30</v>
      </c>
      <c r="B9" s="1">
        <v>4</v>
      </c>
      <c r="C9" s="2">
        <v>600000</v>
      </c>
      <c r="D9" s="2">
        <f t="shared" si="0"/>
        <v>2400000</v>
      </c>
      <c r="E9" s="2">
        <v>30000</v>
      </c>
      <c r="F9" s="2">
        <f t="shared" si="1"/>
        <v>120000</v>
      </c>
      <c r="G9" s="8">
        <v>0</v>
      </c>
      <c r="H9" s="1">
        <f>H1</f>
        <v>89562</v>
      </c>
      <c r="I9" s="2">
        <f t="shared" ref="I9:I19" si="6">G9*H9</f>
        <v>0</v>
      </c>
    </row>
    <row r="10" spans="1:9" x14ac:dyDescent="0.35">
      <c r="A10" s="1" t="s">
        <v>64</v>
      </c>
      <c r="B10" s="1">
        <v>1</v>
      </c>
      <c r="C10" s="2">
        <v>50000</v>
      </c>
      <c r="D10" s="2">
        <f t="shared" si="0"/>
        <v>50000</v>
      </c>
      <c r="E10" s="2">
        <v>1000</v>
      </c>
      <c r="F10" s="2">
        <f t="shared" si="1"/>
        <v>1000</v>
      </c>
      <c r="G10" s="8"/>
      <c r="H10" s="1"/>
      <c r="I10" s="2"/>
    </row>
    <row r="11" spans="1:9" x14ac:dyDescent="0.35">
      <c r="A11" s="12" t="s">
        <v>36</v>
      </c>
      <c r="B11" s="1">
        <v>2</v>
      </c>
      <c r="C11" s="2">
        <v>150000</v>
      </c>
      <c r="D11" s="2">
        <f t="shared" si="0"/>
        <v>300000</v>
      </c>
      <c r="E11" s="2">
        <v>5000</v>
      </c>
      <c r="F11" s="2">
        <f t="shared" si="1"/>
        <v>10000</v>
      </c>
      <c r="G11" s="8"/>
      <c r="H11" s="1"/>
      <c r="I11" s="2"/>
    </row>
    <row r="12" spans="1:9" x14ac:dyDescent="0.35">
      <c r="A12" s="1" t="s">
        <v>37</v>
      </c>
      <c r="B12" s="1">
        <v>1</v>
      </c>
      <c r="C12" s="2">
        <v>50000</v>
      </c>
      <c r="D12" s="2">
        <f t="shared" ref="D12:D17" si="7">B12*C12</f>
        <v>50000</v>
      </c>
      <c r="E12" s="2">
        <v>1000</v>
      </c>
      <c r="F12" s="2">
        <f t="shared" ref="F12:F17" si="8">E12*B12</f>
        <v>1000</v>
      </c>
      <c r="G12" s="8">
        <v>0</v>
      </c>
      <c r="H12" s="1">
        <f>H1</f>
        <v>89562</v>
      </c>
      <c r="I12" s="2">
        <f>G12*H12</f>
        <v>0</v>
      </c>
    </row>
    <row r="13" spans="1:9" x14ac:dyDescent="0.35">
      <c r="A13" s="1" t="s">
        <v>38</v>
      </c>
      <c r="B13" s="1">
        <v>1</v>
      </c>
      <c r="C13" s="2">
        <v>300000</v>
      </c>
      <c r="D13" s="2">
        <f t="shared" si="7"/>
        <v>300000</v>
      </c>
      <c r="E13" s="2">
        <v>5000</v>
      </c>
      <c r="F13" s="2">
        <f t="shared" si="8"/>
        <v>5000</v>
      </c>
      <c r="G13" s="2"/>
      <c r="H13" s="2"/>
      <c r="I13" s="2"/>
    </row>
    <row r="14" spans="1:9" x14ac:dyDescent="0.35">
      <c r="A14" s="1" t="s">
        <v>40</v>
      </c>
      <c r="B14" s="1">
        <v>1</v>
      </c>
      <c r="C14" s="2">
        <v>50000</v>
      </c>
      <c r="D14" s="2">
        <f t="shared" si="7"/>
        <v>50000</v>
      </c>
      <c r="E14" s="2">
        <v>5000</v>
      </c>
      <c r="F14" s="2">
        <f t="shared" si="8"/>
        <v>5000</v>
      </c>
      <c r="G14" s="8"/>
      <c r="H14" s="2"/>
      <c r="I14" s="2"/>
    </row>
    <row r="15" spans="1:9" x14ac:dyDescent="0.35">
      <c r="A15" s="1" t="s">
        <v>45</v>
      </c>
      <c r="B15" s="1">
        <v>1</v>
      </c>
      <c r="C15" s="2">
        <v>50000</v>
      </c>
      <c r="D15" s="2">
        <f t="shared" si="7"/>
        <v>50000</v>
      </c>
      <c r="E15" s="2">
        <v>5000</v>
      </c>
      <c r="F15" s="2">
        <f t="shared" si="8"/>
        <v>5000</v>
      </c>
      <c r="G15" s="8"/>
      <c r="H15" s="2"/>
      <c r="I15" s="2"/>
    </row>
    <row r="16" spans="1:9" x14ac:dyDescent="0.35">
      <c r="A16" s="1" t="s">
        <v>39</v>
      </c>
      <c r="B16" s="1">
        <v>1</v>
      </c>
      <c r="C16" s="2">
        <v>400000</v>
      </c>
      <c r="D16" s="2">
        <f t="shared" si="7"/>
        <v>400000</v>
      </c>
      <c r="E16" s="2">
        <v>10000</v>
      </c>
      <c r="F16" s="2">
        <f t="shared" si="8"/>
        <v>10000</v>
      </c>
      <c r="G16" s="8"/>
      <c r="H16" s="2"/>
      <c r="I16" s="2"/>
    </row>
    <row r="17" spans="1:9" x14ac:dyDescent="0.35">
      <c r="A17" s="1" t="s">
        <v>41</v>
      </c>
      <c r="B17" s="1">
        <v>2</v>
      </c>
      <c r="C17" s="2">
        <v>100000</v>
      </c>
      <c r="D17" s="2">
        <f t="shared" si="7"/>
        <v>200000</v>
      </c>
      <c r="E17" s="2">
        <v>5000</v>
      </c>
      <c r="F17" s="2">
        <f t="shared" si="8"/>
        <v>10000</v>
      </c>
      <c r="G17" s="8"/>
      <c r="H17" s="2"/>
      <c r="I17" s="2"/>
    </row>
    <row r="18" spans="1:9" x14ac:dyDescent="0.35">
      <c r="A18" s="1" t="s">
        <v>42</v>
      </c>
      <c r="B18" s="1">
        <v>1</v>
      </c>
      <c r="C18" s="2">
        <v>50000</v>
      </c>
      <c r="D18" s="2">
        <f t="shared" si="0"/>
        <v>50000</v>
      </c>
      <c r="E18" s="2">
        <v>5000</v>
      </c>
      <c r="F18" s="2">
        <f t="shared" si="1"/>
        <v>5000</v>
      </c>
      <c r="G18" s="8"/>
      <c r="H18" s="1"/>
      <c r="I18" s="2"/>
    </row>
    <row r="19" spans="1:9" x14ac:dyDescent="0.35">
      <c r="A19" s="1" t="s">
        <v>43</v>
      </c>
      <c r="B19" s="1">
        <v>2</v>
      </c>
      <c r="C19" s="2">
        <v>100000</v>
      </c>
      <c r="D19" s="2">
        <f t="shared" si="0"/>
        <v>200000</v>
      </c>
      <c r="E19" s="2">
        <v>5000</v>
      </c>
      <c r="F19" s="2">
        <f t="shared" si="1"/>
        <v>10000</v>
      </c>
      <c r="G19" s="8">
        <v>0</v>
      </c>
      <c r="H19" s="1">
        <f>H1</f>
        <v>89562</v>
      </c>
      <c r="I19" s="2">
        <f t="shared" si="6"/>
        <v>0</v>
      </c>
    </row>
    <row r="20" spans="1:9" x14ac:dyDescent="0.35">
      <c r="A20" s="1" t="s">
        <v>44</v>
      </c>
      <c r="B20" s="1">
        <v>1</v>
      </c>
      <c r="C20" s="2">
        <v>50000</v>
      </c>
      <c r="D20" s="2">
        <f t="shared" si="0"/>
        <v>50000</v>
      </c>
      <c r="E20" s="2">
        <v>5000</v>
      </c>
      <c r="F20" s="2">
        <f t="shared" si="1"/>
        <v>5000</v>
      </c>
      <c r="G20" s="8"/>
      <c r="H20" s="1"/>
      <c r="I20" s="2"/>
    </row>
    <row r="21" spans="1:9" x14ac:dyDescent="0.35">
      <c r="A21" s="1" t="s">
        <v>46</v>
      </c>
      <c r="B21" s="1">
        <v>2</v>
      </c>
      <c r="C21" s="2">
        <v>450000</v>
      </c>
      <c r="D21" s="2">
        <f t="shared" si="0"/>
        <v>900000</v>
      </c>
      <c r="E21" s="2">
        <v>40000</v>
      </c>
      <c r="F21" s="2">
        <f t="shared" si="1"/>
        <v>80000</v>
      </c>
      <c r="G21" s="8"/>
      <c r="H21" s="1"/>
      <c r="I21" s="2"/>
    </row>
    <row r="22" spans="1:9" x14ac:dyDescent="0.35">
      <c r="A22" s="1" t="s">
        <v>47</v>
      </c>
      <c r="B22" s="1">
        <v>2</v>
      </c>
      <c r="C22" s="2">
        <v>50000</v>
      </c>
      <c r="D22" s="2">
        <f t="shared" si="0"/>
        <v>100000</v>
      </c>
      <c r="E22" s="2">
        <v>15000</v>
      </c>
      <c r="F22" s="2">
        <f t="shared" si="1"/>
        <v>30000</v>
      </c>
      <c r="G22" s="8"/>
      <c r="H22" s="1"/>
      <c r="I22" s="2"/>
    </row>
    <row r="23" spans="1:9" x14ac:dyDescent="0.35">
      <c r="A23" s="1" t="s">
        <v>48</v>
      </c>
      <c r="B23" s="1">
        <v>5</v>
      </c>
      <c r="C23" s="2">
        <v>50000</v>
      </c>
      <c r="D23" s="2">
        <f t="shared" si="0"/>
        <v>250000</v>
      </c>
      <c r="E23" s="2">
        <v>5000</v>
      </c>
      <c r="F23" s="2">
        <f t="shared" si="1"/>
        <v>25000</v>
      </c>
      <c r="G23" s="8"/>
      <c r="H23" s="1"/>
      <c r="I23" s="2"/>
    </row>
    <row r="24" spans="1:9" x14ac:dyDescent="0.35">
      <c r="A24" s="1"/>
      <c r="B24" s="1"/>
      <c r="C24" s="2"/>
      <c r="D24" s="2"/>
      <c r="E24" s="2"/>
      <c r="F24" s="2"/>
      <c r="G24" s="8"/>
      <c r="H24" s="1"/>
      <c r="I24" s="2"/>
    </row>
    <row r="25" spans="1:9" x14ac:dyDescent="0.35">
      <c r="A25" s="1" t="s">
        <v>33</v>
      </c>
      <c r="B25" s="1">
        <v>26</v>
      </c>
      <c r="C25" s="2">
        <v>50000</v>
      </c>
      <c r="D25" s="2">
        <f t="shared" si="0"/>
        <v>1300000</v>
      </c>
      <c r="E25" s="2">
        <v>0</v>
      </c>
      <c r="F25" s="2">
        <f t="shared" si="1"/>
        <v>0</v>
      </c>
      <c r="G25" s="8"/>
      <c r="H25" s="1"/>
      <c r="I25" s="2"/>
    </row>
    <row r="26" spans="1:9" x14ac:dyDescent="0.35">
      <c r="A26" s="1"/>
      <c r="B26" s="1"/>
      <c r="C26" s="2"/>
      <c r="D26" s="2"/>
      <c r="E26" s="2"/>
      <c r="F26" s="2"/>
      <c r="G26" s="8"/>
      <c r="H26" s="1"/>
      <c r="I26" s="2"/>
    </row>
    <row r="27" spans="1:9" x14ac:dyDescent="0.35">
      <c r="A27" s="1" t="s">
        <v>49</v>
      </c>
      <c r="B27" s="1">
        <v>3</v>
      </c>
      <c r="C27" s="2"/>
      <c r="D27" s="2"/>
      <c r="E27" s="2">
        <v>100000</v>
      </c>
      <c r="F27" s="2">
        <f t="shared" si="1"/>
        <v>300000</v>
      </c>
      <c r="G27" s="8"/>
      <c r="H27" s="1"/>
      <c r="I27" s="2"/>
    </row>
    <row r="28" spans="1:9" x14ac:dyDescent="0.35">
      <c r="A28" s="6" t="s">
        <v>50</v>
      </c>
      <c r="B28" s="6">
        <v>3</v>
      </c>
      <c r="C28" s="6"/>
      <c r="D28" s="7"/>
      <c r="E28" s="2">
        <v>100000</v>
      </c>
      <c r="F28" s="2">
        <f t="shared" si="1"/>
        <v>300000</v>
      </c>
      <c r="H28" s="6"/>
      <c r="I28" s="7"/>
    </row>
    <row r="29" spans="1:9" x14ac:dyDescent="0.35">
      <c r="A29" s="1" t="s">
        <v>51</v>
      </c>
      <c r="B29" s="1">
        <v>4</v>
      </c>
      <c r="C29" s="1"/>
      <c r="D29" s="2"/>
      <c r="E29" s="2">
        <v>100000</v>
      </c>
      <c r="F29" s="2">
        <f t="shared" si="1"/>
        <v>400000</v>
      </c>
      <c r="G29" s="2"/>
      <c r="H29" s="1"/>
      <c r="I29" s="2">
        <f>E29*H29</f>
        <v>0</v>
      </c>
    </row>
    <row r="30" spans="1:9" x14ac:dyDescent="0.35">
      <c r="A30" s="1" t="s">
        <v>52</v>
      </c>
      <c r="B30" s="1">
        <v>4</v>
      </c>
      <c r="C30" s="1"/>
      <c r="D30" s="2"/>
      <c r="E30" s="2">
        <v>100000</v>
      </c>
      <c r="F30" s="2">
        <f t="shared" si="1"/>
        <v>400000</v>
      </c>
      <c r="G30" s="2"/>
      <c r="H30" s="1"/>
      <c r="I30" s="2"/>
    </row>
    <row r="31" spans="1:9" x14ac:dyDescent="0.35">
      <c r="A31" s="1" t="s">
        <v>53</v>
      </c>
      <c r="B31" s="1">
        <v>3</v>
      </c>
      <c r="C31" s="1"/>
      <c r="D31" s="2"/>
      <c r="E31" s="2">
        <v>100000</v>
      </c>
      <c r="F31" s="2">
        <f t="shared" si="1"/>
        <v>300000</v>
      </c>
      <c r="G31" s="2"/>
      <c r="H31" s="1"/>
      <c r="I31" s="2"/>
    </row>
    <row r="32" spans="1:9" x14ac:dyDescent="0.35">
      <c r="A32" s="1" t="s">
        <v>54</v>
      </c>
      <c r="B32" s="1">
        <v>4</v>
      </c>
      <c r="C32" s="1"/>
      <c r="D32" s="2"/>
      <c r="E32" s="2">
        <v>100000</v>
      </c>
      <c r="F32" s="2">
        <f t="shared" si="1"/>
        <v>400000</v>
      </c>
      <c r="G32" s="2"/>
      <c r="H32" s="1"/>
      <c r="I32" s="2"/>
    </row>
    <row r="33" spans="1:12" x14ac:dyDescent="0.35">
      <c r="A33" s="1" t="s">
        <v>55</v>
      </c>
      <c r="B33" s="1">
        <v>19</v>
      </c>
      <c r="C33" s="1"/>
      <c r="D33" s="2"/>
      <c r="E33" s="2">
        <v>100000</v>
      </c>
      <c r="F33" s="2">
        <f t="shared" si="1"/>
        <v>1900000</v>
      </c>
      <c r="G33" s="2"/>
      <c r="H33" s="1"/>
      <c r="I33" s="2"/>
    </row>
    <row r="34" spans="1:12" x14ac:dyDescent="0.35">
      <c r="D34" s="2">
        <f>SUM(D4:D28)</f>
        <v>8350000</v>
      </c>
      <c r="E34" s="4"/>
      <c r="F34" s="2">
        <f>SUM(F3:F33)</f>
        <v>4762000</v>
      </c>
      <c r="I34" s="2">
        <f>SUM(I4:I29)</f>
        <v>0</v>
      </c>
    </row>
    <row r="37" spans="1:12" x14ac:dyDescent="0.35">
      <c r="A37" t="s">
        <v>10</v>
      </c>
    </row>
    <row r="39" spans="1:12" x14ac:dyDescent="0.35">
      <c r="A39" t="s">
        <v>11</v>
      </c>
      <c r="B39" t="s">
        <v>12</v>
      </c>
      <c r="C39" t="s">
        <v>13</v>
      </c>
      <c r="D39" t="s">
        <v>14</v>
      </c>
      <c r="F39" t="s">
        <v>15</v>
      </c>
      <c r="G39" t="s">
        <v>16</v>
      </c>
      <c r="H39" t="s">
        <v>17</v>
      </c>
      <c r="I39" t="s">
        <v>18</v>
      </c>
      <c r="J39" t="s">
        <v>19</v>
      </c>
      <c r="K39" t="s">
        <v>21</v>
      </c>
      <c r="L39" t="s">
        <v>20</v>
      </c>
    </row>
    <row r="40" spans="1:12" x14ac:dyDescent="0.35">
      <c r="A40">
        <v>0</v>
      </c>
      <c r="D40" s="4">
        <f>D34</f>
        <v>8350000</v>
      </c>
      <c r="E40" s="4"/>
    </row>
    <row r="41" spans="1:12" x14ac:dyDescent="0.35">
      <c r="A41">
        <v>1</v>
      </c>
      <c r="B41" s="4">
        <f>$D$40/6</f>
        <v>1391666.6666666667</v>
      </c>
      <c r="C41" s="4">
        <f>$D$40*0.2</f>
        <v>1670000</v>
      </c>
      <c r="D41" s="4">
        <f>D40-($D$40/6)</f>
        <v>6958333.333333333</v>
      </c>
      <c r="E41" s="4"/>
      <c r="F41" s="4">
        <f>(0.7)*(0.2)*D40</f>
        <v>1168999.9999999998</v>
      </c>
      <c r="G41" s="4">
        <f>(0.3)*(0.1)*D40</f>
        <v>250500</v>
      </c>
      <c r="H41" s="4">
        <f>(0.4/0.6)*(B41+F41-C41)</f>
        <v>593777.77777777775</v>
      </c>
      <c r="I41" s="5">
        <f>$I$34+$F$34</f>
        <v>4762000</v>
      </c>
      <c r="J41" s="4">
        <f>B41+F41+G41+I41+H41</f>
        <v>8166944.444444444</v>
      </c>
      <c r="K41">
        <v>0.83330000000000004</v>
      </c>
      <c r="L41" s="4">
        <f>J41*K41</f>
        <v>6805514.805555556</v>
      </c>
    </row>
    <row r="42" spans="1:12" x14ac:dyDescent="0.35">
      <c r="A42">
        <v>2</v>
      </c>
      <c r="B42" s="4">
        <f t="shared" ref="B42:B46" si="9">$D$40/6</f>
        <v>1391666.6666666667</v>
      </c>
      <c r="C42" s="4">
        <f>$D$40*0.32</f>
        <v>2672000</v>
      </c>
      <c r="D42" s="4">
        <f t="shared" ref="D42:D46" si="10">D41-($D$40/6)</f>
        <v>5566666.666666666</v>
      </c>
      <c r="E42" s="4"/>
      <c r="F42" s="4">
        <f t="shared" ref="F42:F46" si="11">(0.7)*(0.2)*D41</f>
        <v>974166.66666666651</v>
      </c>
      <c r="G42" s="4">
        <f t="shared" ref="G42:G46" si="12">(0.3)*(0.1)*D41</f>
        <v>208749.99999999997</v>
      </c>
      <c r="H42" s="4">
        <f t="shared" ref="H42:H46" si="13">(0.4/0.6)*(B42+F42-C42)</f>
        <v>-204111.11111111133</v>
      </c>
      <c r="I42" s="5">
        <f t="shared" ref="I42:I46" si="14">$I$34+$F$34</f>
        <v>4762000</v>
      </c>
      <c r="J42" s="4">
        <f t="shared" ref="J42:J46" si="15">B42+F42+G42+I42+H42</f>
        <v>7132472.222222222</v>
      </c>
      <c r="K42">
        <v>0.69450000000000001</v>
      </c>
      <c r="L42" s="4">
        <f t="shared" ref="L42:L46" si="16">J42*K42</f>
        <v>4953501.958333333</v>
      </c>
    </row>
    <row r="43" spans="1:12" x14ac:dyDescent="0.35">
      <c r="A43">
        <v>3</v>
      </c>
      <c r="B43" s="4">
        <f t="shared" si="9"/>
        <v>1391666.6666666667</v>
      </c>
      <c r="C43" s="4">
        <f>$D$40*0.192</f>
        <v>1603200</v>
      </c>
      <c r="D43" s="4">
        <f t="shared" si="10"/>
        <v>4174999.9999999991</v>
      </c>
      <c r="E43" s="4"/>
      <c r="F43" s="4">
        <f t="shared" si="11"/>
        <v>779333.33333333314</v>
      </c>
      <c r="G43" s="4">
        <f t="shared" si="12"/>
        <v>166999.99999999997</v>
      </c>
      <c r="H43" s="4">
        <f t="shared" si="13"/>
        <v>378533.33333333337</v>
      </c>
      <c r="I43" s="5">
        <f t="shared" si="14"/>
        <v>4762000</v>
      </c>
      <c r="J43" s="4">
        <f t="shared" si="15"/>
        <v>7478533.333333333</v>
      </c>
      <c r="K43">
        <v>0.57869999999999999</v>
      </c>
      <c r="L43" s="4">
        <f t="shared" si="16"/>
        <v>4327827.24</v>
      </c>
    </row>
    <row r="44" spans="1:12" x14ac:dyDescent="0.35">
      <c r="A44">
        <v>4</v>
      </c>
      <c r="B44" s="4">
        <f t="shared" si="9"/>
        <v>1391666.6666666667</v>
      </c>
      <c r="C44" s="4">
        <f>$D$40*0.1152</f>
        <v>961920</v>
      </c>
      <c r="D44" s="4">
        <f t="shared" si="10"/>
        <v>2783333.3333333321</v>
      </c>
      <c r="E44" s="4"/>
      <c r="F44" s="4">
        <f t="shared" si="11"/>
        <v>584499.99999999977</v>
      </c>
      <c r="G44" s="4">
        <f t="shared" si="12"/>
        <v>125249.99999999997</v>
      </c>
      <c r="H44" s="4">
        <f t="shared" si="13"/>
        <v>676164.44444444438</v>
      </c>
      <c r="I44" s="5">
        <f t="shared" si="14"/>
        <v>4762000</v>
      </c>
      <c r="J44" s="4">
        <f t="shared" si="15"/>
        <v>7539581.1111111101</v>
      </c>
      <c r="K44">
        <v>0.48230000000000001</v>
      </c>
      <c r="L44" s="4">
        <f t="shared" si="16"/>
        <v>3636339.9698888883</v>
      </c>
    </row>
    <row r="45" spans="1:12" x14ac:dyDescent="0.35">
      <c r="A45">
        <v>5</v>
      </c>
      <c r="B45" s="4">
        <f t="shared" si="9"/>
        <v>1391666.6666666667</v>
      </c>
      <c r="C45" s="4">
        <f>$D$40*0.1152</f>
        <v>961920</v>
      </c>
      <c r="D45" s="4">
        <f t="shared" si="10"/>
        <v>1391666.6666666653</v>
      </c>
      <c r="E45" s="4"/>
      <c r="F45" s="4">
        <f t="shared" si="11"/>
        <v>389666.66666666645</v>
      </c>
      <c r="G45" s="4">
        <f t="shared" si="12"/>
        <v>83499.999999999956</v>
      </c>
      <c r="H45" s="4">
        <f t="shared" si="13"/>
        <v>546275.55555555562</v>
      </c>
      <c r="I45" s="5">
        <f t="shared" si="14"/>
        <v>4762000</v>
      </c>
      <c r="J45" s="4">
        <f t="shared" si="15"/>
        <v>7173108.888888889</v>
      </c>
      <c r="K45">
        <v>0.40189999999999998</v>
      </c>
      <c r="L45" s="4">
        <f t="shared" si="16"/>
        <v>2882872.4624444442</v>
      </c>
    </row>
    <row r="46" spans="1:12" x14ac:dyDescent="0.35">
      <c r="A46">
        <v>6</v>
      </c>
      <c r="B46" s="4">
        <f t="shared" si="9"/>
        <v>1391666.6666666667</v>
      </c>
      <c r="C46" s="4">
        <f>$D$40*0.05765</f>
        <v>481377.5</v>
      </c>
      <c r="D46" s="4">
        <f t="shared" si="10"/>
        <v>0</v>
      </c>
      <c r="E46" s="4"/>
      <c r="F46" s="4">
        <f t="shared" si="11"/>
        <v>194833.33333333314</v>
      </c>
      <c r="G46" s="4">
        <f t="shared" si="12"/>
        <v>41749.999999999956</v>
      </c>
      <c r="H46" s="4">
        <f t="shared" si="13"/>
        <v>736748.33333333337</v>
      </c>
      <c r="I46" s="5">
        <f t="shared" si="14"/>
        <v>4762000</v>
      </c>
      <c r="J46" s="4">
        <f t="shared" si="15"/>
        <v>7126998.333333333</v>
      </c>
      <c r="K46">
        <v>0.33489999999999998</v>
      </c>
      <c r="L46" s="4">
        <f t="shared" si="16"/>
        <v>2386831.7418333329</v>
      </c>
    </row>
    <row r="47" spans="1:12" x14ac:dyDescent="0.35">
      <c r="B47" s="4">
        <f>SUM(B41:B46)</f>
        <v>8350000.0000000009</v>
      </c>
      <c r="C47" s="4">
        <f>SUM(C41:C46)</f>
        <v>8350417.5</v>
      </c>
      <c r="K47" t="s">
        <v>22</v>
      </c>
      <c r="L47" s="4">
        <f>SUM(L41:L46)</f>
        <v>24992888.178055555</v>
      </c>
    </row>
    <row r="48" spans="1:12" x14ac:dyDescent="0.35">
      <c r="K48" t="s">
        <v>23</v>
      </c>
      <c r="L48" s="4">
        <f>0.3007 * L47</f>
        <v>7515361.4751413055</v>
      </c>
    </row>
    <row r="49" spans="11:12" x14ac:dyDescent="0.35">
      <c r="K49" t="s">
        <v>24</v>
      </c>
      <c r="L49" s="4">
        <f>L48/(H1*100)</f>
        <v>0.83912390021898853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6A762-FF77-4300-A079-146EDCACD23A}">
  <dimension ref="A1:L49"/>
  <sheetViews>
    <sheetView workbookViewId="0">
      <selection activeCell="D34" sqref="D34"/>
    </sheetView>
  </sheetViews>
  <sheetFormatPr defaultRowHeight="14.5" x14ac:dyDescent="0.35"/>
  <cols>
    <col min="1" max="1" width="35.54296875" bestFit="1" customWidth="1"/>
    <col min="2" max="4" width="18.36328125" bestFit="1" customWidth="1"/>
    <col min="5" max="5" width="16.08984375" bestFit="1" customWidth="1"/>
    <col min="6" max="6" width="18.36328125" bestFit="1" customWidth="1"/>
    <col min="7" max="7" width="17.54296875" bestFit="1" customWidth="1"/>
    <col min="8" max="8" width="17.1796875" bestFit="1" customWidth="1"/>
    <col min="9" max="9" width="13.26953125" customWidth="1"/>
    <col min="10" max="10" width="17.26953125" customWidth="1"/>
    <col min="11" max="11" width="11.453125" bestFit="1" customWidth="1"/>
    <col min="12" max="12" width="14.1796875" customWidth="1"/>
  </cols>
  <sheetData>
    <row r="1" spans="1:9" x14ac:dyDescent="0.35">
      <c r="H1" s="1">
        <v>6665</v>
      </c>
      <c r="I1" s="9" t="s">
        <v>27</v>
      </c>
    </row>
    <row r="2" spans="1:9" x14ac:dyDescent="0.35">
      <c r="A2" s="3" t="s">
        <v>2</v>
      </c>
      <c r="B2" s="3" t="s">
        <v>3</v>
      </c>
      <c r="C2" s="3" t="s">
        <v>7</v>
      </c>
      <c r="D2" s="3" t="s">
        <v>8</v>
      </c>
      <c r="E2" s="3" t="s">
        <v>25</v>
      </c>
      <c r="F2" s="3" t="s">
        <v>4</v>
      </c>
      <c r="G2" s="3" t="s">
        <v>5</v>
      </c>
      <c r="H2" s="3" t="s">
        <v>6</v>
      </c>
      <c r="I2" s="3" t="s">
        <v>9</v>
      </c>
    </row>
    <row r="3" spans="1:9" x14ac:dyDescent="0.35">
      <c r="A3" s="1" t="s">
        <v>59</v>
      </c>
      <c r="B3" s="1"/>
      <c r="C3" s="1"/>
      <c r="D3" s="1"/>
      <c r="E3" s="1"/>
      <c r="F3" s="16">
        <v>400000</v>
      </c>
      <c r="G3" s="15"/>
      <c r="H3" s="1"/>
      <c r="I3" s="1"/>
    </row>
    <row r="4" spans="1:9" x14ac:dyDescent="0.35">
      <c r="A4" s="1" t="s">
        <v>28</v>
      </c>
      <c r="B4" s="1">
        <v>1</v>
      </c>
      <c r="C4" s="2">
        <v>600000</v>
      </c>
      <c r="D4" s="2">
        <f>B4*C4</f>
        <v>600000</v>
      </c>
      <c r="E4" s="2">
        <v>5000</v>
      </c>
      <c r="F4" s="2">
        <f>E4*B4</f>
        <v>5000</v>
      </c>
      <c r="G4" s="8"/>
      <c r="H4" s="1"/>
      <c r="I4" s="1"/>
    </row>
    <row r="5" spans="1:9" x14ac:dyDescent="0.35">
      <c r="A5" s="1" t="s">
        <v>29</v>
      </c>
      <c r="B5" s="1">
        <v>1</v>
      </c>
      <c r="C5" s="2">
        <v>300000</v>
      </c>
      <c r="D5" s="2">
        <f t="shared" ref="D5:D25" si="0">B5*C5</f>
        <v>300000</v>
      </c>
      <c r="E5" s="2">
        <v>10000</v>
      </c>
      <c r="F5" s="2">
        <f t="shared" ref="F5:F33" si="1">E5*B5</f>
        <v>10000</v>
      </c>
      <c r="G5" s="8"/>
      <c r="H5" s="1"/>
      <c r="I5" s="2"/>
    </row>
    <row r="6" spans="1:9" x14ac:dyDescent="0.35">
      <c r="A6" s="1" t="s">
        <v>58</v>
      </c>
      <c r="B6" s="1">
        <v>2</v>
      </c>
      <c r="C6" s="2">
        <v>100000</v>
      </c>
      <c r="D6" s="2">
        <f t="shared" si="0"/>
        <v>200000</v>
      </c>
      <c r="E6" s="2">
        <v>5000</v>
      </c>
      <c r="F6" s="2">
        <f t="shared" si="1"/>
        <v>10000</v>
      </c>
      <c r="G6" s="8"/>
      <c r="H6" s="1"/>
      <c r="I6" s="2"/>
    </row>
    <row r="7" spans="1:9" x14ac:dyDescent="0.35">
      <c r="A7" s="1" t="s">
        <v>32</v>
      </c>
      <c r="B7" s="1">
        <v>1</v>
      </c>
      <c r="C7" s="2">
        <v>200000</v>
      </c>
      <c r="D7" s="2">
        <f t="shared" si="0"/>
        <v>200000</v>
      </c>
      <c r="E7" s="2">
        <v>5000</v>
      </c>
      <c r="F7" s="2">
        <f t="shared" si="1"/>
        <v>5000</v>
      </c>
      <c r="G7" s="8"/>
      <c r="H7" s="1"/>
      <c r="I7" s="2"/>
    </row>
    <row r="8" spans="1:9" x14ac:dyDescent="0.35">
      <c r="A8" s="1" t="s">
        <v>31</v>
      </c>
      <c r="B8" s="1">
        <v>1</v>
      </c>
      <c r="C8" s="2">
        <v>400000</v>
      </c>
      <c r="D8" s="2">
        <f t="shared" si="0"/>
        <v>400000</v>
      </c>
      <c r="E8" s="2">
        <v>10000</v>
      </c>
      <c r="F8" s="2">
        <f t="shared" si="1"/>
        <v>10000</v>
      </c>
      <c r="G8" s="8"/>
      <c r="H8" s="1"/>
      <c r="I8" s="2"/>
    </row>
    <row r="9" spans="1:9" x14ac:dyDescent="0.35">
      <c r="A9" s="1" t="s">
        <v>30</v>
      </c>
      <c r="B9" s="1">
        <v>1</v>
      </c>
      <c r="C9" s="2">
        <v>600000</v>
      </c>
      <c r="D9" s="2">
        <f t="shared" si="0"/>
        <v>600000</v>
      </c>
      <c r="E9" s="2">
        <v>30000</v>
      </c>
      <c r="F9" s="2">
        <f t="shared" si="1"/>
        <v>30000</v>
      </c>
      <c r="G9" s="8">
        <v>0</v>
      </c>
      <c r="H9" s="1">
        <f>H1</f>
        <v>6665</v>
      </c>
      <c r="I9" s="2">
        <f t="shared" ref="I9:I19" si="2">G9*H9</f>
        <v>0</v>
      </c>
    </row>
    <row r="10" spans="1:9" x14ac:dyDescent="0.35">
      <c r="A10" s="1" t="s">
        <v>64</v>
      </c>
      <c r="B10" s="1">
        <v>1</v>
      </c>
      <c r="C10" s="2">
        <v>50000</v>
      </c>
      <c r="D10" s="2">
        <f t="shared" si="0"/>
        <v>50000</v>
      </c>
      <c r="E10" s="2">
        <v>1000</v>
      </c>
      <c r="F10" s="2">
        <f t="shared" si="1"/>
        <v>1000</v>
      </c>
      <c r="G10" s="8"/>
      <c r="H10" s="1"/>
      <c r="I10" s="2"/>
    </row>
    <row r="11" spans="1:9" x14ac:dyDescent="0.35">
      <c r="A11" s="12" t="s">
        <v>36</v>
      </c>
      <c r="B11" s="1">
        <v>2</v>
      </c>
      <c r="C11" s="2">
        <v>150000</v>
      </c>
      <c r="D11" s="2">
        <f t="shared" si="0"/>
        <v>300000</v>
      </c>
      <c r="E11" s="2">
        <v>5000</v>
      </c>
      <c r="F11" s="2">
        <f t="shared" si="1"/>
        <v>10000</v>
      </c>
      <c r="G11" s="8"/>
      <c r="H11" s="1"/>
      <c r="I11" s="2"/>
    </row>
    <row r="12" spans="1:9" x14ac:dyDescent="0.35">
      <c r="A12" s="1" t="s">
        <v>37</v>
      </c>
      <c r="B12" s="1">
        <v>1</v>
      </c>
      <c r="C12" s="2">
        <v>50000</v>
      </c>
      <c r="D12" s="2">
        <f t="shared" si="0"/>
        <v>50000</v>
      </c>
      <c r="E12" s="2">
        <v>1000</v>
      </c>
      <c r="F12" s="2">
        <f t="shared" si="1"/>
        <v>1000</v>
      </c>
      <c r="G12" s="8">
        <v>0</v>
      </c>
      <c r="H12" s="1">
        <f>H1</f>
        <v>6665</v>
      </c>
      <c r="I12" s="2">
        <f>G12*H12</f>
        <v>0</v>
      </c>
    </row>
    <row r="13" spans="1:9" x14ac:dyDescent="0.35">
      <c r="A13" s="1" t="s">
        <v>38</v>
      </c>
      <c r="B13" s="1">
        <v>1</v>
      </c>
      <c r="C13" s="2">
        <v>300000</v>
      </c>
      <c r="D13" s="2">
        <f t="shared" si="0"/>
        <v>300000</v>
      </c>
      <c r="E13" s="2">
        <v>5000</v>
      </c>
      <c r="F13" s="2">
        <f t="shared" si="1"/>
        <v>5000</v>
      </c>
      <c r="G13" s="2"/>
      <c r="H13" s="2"/>
      <c r="I13" s="2"/>
    </row>
    <row r="14" spans="1:9" x14ac:dyDescent="0.35">
      <c r="A14" s="1" t="s">
        <v>40</v>
      </c>
      <c r="B14" s="1">
        <v>1</v>
      </c>
      <c r="C14" s="2">
        <v>50000</v>
      </c>
      <c r="D14" s="2">
        <f t="shared" si="0"/>
        <v>50000</v>
      </c>
      <c r="E14" s="2">
        <v>5000</v>
      </c>
      <c r="F14" s="2">
        <f t="shared" si="1"/>
        <v>5000</v>
      </c>
      <c r="G14" s="8"/>
      <c r="H14" s="2"/>
      <c r="I14" s="2"/>
    </row>
    <row r="15" spans="1:9" x14ac:dyDescent="0.35">
      <c r="A15" s="1" t="s">
        <v>45</v>
      </c>
      <c r="B15" s="1">
        <v>1</v>
      </c>
      <c r="C15" s="2">
        <v>50000</v>
      </c>
      <c r="D15" s="2">
        <f t="shared" si="0"/>
        <v>50000</v>
      </c>
      <c r="E15" s="2">
        <v>5000</v>
      </c>
      <c r="F15" s="2">
        <f t="shared" si="1"/>
        <v>5000</v>
      </c>
      <c r="G15" s="8"/>
      <c r="H15" s="2"/>
      <c r="I15" s="2"/>
    </row>
    <row r="16" spans="1:9" x14ac:dyDescent="0.35">
      <c r="A16" s="1" t="s">
        <v>39</v>
      </c>
      <c r="B16" s="1">
        <v>1</v>
      </c>
      <c r="C16" s="2">
        <v>400000</v>
      </c>
      <c r="D16" s="2">
        <f t="shared" si="0"/>
        <v>400000</v>
      </c>
      <c r="E16" s="2">
        <v>10000</v>
      </c>
      <c r="F16" s="2">
        <f t="shared" si="1"/>
        <v>10000</v>
      </c>
      <c r="G16" s="8"/>
      <c r="H16" s="2"/>
      <c r="I16" s="2"/>
    </row>
    <row r="17" spans="1:9" x14ac:dyDescent="0.35">
      <c r="A17" s="1" t="s">
        <v>41</v>
      </c>
      <c r="B17" s="1">
        <v>1</v>
      </c>
      <c r="C17" s="2">
        <v>100000</v>
      </c>
      <c r="D17" s="2">
        <f t="shared" si="0"/>
        <v>100000</v>
      </c>
      <c r="E17" s="2">
        <v>5000</v>
      </c>
      <c r="F17" s="2">
        <f t="shared" si="1"/>
        <v>5000</v>
      </c>
      <c r="G17" s="8"/>
      <c r="H17" s="2"/>
      <c r="I17" s="2"/>
    </row>
    <row r="18" spans="1:9" x14ac:dyDescent="0.35">
      <c r="A18" s="1" t="s">
        <v>42</v>
      </c>
      <c r="B18" s="1">
        <v>1</v>
      </c>
      <c r="C18" s="2">
        <v>50000</v>
      </c>
      <c r="D18" s="2">
        <f t="shared" si="0"/>
        <v>50000</v>
      </c>
      <c r="E18" s="2">
        <v>5000</v>
      </c>
      <c r="F18" s="2">
        <f t="shared" si="1"/>
        <v>5000</v>
      </c>
      <c r="G18" s="8"/>
      <c r="H18" s="1"/>
      <c r="I18" s="2"/>
    </row>
    <row r="19" spans="1:9" x14ac:dyDescent="0.35">
      <c r="A19" s="1" t="s">
        <v>43</v>
      </c>
      <c r="B19" s="1">
        <v>1</v>
      </c>
      <c r="C19" s="2">
        <v>100000</v>
      </c>
      <c r="D19" s="2">
        <f t="shared" si="0"/>
        <v>100000</v>
      </c>
      <c r="E19" s="2">
        <v>5000</v>
      </c>
      <c r="F19" s="2">
        <f t="shared" si="1"/>
        <v>5000</v>
      </c>
      <c r="G19" s="8">
        <v>0</v>
      </c>
      <c r="H19" s="1">
        <f>H1</f>
        <v>6665</v>
      </c>
      <c r="I19" s="2">
        <f t="shared" si="2"/>
        <v>0</v>
      </c>
    </row>
    <row r="20" spans="1:9" x14ac:dyDescent="0.35">
      <c r="A20" s="1" t="s">
        <v>44</v>
      </c>
      <c r="B20" s="1">
        <v>1</v>
      </c>
      <c r="C20" s="2">
        <v>50000</v>
      </c>
      <c r="D20" s="2">
        <f t="shared" si="0"/>
        <v>50000</v>
      </c>
      <c r="E20" s="2">
        <v>5000</v>
      </c>
      <c r="F20" s="2">
        <f t="shared" si="1"/>
        <v>5000</v>
      </c>
      <c r="G20" s="8"/>
      <c r="H20" s="1"/>
      <c r="I20" s="2"/>
    </row>
    <row r="21" spans="1:9" x14ac:dyDescent="0.35">
      <c r="A21" s="1" t="s">
        <v>46</v>
      </c>
      <c r="B21" s="1">
        <v>1</v>
      </c>
      <c r="C21" s="2">
        <v>450000</v>
      </c>
      <c r="D21" s="2">
        <f t="shared" si="0"/>
        <v>450000</v>
      </c>
      <c r="E21" s="2">
        <v>40000</v>
      </c>
      <c r="F21" s="2">
        <f t="shared" si="1"/>
        <v>40000</v>
      </c>
      <c r="G21" s="8"/>
      <c r="H21" s="1"/>
      <c r="I21" s="2"/>
    </row>
    <row r="22" spans="1:9" x14ac:dyDescent="0.35">
      <c r="A22" s="1" t="s">
        <v>47</v>
      </c>
      <c r="B22" s="1">
        <v>1</v>
      </c>
      <c r="C22" s="2">
        <v>50000</v>
      </c>
      <c r="D22" s="2">
        <f t="shared" si="0"/>
        <v>50000</v>
      </c>
      <c r="E22" s="2">
        <v>15000</v>
      </c>
      <c r="F22" s="2">
        <f t="shared" si="1"/>
        <v>15000</v>
      </c>
      <c r="G22" s="8"/>
      <c r="H22" s="1"/>
      <c r="I22" s="2"/>
    </row>
    <row r="23" spans="1:9" x14ac:dyDescent="0.35">
      <c r="A23" s="1" t="s">
        <v>48</v>
      </c>
      <c r="B23" s="1">
        <v>1</v>
      </c>
      <c r="C23" s="2">
        <v>50000</v>
      </c>
      <c r="D23" s="2">
        <f t="shared" si="0"/>
        <v>50000</v>
      </c>
      <c r="E23" s="2">
        <v>5000</v>
      </c>
      <c r="F23" s="2">
        <f t="shared" si="1"/>
        <v>5000</v>
      </c>
      <c r="G23" s="8"/>
      <c r="H23" s="1"/>
      <c r="I23" s="2"/>
    </row>
    <row r="24" spans="1:9" x14ac:dyDescent="0.35">
      <c r="A24" s="1"/>
      <c r="B24" s="1"/>
      <c r="C24" s="2"/>
      <c r="D24" s="2"/>
      <c r="E24" s="2"/>
      <c r="F24" s="2"/>
      <c r="G24" s="8"/>
      <c r="H24" s="1"/>
      <c r="I24" s="2"/>
    </row>
    <row r="25" spans="1:9" x14ac:dyDescent="0.35">
      <c r="A25" s="1" t="s">
        <v>33</v>
      </c>
      <c r="B25" s="1">
        <v>26</v>
      </c>
      <c r="C25" s="2">
        <v>50000</v>
      </c>
      <c r="D25" s="2">
        <f t="shared" si="0"/>
        <v>1300000</v>
      </c>
      <c r="E25" s="2">
        <v>0</v>
      </c>
      <c r="F25" s="2">
        <f t="shared" si="1"/>
        <v>0</v>
      </c>
      <c r="G25" s="8"/>
      <c r="H25" s="1"/>
      <c r="I25" s="2"/>
    </row>
    <row r="26" spans="1:9" x14ac:dyDescent="0.35">
      <c r="A26" s="1"/>
      <c r="B26" s="1"/>
      <c r="C26" s="2"/>
      <c r="D26" s="2"/>
      <c r="E26" s="2"/>
      <c r="F26" s="2"/>
      <c r="G26" s="8"/>
      <c r="H26" s="1"/>
      <c r="I26" s="2"/>
    </row>
    <row r="27" spans="1:9" x14ac:dyDescent="0.35">
      <c r="A27" s="1" t="s">
        <v>49</v>
      </c>
      <c r="B27" s="1">
        <v>1</v>
      </c>
      <c r="C27" s="2"/>
      <c r="D27" s="2"/>
      <c r="E27" s="2">
        <v>100000</v>
      </c>
      <c r="F27" s="2">
        <f t="shared" si="1"/>
        <v>100000</v>
      </c>
      <c r="G27" s="8"/>
      <c r="H27" s="1"/>
      <c r="I27" s="2"/>
    </row>
    <row r="28" spans="1:9" x14ac:dyDescent="0.35">
      <c r="A28" s="6" t="s">
        <v>50</v>
      </c>
      <c r="B28" s="6">
        <v>1</v>
      </c>
      <c r="C28" s="6"/>
      <c r="D28" s="7"/>
      <c r="E28" s="2">
        <v>100000</v>
      </c>
      <c r="F28" s="2">
        <f t="shared" si="1"/>
        <v>100000</v>
      </c>
      <c r="H28" s="6"/>
      <c r="I28" s="7"/>
    </row>
    <row r="29" spans="1:9" x14ac:dyDescent="0.35">
      <c r="A29" s="1" t="s">
        <v>51</v>
      </c>
      <c r="B29" s="1">
        <v>1</v>
      </c>
      <c r="C29" s="1"/>
      <c r="D29" s="2"/>
      <c r="E29" s="2">
        <v>100000</v>
      </c>
      <c r="F29" s="2">
        <f t="shared" si="1"/>
        <v>100000</v>
      </c>
      <c r="G29" s="2"/>
      <c r="H29" s="1"/>
      <c r="I29" s="2">
        <f>E29*H29</f>
        <v>0</v>
      </c>
    </row>
    <row r="30" spans="1:9" x14ac:dyDescent="0.35">
      <c r="A30" s="1" t="s">
        <v>52</v>
      </c>
      <c r="B30" s="1">
        <v>1</v>
      </c>
      <c r="C30" s="1"/>
      <c r="D30" s="2"/>
      <c r="E30" s="2">
        <v>100000</v>
      </c>
      <c r="F30" s="2">
        <f t="shared" si="1"/>
        <v>100000</v>
      </c>
      <c r="G30" s="2"/>
      <c r="H30" s="1"/>
      <c r="I30" s="2"/>
    </row>
    <row r="31" spans="1:9" x14ac:dyDescent="0.35">
      <c r="A31" s="1" t="s">
        <v>53</v>
      </c>
      <c r="B31" s="1">
        <v>1</v>
      </c>
      <c r="C31" s="1"/>
      <c r="D31" s="2"/>
      <c r="E31" s="2">
        <v>100000</v>
      </c>
      <c r="F31" s="2">
        <f t="shared" si="1"/>
        <v>100000</v>
      </c>
      <c r="G31" s="2"/>
      <c r="H31" s="1"/>
      <c r="I31" s="2"/>
    </row>
    <row r="32" spans="1:9" x14ac:dyDescent="0.35">
      <c r="A32" s="1" t="s">
        <v>54</v>
      </c>
      <c r="B32" s="1">
        <v>1</v>
      </c>
      <c r="C32" s="1"/>
      <c r="D32" s="2"/>
      <c r="E32" s="2">
        <v>100000</v>
      </c>
      <c r="F32" s="2">
        <f t="shared" si="1"/>
        <v>100000</v>
      </c>
      <c r="G32" s="2"/>
      <c r="H32" s="1"/>
      <c r="I32" s="2"/>
    </row>
    <row r="33" spans="1:12" x14ac:dyDescent="0.35">
      <c r="A33" s="1" t="s">
        <v>55</v>
      </c>
      <c r="B33" s="1">
        <v>1</v>
      </c>
      <c r="C33" s="1"/>
      <c r="D33" s="2"/>
      <c r="E33" s="2">
        <v>100000</v>
      </c>
      <c r="F33" s="2">
        <f t="shared" si="1"/>
        <v>100000</v>
      </c>
      <c r="G33" s="2"/>
      <c r="H33" s="1"/>
      <c r="I33" s="2"/>
    </row>
    <row r="34" spans="1:12" x14ac:dyDescent="0.35">
      <c r="D34" s="2">
        <f>SUM(D4:D28)</f>
        <v>5650000</v>
      </c>
      <c r="E34" s="4"/>
      <c r="F34" s="2">
        <f>SUM(F3:F33)</f>
        <v>1287000</v>
      </c>
      <c r="I34" s="2">
        <f>SUM(I4:I29)</f>
        <v>0</v>
      </c>
    </row>
    <row r="35" spans="1:12" x14ac:dyDescent="0.35">
      <c r="C35" s="4"/>
    </row>
    <row r="37" spans="1:12" x14ac:dyDescent="0.35">
      <c r="A37" t="s">
        <v>10</v>
      </c>
    </row>
    <row r="39" spans="1:12" x14ac:dyDescent="0.35">
      <c r="A39" t="s">
        <v>11</v>
      </c>
      <c r="B39" t="s">
        <v>12</v>
      </c>
      <c r="C39" t="s">
        <v>13</v>
      </c>
      <c r="D39" t="s">
        <v>14</v>
      </c>
      <c r="F39" t="s">
        <v>15</v>
      </c>
      <c r="G39" t="s">
        <v>16</v>
      </c>
      <c r="H39" t="s">
        <v>17</v>
      </c>
      <c r="I39" t="s">
        <v>18</v>
      </c>
      <c r="J39" t="s">
        <v>19</v>
      </c>
      <c r="K39" t="s">
        <v>21</v>
      </c>
      <c r="L39" t="s">
        <v>20</v>
      </c>
    </row>
    <row r="40" spans="1:12" x14ac:dyDescent="0.35">
      <c r="A40">
        <v>0</v>
      </c>
      <c r="D40" s="4">
        <f>D34</f>
        <v>5650000</v>
      </c>
      <c r="E40" s="4"/>
    </row>
    <row r="41" spans="1:12" x14ac:dyDescent="0.35">
      <c r="A41">
        <v>1</v>
      </c>
      <c r="B41" s="4">
        <f>$D$40/6</f>
        <v>941666.66666666663</v>
      </c>
      <c r="C41" s="4">
        <f>$D$40*0.2</f>
        <v>1130000</v>
      </c>
      <c r="D41" s="4">
        <f>D40-($D$40/6)</f>
        <v>4708333.333333333</v>
      </c>
      <c r="E41" s="4"/>
      <c r="F41" s="4">
        <f>(0.7)*(0.2)*D40</f>
        <v>790999.99999999988</v>
      </c>
      <c r="G41" s="4">
        <f>(0.3)*(0.1)*D40</f>
        <v>169500</v>
      </c>
      <c r="H41" s="4">
        <f>(0.4/0.6)*(B41+F41-C41)</f>
        <v>401777.77777777769</v>
      </c>
      <c r="I41" s="5">
        <f>$I$34+$F$34</f>
        <v>1287000</v>
      </c>
      <c r="J41" s="4">
        <f>B41+F41+G41+I41+H41</f>
        <v>3590944.444444444</v>
      </c>
      <c r="K41">
        <v>0.83330000000000004</v>
      </c>
      <c r="L41" s="4">
        <f>J41*K41</f>
        <v>2992334.0055555552</v>
      </c>
    </row>
    <row r="42" spans="1:12" x14ac:dyDescent="0.35">
      <c r="A42">
        <v>2</v>
      </c>
      <c r="B42" s="4">
        <f t="shared" ref="B42:B46" si="3">$D$40/6</f>
        <v>941666.66666666663</v>
      </c>
      <c r="C42" s="4">
        <f>$D$40*0.32</f>
        <v>1808000</v>
      </c>
      <c r="D42" s="4">
        <f t="shared" ref="D42:D46" si="4">D41-($D$40/6)</f>
        <v>3766666.6666666665</v>
      </c>
      <c r="E42" s="4"/>
      <c r="F42" s="4">
        <f t="shared" ref="F42:F46" si="5">(0.7)*(0.2)*D41</f>
        <v>659166.66666666651</v>
      </c>
      <c r="G42" s="4">
        <f t="shared" ref="G42:G46" si="6">(0.3)*(0.1)*D41</f>
        <v>141250</v>
      </c>
      <c r="H42" s="4">
        <f t="shared" ref="H42:H46" si="7">(0.4/0.6)*(B42+F42-C42)</f>
        <v>-138111.11111111133</v>
      </c>
      <c r="I42" s="5">
        <f t="shared" ref="I42:I46" si="8">$I$34+$F$34</f>
        <v>1287000</v>
      </c>
      <c r="J42" s="4">
        <f t="shared" ref="J42:J46" si="9">B42+F42+G42+I42+H42</f>
        <v>2890972.2222222215</v>
      </c>
      <c r="K42">
        <v>0.69450000000000001</v>
      </c>
      <c r="L42" s="4">
        <f t="shared" ref="L42:L46" si="10">J42*K42</f>
        <v>2007780.2083333328</v>
      </c>
    </row>
    <row r="43" spans="1:12" x14ac:dyDescent="0.35">
      <c r="A43">
        <v>3</v>
      </c>
      <c r="B43" s="4">
        <f t="shared" si="3"/>
        <v>941666.66666666663</v>
      </c>
      <c r="C43" s="4">
        <f>$D$40*0.192</f>
        <v>1084800</v>
      </c>
      <c r="D43" s="4">
        <f t="shared" si="4"/>
        <v>2825000</v>
      </c>
      <c r="E43" s="4"/>
      <c r="F43" s="4">
        <f t="shared" si="5"/>
        <v>527333.33333333326</v>
      </c>
      <c r="G43" s="4">
        <f t="shared" si="6"/>
        <v>112999.99999999999</v>
      </c>
      <c r="H43" s="4">
        <f t="shared" si="7"/>
        <v>256133.33333333337</v>
      </c>
      <c r="I43" s="5">
        <f t="shared" si="8"/>
        <v>1287000</v>
      </c>
      <c r="J43" s="4">
        <f t="shared" si="9"/>
        <v>3125133.3333333335</v>
      </c>
      <c r="K43">
        <v>0.57869999999999999</v>
      </c>
      <c r="L43" s="4">
        <f t="shared" si="10"/>
        <v>1808514.6600000001</v>
      </c>
    </row>
    <row r="44" spans="1:12" x14ac:dyDescent="0.35">
      <c r="A44">
        <v>4</v>
      </c>
      <c r="B44" s="4">
        <f t="shared" si="3"/>
        <v>941666.66666666663</v>
      </c>
      <c r="C44" s="4">
        <f>$D$40*0.1152</f>
        <v>650880</v>
      </c>
      <c r="D44" s="4">
        <f t="shared" si="4"/>
        <v>1883333.3333333335</v>
      </c>
      <c r="E44" s="4"/>
      <c r="F44" s="4">
        <f t="shared" si="5"/>
        <v>395499.99999999994</v>
      </c>
      <c r="G44" s="4">
        <f t="shared" si="6"/>
        <v>84750</v>
      </c>
      <c r="H44" s="4">
        <f t="shared" si="7"/>
        <v>457524.44444444438</v>
      </c>
      <c r="I44" s="5">
        <f t="shared" si="8"/>
        <v>1287000</v>
      </c>
      <c r="J44" s="4">
        <f t="shared" si="9"/>
        <v>3166441.111111111</v>
      </c>
      <c r="K44">
        <v>0.48230000000000001</v>
      </c>
      <c r="L44" s="4">
        <f t="shared" si="10"/>
        <v>1527174.5478888887</v>
      </c>
    </row>
    <row r="45" spans="1:12" x14ac:dyDescent="0.35">
      <c r="A45">
        <v>5</v>
      </c>
      <c r="B45" s="4">
        <f t="shared" si="3"/>
        <v>941666.66666666663</v>
      </c>
      <c r="C45" s="4">
        <f>$D$40*0.1152</f>
        <v>650880</v>
      </c>
      <c r="D45" s="4">
        <f t="shared" si="4"/>
        <v>941666.66666666686</v>
      </c>
      <c r="E45" s="4"/>
      <c r="F45" s="4">
        <f t="shared" si="5"/>
        <v>263666.66666666669</v>
      </c>
      <c r="G45" s="4">
        <f t="shared" si="6"/>
        <v>56500</v>
      </c>
      <c r="H45" s="4">
        <f t="shared" si="7"/>
        <v>369635.55555555556</v>
      </c>
      <c r="I45" s="5">
        <f t="shared" si="8"/>
        <v>1287000</v>
      </c>
      <c r="J45" s="4">
        <f t="shared" si="9"/>
        <v>2918468.8888888885</v>
      </c>
      <c r="K45">
        <v>0.40189999999999998</v>
      </c>
      <c r="L45" s="4">
        <f t="shared" si="10"/>
        <v>1172932.6464444443</v>
      </c>
    </row>
    <row r="46" spans="1:12" x14ac:dyDescent="0.35">
      <c r="A46">
        <v>6</v>
      </c>
      <c r="B46" s="4">
        <f t="shared" si="3"/>
        <v>941666.66666666663</v>
      </c>
      <c r="C46" s="4">
        <f>$D$40*0.05765</f>
        <v>325722.5</v>
      </c>
      <c r="D46" s="4">
        <f t="shared" si="4"/>
        <v>0</v>
      </c>
      <c r="E46" s="4"/>
      <c r="F46" s="4">
        <f t="shared" si="5"/>
        <v>131833.33333333334</v>
      </c>
      <c r="G46" s="4">
        <f t="shared" si="6"/>
        <v>28250.000000000004</v>
      </c>
      <c r="H46" s="4">
        <f t="shared" si="7"/>
        <v>498518.33333333337</v>
      </c>
      <c r="I46" s="5">
        <f t="shared" si="8"/>
        <v>1287000</v>
      </c>
      <c r="J46" s="4">
        <f t="shared" si="9"/>
        <v>2887268.3333333335</v>
      </c>
      <c r="K46">
        <v>0.33489999999999998</v>
      </c>
      <c r="L46" s="4">
        <f t="shared" si="10"/>
        <v>966946.16483333334</v>
      </c>
    </row>
    <row r="47" spans="1:12" x14ac:dyDescent="0.35">
      <c r="B47" s="4">
        <f>SUM(B41:B46)</f>
        <v>5650000</v>
      </c>
      <c r="C47" s="4">
        <f>SUM(C41:C46)</f>
        <v>5650282.5</v>
      </c>
      <c r="K47" t="s">
        <v>22</v>
      </c>
      <c r="L47" s="4">
        <f>SUM(L41:L46)</f>
        <v>10475682.233055554</v>
      </c>
    </row>
    <row r="48" spans="1:12" x14ac:dyDescent="0.35">
      <c r="K48" t="s">
        <v>23</v>
      </c>
      <c r="L48" s="4">
        <f>0.3007 * L47</f>
        <v>3150037.6474798056</v>
      </c>
    </row>
    <row r="49" spans="11:12" x14ac:dyDescent="0.35">
      <c r="K49" t="s">
        <v>24</v>
      </c>
      <c r="L49" s="4">
        <f>L48/(H1*100)</f>
        <v>4.7262380307273899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66DBA-BA06-476F-BD38-C97A27016BEC}">
  <dimension ref="A1:AD47"/>
  <sheetViews>
    <sheetView topLeftCell="A2" zoomScale="87" zoomScaleNormal="100" workbookViewId="0">
      <selection activeCell="F9" sqref="F9"/>
    </sheetView>
  </sheetViews>
  <sheetFormatPr defaultRowHeight="14.5" x14ac:dyDescent="0.35"/>
  <cols>
    <col min="1" max="1" width="13.6328125" bestFit="1" customWidth="1"/>
    <col min="2" max="2" width="35" customWidth="1"/>
    <col min="3" max="12" width="2.1796875" bestFit="1" customWidth="1"/>
    <col min="13" max="15" width="3.26953125" bestFit="1" customWidth="1"/>
    <col min="17" max="17" width="24.26953125" bestFit="1" customWidth="1"/>
    <col min="18" max="27" width="2.1796875" bestFit="1" customWidth="1"/>
    <col min="28" max="30" width="3.26953125" bestFit="1" customWidth="1"/>
  </cols>
  <sheetData>
    <row r="1" spans="1:30" x14ac:dyDescent="0.35">
      <c r="B1" s="23" t="s">
        <v>91</v>
      </c>
      <c r="C1" s="22" t="s">
        <v>92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Q1" s="21" t="s">
        <v>86</v>
      </c>
      <c r="R1" s="22" t="s">
        <v>92</v>
      </c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</row>
    <row r="2" spans="1:30" x14ac:dyDescent="0.35">
      <c r="A2" s="20"/>
      <c r="B2" s="23"/>
      <c r="C2" s="20">
        <v>0</v>
      </c>
      <c r="D2" s="20">
        <v>1</v>
      </c>
      <c r="E2" s="20">
        <v>2</v>
      </c>
      <c r="F2" s="20">
        <v>3</v>
      </c>
      <c r="G2" s="20">
        <v>4</v>
      </c>
      <c r="H2" s="20">
        <v>5</v>
      </c>
      <c r="I2" s="20">
        <v>6</v>
      </c>
      <c r="J2" s="20">
        <v>7</v>
      </c>
      <c r="K2" s="20">
        <v>8</v>
      </c>
      <c r="L2" s="20">
        <v>9</v>
      </c>
      <c r="M2" s="20">
        <v>10</v>
      </c>
      <c r="N2" s="20">
        <v>11</v>
      </c>
      <c r="O2" s="20">
        <v>12</v>
      </c>
      <c r="Q2" s="21"/>
      <c r="R2" s="20">
        <v>0</v>
      </c>
      <c r="S2" s="20">
        <v>1</v>
      </c>
      <c r="T2" s="20">
        <v>2</v>
      </c>
      <c r="U2" s="20">
        <v>3</v>
      </c>
      <c r="V2" s="20">
        <v>4</v>
      </c>
      <c r="W2" s="20">
        <v>5</v>
      </c>
      <c r="X2" s="20">
        <v>6</v>
      </c>
      <c r="Y2" s="20">
        <v>7</v>
      </c>
      <c r="Z2" s="20">
        <v>8</v>
      </c>
      <c r="AA2" s="20">
        <v>9</v>
      </c>
      <c r="AB2" s="20">
        <v>10</v>
      </c>
      <c r="AC2" s="20">
        <v>11</v>
      </c>
      <c r="AD2" s="20">
        <v>12</v>
      </c>
    </row>
    <row r="3" spans="1:30" x14ac:dyDescent="0.35">
      <c r="A3" s="19"/>
      <c r="B3" t="s">
        <v>28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Q3" t="s">
        <v>93</v>
      </c>
      <c r="R3" s="10">
        <v>1</v>
      </c>
      <c r="S3" s="10">
        <v>1</v>
      </c>
      <c r="T3" s="10">
        <v>1</v>
      </c>
      <c r="U3" s="10">
        <v>1</v>
      </c>
      <c r="V3" s="10">
        <v>1</v>
      </c>
      <c r="W3" s="10">
        <v>1</v>
      </c>
      <c r="X3" s="10">
        <v>1</v>
      </c>
      <c r="Y3" s="10">
        <v>1</v>
      </c>
      <c r="Z3" s="10">
        <v>1</v>
      </c>
      <c r="AA3" s="10">
        <v>1</v>
      </c>
      <c r="AB3" s="10">
        <v>1</v>
      </c>
      <c r="AC3" s="10">
        <v>1</v>
      </c>
      <c r="AD3" s="10">
        <v>1</v>
      </c>
    </row>
    <row r="4" spans="1:30" x14ac:dyDescent="0.35">
      <c r="A4" s="19"/>
      <c r="B4" t="s">
        <v>29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Q4" t="s">
        <v>94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1</v>
      </c>
      <c r="AA4" s="10">
        <v>1</v>
      </c>
      <c r="AB4" s="10">
        <v>1</v>
      </c>
      <c r="AC4" s="10">
        <v>1</v>
      </c>
      <c r="AD4" s="10">
        <v>1</v>
      </c>
    </row>
    <row r="5" spans="1:30" x14ac:dyDescent="0.35">
      <c r="A5" s="19"/>
      <c r="B5" t="s">
        <v>32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Q5" t="s">
        <v>95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</row>
    <row r="6" spans="1:30" x14ac:dyDescent="0.35">
      <c r="A6" s="19"/>
      <c r="B6" t="s">
        <v>31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Q6" t="s">
        <v>96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1</v>
      </c>
      <c r="AB6" s="10">
        <v>1</v>
      </c>
      <c r="AC6" s="10">
        <v>1</v>
      </c>
      <c r="AD6" s="10">
        <v>1</v>
      </c>
    </row>
    <row r="7" spans="1:30" x14ac:dyDescent="0.35">
      <c r="A7" s="19"/>
      <c r="B7" t="s">
        <v>37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Q7" t="s">
        <v>97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</row>
    <row r="8" spans="1:30" x14ac:dyDescent="0.35">
      <c r="A8" s="19"/>
      <c r="B8" t="s">
        <v>77</v>
      </c>
      <c r="C8">
        <v>1</v>
      </c>
      <c r="D8">
        <v>1</v>
      </c>
      <c r="E8">
        <v>1</v>
      </c>
      <c r="F8">
        <v>2</v>
      </c>
      <c r="G8">
        <v>2</v>
      </c>
      <c r="H8">
        <v>2</v>
      </c>
      <c r="I8">
        <v>2</v>
      </c>
      <c r="J8">
        <v>3</v>
      </c>
      <c r="K8">
        <v>3</v>
      </c>
      <c r="L8">
        <v>3</v>
      </c>
      <c r="M8">
        <v>3</v>
      </c>
      <c r="N8">
        <v>3</v>
      </c>
      <c r="O8">
        <v>4</v>
      </c>
      <c r="R8" s="10"/>
      <c r="S8" s="10"/>
    </row>
    <row r="9" spans="1:30" x14ac:dyDescent="0.35">
      <c r="A9" s="19"/>
      <c r="B9" t="s">
        <v>78</v>
      </c>
      <c r="C9">
        <v>1</v>
      </c>
      <c r="D9">
        <v>1</v>
      </c>
      <c r="E9">
        <v>1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1</v>
      </c>
      <c r="Q9" s="21" t="s">
        <v>87</v>
      </c>
      <c r="R9" s="22" t="s">
        <v>92</v>
      </c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</row>
    <row r="10" spans="1:30" x14ac:dyDescent="0.35">
      <c r="A10" s="19"/>
      <c r="B10" t="s">
        <v>79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Q10" s="21"/>
      <c r="R10" s="20">
        <v>0</v>
      </c>
      <c r="S10" s="20">
        <v>1</v>
      </c>
      <c r="T10" s="20">
        <v>2</v>
      </c>
      <c r="U10" s="20">
        <v>3</v>
      </c>
      <c r="V10" s="20">
        <v>4</v>
      </c>
      <c r="W10" s="20">
        <v>5</v>
      </c>
      <c r="X10" s="20">
        <v>6</v>
      </c>
      <c r="Y10" s="20">
        <v>7</v>
      </c>
      <c r="Z10" s="20">
        <v>8</v>
      </c>
      <c r="AA10" s="20">
        <v>9</v>
      </c>
      <c r="AB10" s="20">
        <v>10</v>
      </c>
      <c r="AC10" s="20">
        <v>11</v>
      </c>
      <c r="AD10" s="20">
        <v>12</v>
      </c>
    </row>
    <row r="11" spans="1:30" x14ac:dyDescent="0.35">
      <c r="A11" s="19"/>
      <c r="B11" t="s">
        <v>80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Q11" t="s">
        <v>93</v>
      </c>
      <c r="R11" s="10">
        <v>1</v>
      </c>
      <c r="S11" s="10">
        <v>1</v>
      </c>
      <c r="T11" s="10">
        <v>1</v>
      </c>
      <c r="U11" s="10">
        <v>1</v>
      </c>
      <c r="V11" s="10">
        <v>1</v>
      </c>
      <c r="W11" s="10">
        <v>1</v>
      </c>
      <c r="X11" s="10">
        <v>1</v>
      </c>
      <c r="Y11" s="10">
        <v>1</v>
      </c>
      <c r="Z11" s="10">
        <v>1</v>
      </c>
      <c r="AA11" s="10">
        <v>1</v>
      </c>
      <c r="AB11" s="10">
        <v>1</v>
      </c>
      <c r="AC11" s="10">
        <v>1</v>
      </c>
      <c r="AD11" s="10">
        <v>1</v>
      </c>
    </row>
    <row r="12" spans="1:30" x14ac:dyDescent="0.35">
      <c r="A12" s="19"/>
      <c r="B12" t="s">
        <v>84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Q12" t="s">
        <v>94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1</v>
      </c>
      <c r="AA12" s="10">
        <v>1</v>
      </c>
      <c r="AB12" s="10">
        <v>1</v>
      </c>
      <c r="AC12" s="10">
        <v>1</v>
      </c>
      <c r="AD12" s="10">
        <v>1</v>
      </c>
    </row>
    <row r="13" spans="1:30" x14ac:dyDescent="0.35">
      <c r="A13" s="19"/>
      <c r="B13" t="s">
        <v>41</v>
      </c>
      <c r="C13">
        <v>1</v>
      </c>
      <c r="D13">
        <v>1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Q13" t="s">
        <v>95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1</v>
      </c>
      <c r="AA13" s="10">
        <v>1</v>
      </c>
      <c r="AB13" s="10">
        <v>1</v>
      </c>
      <c r="AC13" s="10">
        <v>1</v>
      </c>
      <c r="AD13" s="10">
        <v>1</v>
      </c>
    </row>
    <row r="14" spans="1:30" x14ac:dyDescent="0.35">
      <c r="A14" s="19"/>
      <c r="B14" t="s">
        <v>81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Q14" t="s">
        <v>96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1</v>
      </c>
      <c r="AB14" s="10">
        <v>1</v>
      </c>
      <c r="AC14" s="10">
        <v>1</v>
      </c>
      <c r="AD14" s="10">
        <v>1</v>
      </c>
    </row>
    <row r="15" spans="1:30" x14ac:dyDescent="0.35">
      <c r="B15" t="s">
        <v>82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Q15" t="s">
        <v>97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</row>
    <row r="16" spans="1:30" x14ac:dyDescent="0.35">
      <c r="B16" t="s">
        <v>46</v>
      </c>
      <c r="C16">
        <v>1</v>
      </c>
      <c r="D16">
        <v>1</v>
      </c>
      <c r="E16">
        <v>1</v>
      </c>
      <c r="F16">
        <v>1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S16" s="10"/>
    </row>
    <row r="17" spans="2:30" x14ac:dyDescent="0.35">
      <c r="B17" t="s">
        <v>47</v>
      </c>
      <c r="C17">
        <v>1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Q17" s="21" t="s">
        <v>88</v>
      </c>
      <c r="R17" s="22" t="s">
        <v>92</v>
      </c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</row>
    <row r="18" spans="2:30" x14ac:dyDescent="0.35">
      <c r="B18" t="s">
        <v>83</v>
      </c>
      <c r="C18">
        <v>1</v>
      </c>
      <c r="D18">
        <v>3</v>
      </c>
      <c r="E18">
        <v>3</v>
      </c>
      <c r="F18">
        <v>4</v>
      </c>
      <c r="G18">
        <v>4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Q18" s="21"/>
      <c r="R18" s="20">
        <v>0</v>
      </c>
      <c r="S18" s="20">
        <v>1</v>
      </c>
      <c r="T18" s="20">
        <v>2</v>
      </c>
      <c r="U18" s="20">
        <v>3</v>
      </c>
      <c r="V18" s="20">
        <v>4</v>
      </c>
      <c r="W18" s="20">
        <v>5</v>
      </c>
      <c r="X18" s="20">
        <v>6</v>
      </c>
      <c r="Y18" s="20">
        <v>7</v>
      </c>
      <c r="Z18" s="20">
        <v>8</v>
      </c>
      <c r="AA18" s="20">
        <v>9</v>
      </c>
      <c r="AB18" s="20">
        <v>10</v>
      </c>
      <c r="AC18" s="20">
        <v>11</v>
      </c>
      <c r="AD18" s="20">
        <v>12</v>
      </c>
    </row>
    <row r="19" spans="2:30" x14ac:dyDescent="0.35"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Q19" t="s">
        <v>93</v>
      </c>
      <c r="R19" s="10">
        <v>1</v>
      </c>
      <c r="S19" s="10">
        <v>1</v>
      </c>
      <c r="T19" s="10">
        <v>1</v>
      </c>
      <c r="U19" s="10">
        <v>1</v>
      </c>
      <c r="V19" s="10">
        <v>2</v>
      </c>
      <c r="W19" s="10">
        <v>2</v>
      </c>
      <c r="X19" s="10">
        <v>2</v>
      </c>
      <c r="Y19" s="10">
        <v>2</v>
      </c>
      <c r="Z19" s="10">
        <v>2</v>
      </c>
      <c r="AA19" s="10">
        <v>2</v>
      </c>
      <c r="AB19" s="10">
        <v>2</v>
      </c>
      <c r="AC19" s="10">
        <v>2</v>
      </c>
      <c r="AD19" s="10">
        <v>2</v>
      </c>
    </row>
    <row r="20" spans="2:30" x14ac:dyDescent="0.35">
      <c r="B20" s="21" t="s">
        <v>85</v>
      </c>
      <c r="C20" s="22" t="s">
        <v>92</v>
      </c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Q20" t="s">
        <v>94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1</v>
      </c>
      <c r="AA20" s="10">
        <v>1</v>
      </c>
      <c r="AB20" s="10">
        <v>1</v>
      </c>
      <c r="AC20" s="10">
        <v>1</v>
      </c>
      <c r="AD20" s="10">
        <v>1</v>
      </c>
    </row>
    <row r="21" spans="2:30" x14ac:dyDescent="0.35">
      <c r="B21" s="21"/>
      <c r="C21" s="20">
        <v>0</v>
      </c>
      <c r="D21" s="20">
        <v>1</v>
      </c>
      <c r="E21" s="20">
        <v>2</v>
      </c>
      <c r="F21" s="20">
        <v>3</v>
      </c>
      <c r="G21" s="20">
        <v>4</v>
      </c>
      <c r="H21" s="20">
        <v>5</v>
      </c>
      <c r="I21" s="20">
        <v>6</v>
      </c>
      <c r="J21" s="20">
        <v>7</v>
      </c>
      <c r="K21" s="20">
        <v>8</v>
      </c>
      <c r="L21" s="20">
        <v>9</v>
      </c>
      <c r="M21" s="20">
        <v>10</v>
      </c>
      <c r="N21" s="20">
        <v>11</v>
      </c>
      <c r="O21" s="20">
        <v>12</v>
      </c>
      <c r="Q21" t="s">
        <v>95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1</v>
      </c>
      <c r="AC21" s="10">
        <v>1</v>
      </c>
      <c r="AD21" s="10">
        <v>1</v>
      </c>
    </row>
    <row r="22" spans="2:30" x14ac:dyDescent="0.35">
      <c r="B22" t="s">
        <v>93</v>
      </c>
      <c r="C22" s="10">
        <v>1</v>
      </c>
      <c r="D22" s="10">
        <v>1</v>
      </c>
      <c r="E22" s="10">
        <v>1</v>
      </c>
      <c r="F22" s="10">
        <v>1</v>
      </c>
      <c r="G22" s="10">
        <v>1</v>
      </c>
      <c r="H22" s="10">
        <v>1</v>
      </c>
      <c r="I22" s="10">
        <v>1</v>
      </c>
      <c r="J22" s="10">
        <v>1</v>
      </c>
      <c r="K22" s="10">
        <v>1</v>
      </c>
      <c r="L22" s="10">
        <v>1</v>
      </c>
      <c r="M22" s="10">
        <v>1</v>
      </c>
      <c r="N22" s="10">
        <v>1</v>
      </c>
      <c r="O22" s="10">
        <v>1</v>
      </c>
      <c r="Q22" t="s">
        <v>96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</row>
    <row r="23" spans="2:30" x14ac:dyDescent="0.35">
      <c r="B23" t="s">
        <v>94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1</v>
      </c>
      <c r="L23" s="10">
        <v>1</v>
      </c>
      <c r="M23" s="10">
        <v>1</v>
      </c>
      <c r="N23" s="10">
        <v>1</v>
      </c>
      <c r="O23" s="10">
        <v>1</v>
      </c>
      <c r="Q23" t="s">
        <v>97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</row>
    <row r="24" spans="2:30" x14ac:dyDescent="0.35">
      <c r="B24" t="s">
        <v>95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S24" s="10"/>
    </row>
    <row r="25" spans="2:30" x14ac:dyDescent="0.35">
      <c r="B25" t="s">
        <v>96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1</v>
      </c>
      <c r="M25" s="10">
        <v>1</v>
      </c>
      <c r="N25" s="10">
        <v>1</v>
      </c>
      <c r="O25" s="10">
        <v>1</v>
      </c>
      <c r="Q25" s="21" t="s">
        <v>53</v>
      </c>
      <c r="R25" s="22" t="s">
        <v>92</v>
      </c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</row>
    <row r="26" spans="2:30" x14ac:dyDescent="0.35">
      <c r="B26" t="s">
        <v>97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Q26" s="21"/>
      <c r="R26" s="20">
        <v>0</v>
      </c>
      <c r="S26" s="20">
        <v>1</v>
      </c>
      <c r="T26" s="20">
        <v>2</v>
      </c>
      <c r="U26" s="20">
        <v>3</v>
      </c>
      <c r="V26" s="20">
        <v>4</v>
      </c>
      <c r="W26" s="20">
        <v>5</v>
      </c>
      <c r="X26" s="20">
        <v>6</v>
      </c>
      <c r="Y26" s="20">
        <v>7</v>
      </c>
      <c r="Z26" s="20">
        <v>8</v>
      </c>
      <c r="AA26" s="20">
        <v>9</v>
      </c>
      <c r="AB26" s="20">
        <v>10</v>
      </c>
      <c r="AC26" s="20">
        <v>11</v>
      </c>
      <c r="AD26" s="20">
        <v>12</v>
      </c>
    </row>
    <row r="27" spans="2:30" x14ac:dyDescent="0.35">
      <c r="Q27" t="s">
        <v>93</v>
      </c>
      <c r="R27" s="10">
        <v>1</v>
      </c>
      <c r="S27" s="10">
        <v>1</v>
      </c>
      <c r="T27" s="10">
        <v>1</v>
      </c>
      <c r="U27" s="10">
        <v>1</v>
      </c>
      <c r="V27" s="10">
        <v>1</v>
      </c>
      <c r="W27" s="10">
        <v>1</v>
      </c>
      <c r="X27" s="10">
        <v>1</v>
      </c>
      <c r="Y27" s="10">
        <v>1</v>
      </c>
      <c r="Z27" s="10">
        <v>1</v>
      </c>
      <c r="AA27" s="10">
        <v>1</v>
      </c>
      <c r="AB27" s="10">
        <v>1</v>
      </c>
      <c r="AC27" s="10">
        <v>1</v>
      </c>
      <c r="AD27" s="10">
        <v>1</v>
      </c>
    </row>
    <row r="28" spans="2:30" x14ac:dyDescent="0.35">
      <c r="Q28" t="s">
        <v>94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1</v>
      </c>
      <c r="AB28" s="10">
        <v>1</v>
      </c>
      <c r="AC28" s="10">
        <v>1</v>
      </c>
      <c r="AD28" s="10">
        <v>1</v>
      </c>
    </row>
    <row r="29" spans="2:30" x14ac:dyDescent="0.35">
      <c r="Q29" t="s">
        <v>95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1</v>
      </c>
      <c r="AC29" s="10">
        <v>1</v>
      </c>
      <c r="AD29" s="10">
        <v>1</v>
      </c>
    </row>
    <row r="30" spans="2:30" x14ac:dyDescent="0.35">
      <c r="Q30" t="s">
        <v>96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</row>
    <row r="31" spans="2:30" x14ac:dyDescent="0.35">
      <c r="Q31" t="s">
        <v>97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</row>
    <row r="32" spans="2:30" x14ac:dyDescent="0.35">
      <c r="S32" s="10"/>
    </row>
    <row r="33" spans="17:30" x14ac:dyDescent="0.35">
      <c r="Q33" s="21" t="s">
        <v>89</v>
      </c>
      <c r="R33" s="22" t="s">
        <v>92</v>
      </c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</row>
    <row r="34" spans="17:30" x14ac:dyDescent="0.35">
      <c r="Q34" s="21"/>
      <c r="R34" s="20">
        <v>0</v>
      </c>
      <c r="S34" s="20">
        <v>1</v>
      </c>
      <c r="T34" s="20">
        <v>2</v>
      </c>
      <c r="U34" s="20">
        <v>3</v>
      </c>
      <c r="V34" s="20">
        <v>4</v>
      </c>
      <c r="W34" s="20">
        <v>5</v>
      </c>
      <c r="X34" s="20">
        <v>6</v>
      </c>
      <c r="Y34" s="20">
        <v>7</v>
      </c>
      <c r="Z34" s="20">
        <v>8</v>
      </c>
      <c r="AA34" s="20">
        <v>9</v>
      </c>
      <c r="AB34" s="20">
        <v>10</v>
      </c>
      <c r="AC34" s="20">
        <v>11</v>
      </c>
      <c r="AD34" s="20">
        <v>12</v>
      </c>
    </row>
    <row r="35" spans="17:30" x14ac:dyDescent="0.35">
      <c r="Q35" t="s">
        <v>93</v>
      </c>
      <c r="R35" s="10">
        <v>1</v>
      </c>
      <c r="S35" s="10">
        <v>1</v>
      </c>
      <c r="T35" s="10">
        <v>1</v>
      </c>
      <c r="U35" s="10">
        <v>1</v>
      </c>
      <c r="V35" s="10">
        <v>1</v>
      </c>
      <c r="W35" s="10">
        <v>1</v>
      </c>
      <c r="X35" s="10">
        <v>1</v>
      </c>
      <c r="Y35" s="10">
        <v>1</v>
      </c>
      <c r="Z35" s="10">
        <v>1</v>
      </c>
      <c r="AA35" s="10">
        <v>1</v>
      </c>
      <c r="AB35" s="10">
        <v>1</v>
      </c>
      <c r="AC35" s="10">
        <v>1</v>
      </c>
      <c r="AD35" s="10">
        <v>1</v>
      </c>
    </row>
    <row r="36" spans="17:30" x14ac:dyDescent="0.35">
      <c r="Q36" t="s">
        <v>94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1</v>
      </c>
      <c r="Z36" s="10">
        <v>1</v>
      </c>
      <c r="AA36" s="10">
        <v>1</v>
      </c>
      <c r="AB36" s="10">
        <v>1</v>
      </c>
      <c r="AC36" s="10">
        <v>1</v>
      </c>
      <c r="AD36" s="10">
        <v>1</v>
      </c>
    </row>
    <row r="37" spans="17:30" x14ac:dyDescent="0.35">
      <c r="Q37" t="s">
        <v>95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1</v>
      </c>
      <c r="AC37" s="10">
        <v>1</v>
      </c>
      <c r="AD37" s="10">
        <v>1</v>
      </c>
    </row>
    <row r="38" spans="17:30" x14ac:dyDescent="0.35">
      <c r="Q38" t="s">
        <v>96</v>
      </c>
      <c r="R38" s="10">
        <v>0</v>
      </c>
      <c r="S38" s="10">
        <v>1</v>
      </c>
      <c r="T38" s="10">
        <v>1</v>
      </c>
      <c r="U38" s="10">
        <v>1</v>
      </c>
      <c r="V38" s="10">
        <v>1</v>
      </c>
      <c r="W38" s="10">
        <v>1</v>
      </c>
      <c r="X38" s="10">
        <v>1</v>
      </c>
      <c r="Y38" s="10">
        <v>1</v>
      </c>
      <c r="Z38" s="10">
        <v>1</v>
      </c>
      <c r="AA38" s="10">
        <v>1</v>
      </c>
      <c r="AB38" s="10">
        <v>1</v>
      </c>
      <c r="AC38" s="10">
        <v>1</v>
      </c>
      <c r="AD38" s="10">
        <v>1</v>
      </c>
    </row>
    <row r="39" spans="17:30" x14ac:dyDescent="0.35">
      <c r="Q39" t="s">
        <v>97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</row>
    <row r="41" spans="17:30" x14ac:dyDescent="0.35">
      <c r="Q41" s="21" t="s">
        <v>90</v>
      </c>
      <c r="R41" s="22" t="s">
        <v>92</v>
      </c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</row>
    <row r="42" spans="17:30" x14ac:dyDescent="0.35">
      <c r="Q42" s="21"/>
      <c r="R42" s="20">
        <v>0</v>
      </c>
      <c r="S42" s="20">
        <v>1</v>
      </c>
      <c r="T42" s="20">
        <v>2</v>
      </c>
      <c r="U42" s="20">
        <v>3</v>
      </c>
      <c r="V42" s="20">
        <v>4</v>
      </c>
      <c r="W42" s="20">
        <v>5</v>
      </c>
      <c r="X42" s="20">
        <v>6</v>
      </c>
      <c r="Y42" s="20">
        <v>7</v>
      </c>
      <c r="Z42" s="20">
        <v>8</v>
      </c>
      <c r="AA42" s="20">
        <v>9</v>
      </c>
      <c r="AB42" s="20">
        <v>10</v>
      </c>
      <c r="AC42" s="20">
        <v>11</v>
      </c>
      <c r="AD42" s="20">
        <v>12</v>
      </c>
    </row>
    <row r="43" spans="17:30" x14ac:dyDescent="0.35">
      <c r="Q43" t="s">
        <v>93</v>
      </c>
      <c r="R43" s="10">
        <v>1</v>
      </c>
      <c r="S43" s="10">
        <v>3</v>
      </c>
      <c r="T43" s="10">
        <v>4</v>
      </c>
      <c r="U43" s="10">
        <v>4</v>
      </c>
      <c r="V43" s="10">
        <v>5</v>
      </c>
      <c r="W43" s="10">
        <v>5</v>
      </c>
      <c r="X43" s="10">
        <v>6</v>
      </c>
      <c r="Y43" s="10">
        <v>6</v>
      </c>
      <c r="Z43" s="10">
        <v>6</v>
      </c>
      <c r="AA43" s="10">
        <v>6</v>
      </c>
      <c r="AB43" s="10">
        <v>6</v>
      </c>
      <c r="AC43" s="10">
        <v>7</v>
      </c>
      <c r="AD43" s="10">
        <v>7</v>
      </c>
    </row>
    <row r="44" spans="17:30" x14ac:dyDescent="0.35">
      <c r="Q44" t="s">
        <v>94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1</v>
      </c>
      <c r="X44" s="10">
        <v>1</v>
      </c>
      <c r="Y44" s="10">
        <v>2</v>
      </c>
      <c r="Z44" s="10">
        <v>2</v>
      </c>
      <c r="AA44" s="10">
        <v>2</v>
      </c>
      <c r="AB44" s="10">
        <v>2</v>
      </c>
      <c r="AC44" s="10">
        <v>3</v>
      </c>
      <c r="AD44" s="10">
        <v>3</v>
      </c>
    </row>
    <row r="45" spans="17:30" x14ac:dyDescent="0.35">
      <c r="Q45" t="s">
        <v>95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2</v>
      </c>
      <c r="Z45" s="10">
        <v>2</v>
      </c>
      <c r="AA45" s="10">
        <v>2</v>
      </c>
      <c r="AB45" s="10">
        <v>2</v>
      </c>
      <c r="AC45" s="10">
        <v>3</v>
      </c>
      <c r="AD45" s="10">
        <v>3</v>
      </c>
    </row>
    <row r="46" spans="17:30" x14ac:dyDescent="0.35">
      <c r="Q46" t="s">
        <v>96</v>
      </c>
      <c r="R46" s="10">
        <v>0</v>
      </c>
      <c r="S46" s="10">
        <v>0</v>
      </c>
      <c r="T46" s="10">
        <v>0</v>
      </c>
      <c r="U46" s="10">
        <v>1</v>
      </c>
      <c r="V46" s="10">
        <v>1</v>
      </c>
      <c r="W46" s="10">
        <v>1</v>
      </c>
      <c r="X46" s="10">
        <v>1</v>
      </c>
      <c r="Y46" s="10">
        <v>1</v>
      </c>
      <c r="Z46" s="10">
        <v>1</v>
      </c>
      <c r="AA46" s="10">
        <v>2</v>
      </c>
      <c r="AB46" s="10">
        <v>2</v>
      </c>
      <c r="AC46" s="10">
        <v>2</v>
      </c>
      <c r="AD46" s="10">
        <v>3</v>
      </c>
    </row>
    <row r="47" spans="17:30" x14ac:dyDescent="0.35">
      <c r="Q47" t="s">
        <v>97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3</v>
      </c>
    </row>
  </sheetData>
  <mergeCells count="16">
    <mergeCell ref="R1:AD1"/>
    <mergeCell ref="Q9:Q10"/>
    <mergeCell ref="R9:AD9"/>
    <mergeCell ref="Q17:Q18"/>
    <mergeCell ref="R17:AD17"/>
    <mergeCell ref="C1:O1"/>
    <mergeCell ref="C20:O20"/>
    <mergeCell ref="B1:B2"/>
    <mergeCell ref="B20:B21"/>
    <mergeCell ref="Q1:Q2"/>
    <mergeCell ref="Q25:Q26"/>
    <mergeCell ref="R25:AD25"/>
    <mergeCell ref="Q33:Q34"/>
    <mergeCell ref="R33:AD33"/>
    <mergeCell ref="Q41:Q42"/>
    <mergeCell ref="R41:AD4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Production#</vt:lpstr>
      <vt:lpstr>Final facility - Cost</vt:lpstr>
      <vt:lpstr>Base facility - Cost</vt:lpstr>
      <vt:lpstr>Experiments</vt:lpstr>
    </vt:vector>
  </TitlesOfParts>
  <Company>University of Texas at Arlington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bhuff</dc:creator>
  <cp:lastModifiedBy>Ritti, Chandrala</cp:lastModifiedBy>
  <dcterms:created xsi:type="dcterms:W3CDTF">2016-03-02T20:32:05Z</dcterms:created>
  <dcterms:modified xsi:type="dcterms:W3CDTF">2024-05-09T02:52:50Z</dcterms:modified>
</cp:coreProperties>
</file>